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tables/table7.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12.xml" ContentType="application/vnd.openxmlformats-officedocument.spreadsheetml.table+xml"/>
  <Override PartName="/xl/comments4.xml" ContentType="application/vnd.openxmlformats-officedocument.spreadsheetml.comments+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fileSharing readOnlyRecommended="1"/>
  <workbookPr codeName="ThisWorkbook" defaultThemeVersion="166925"/>
  <mc:AlternateContent xmlns:mc="http://schemas.openxmlformats.org/markup-compatibility/2006">
    <mc:Choice Requires="x15">
      <x15ac:absPath xmlns:x15ac="http://schemas.microsoft.com/office/spreadsheetml/2010/11/ac" url="https://lutrono365-my.sharepoint.com/personal/ebiery_lutron_com/Documents/Projects/Ballast Upgrades/"/>
    </mc:Choice>
  </mc:AlternateContent>
  <xr:revisionPtr revIDLastSave="2" documentId="8_{4AA2B634-0C59-4D32-938A-F832DA05B766}" xr6:coauthVersionLast="47" xr6:coauthVersionMax="47" xr10:uidLastSave="{FF16E059-2A24-49BD-9FA5-12EA589BCEDB}"/>
  <workbookProtection workbookAlgorithmName="SHA-512" workbookHashValue="yD+gUsjWNKdpJJF/Lsb0xalV8uo4nD1TKZUupYtbYJjhmGYhC1fARrgleLmBhqovtiCRTzEfkfcmXrDKX+EU9w==" workbookSaltValue="KHcAZNH6SfhzpU/NoLytHg==" workbookSpinCount="100000" lockStructure="1"/>
  <bookViews>
    <workbookView xWindow="-120" yWindow="-120" windowWidth="29040" windowHeight="17640" tabRatio="794" activeTab="1" xr2:uid="{A8058D9C-3F9B-4B1B-854D-E1034EB54687}"/>
  </bookViews>
  <sheets>
    <sheet name="INSTRUCTIONS" sheetId="11" r:id="rId1"/>
    <sheet name="Lutron LED Upgrade Tool" sheetId="12" r:id="rId2"/>
    <sheet name="OLD Lutron LED Upgrade Tool" sheetId="3" state="hidden" r:id="rId3"/>
    <sheet name="Grainger LED Upgrade Tool" sheetId="6" state="hidden" r:id="rId4"/>
    <sheet name="Upgrade Workbook" sheetId="7" r:id="rId5"/>
    <sheet name="Ballast Master Matrix" sheetId="1" state="hidden" r:id="rId6"/>
    <sheet name="Grainger Cross Reference" sheetId="5" state="hidden" r:id="rId7"/>
    <sheet name="Lutron Kit to CFlex Lookup" sheetId="2" state="hidden" r:id="rId8"/>
    <sheet name="Obsolete Ballasts" sheetId="8" state="hidden" r:id="rId9"/>
    <sheet name="FullGrackle-&gt;LED Map" sheetId="13" state="hidden" r:id="rId10"/>
    <sheet name="Helper" sheetId="4" state="hidden" r:id="rId11"/>
    <sheet name="Revision History" sheetId="9" state="hidden" r:id="rId12"/>
  </sheets>
  <definedNames>
    <definedName name="_xlnm._FilterDatabase" localSheetId="5" hidden="1">'Ballast Master Matrix'!$A$1:$AF$1003</definedName>
    <definedName name="Ballast_List" localSheetId="1">Master_Reference[Model Number]</definedName>
    <definedName name="Ballast_List">Master_Reference[Model Number]</definedName>
    <definedName name="Ballast_Model">Helper!$B$2</definedName>
    <definedName name="CaseQty">Helper!$B$5</definedName>
    <definedName name="CCT_List" localSheetId="1">CCT_Table[CCT]</definedName>
    <definedName name="CCT_List">CCT_Table[CCT]</definedName>
    <definedName name="CFlex_Model">Helper!$B$7</definedName>
    <definedName name="CFLMounting">'Lutron LED Upgrade Tool'!$F$12</definedName>
    <definedName name="CFLWattage">'Lutron LED Upgrade Tool'!$F$13</definedName>
    <definedName name="Control_3W" localSheetId="3">'Grainger LED Upgrade Tool'!$D$9</definedName>
    <definedName name="Control_3W" localSheetId="1">'Lutron LED Upgrade Tool'!$D$7</definedName>
    <definedName name="Control_3W">'OLD Lutron LED Upgrade Tool'!$D$7</definedName>
    <definedName name="Control_Eco" localSheetId="3">'Grainger LED Upgrade Tool'!$D$10</definedName>
    <definedName name="Control_Eco" localSheetId="1">'Lutron LED Upgrade Tool'!$D$8</definedName>
    <definedName name="Control_Eco">'OLD Lutron LED Upgrade Tool'!$D$8</definedName>
    <definedName name="Control_Other" localSheetId="3">'Grainger LED Upgrade Tool'!$D$11</definedName>
    <definedName name="Control_Other" localSheetId="1">'Lutron LED Upgrade Tool'!$D$9</definedName>
    <definedName name="Control_Other">'OLD Lutron LED Upgrade Tool'!$D$9</definedName>
    <definedName name="ControlMethod">'Lutron LED Upgrade Tool'!$D$13</definedName>
    <definedName name="ControlType">Helper!$B$6</definedName>
    <definedName name="ControlType_List" localSheetId="1">ControlType_Table[Control Type]</definedName>
    <definedName name="ControlType_List">ControlType_Table[Control Type]</definedName>
    <definedName name="G_Ballast_Model">'Grainger LED Upgrade Tool'!$F$5</definedName>
    <definedName name="G_CFLMounting">'Grainger LED Upgrade Tool'!$F$14</definedName>
    <definedName name="G_CFLWattage">'Grainger LED Upgrade Tool'!$F$15</definedName>
    <definedName name="G_ControlMethod">'Grainger LED Upgrade Tool'!$D$15</definedName>
    <definedName name="G_ControlType">Helper!$B$10</definedName>
    <definedName name="G_LampCCT">'Grainger LED Upgrade Tool'!$D$14</definedName>
    <definedName name="G_PackagingOption">'Grainger LED Upgrade Tool'!$F$16</definedName>
    <definedName name="G_RecommendedModel">Helper!$B$11</definedName>
    <definedName name="G_SensorOnBallast">Helper!$B$12</definedName>
    <definedName name="G_SensorOnBallastSelect">'Grainger LED Upgrade Tool'!$D$16</definedName>
    <definedName name="Grainger_Ballast_Model">Helper!$B$4</definedName>
    <definedName name="Grainger_Model_List" localSheetId="1">Grainger_Ballast_Lookup[Grainger Ballast PN]</definedName>
    <definedName name="Grainger_Model_List">Grainger_Ballast_Lookup[Grainger Ballast PN]</definedName>
    <definedName name="HasCFLMounting">Helper!$C$21</definedName>
    <definedName name="HasMultipleControl">Helper!$C$22</definedName>
    <definedName name="HasMultiWattCFL">Helper!$C$20</definedName>
    <definedName name="HasSensorSupport">Helper!$C$16</definedName>
    <definedName name="IsInternationalBallast">Helper!$C$28</definedName>
    <definedName name="LampCCT">'Lutron LED Upgrade Tool'!$D$12</definedName>
    <definedName name="NoMatches">Helper!$C$15</definedName>
    <definedName name="PackagingOption">'Lutron LED Upgrade Tool'!$F$14</definedName>
    <definedName name="_xlnm.Print_Area" localSheetId="1">'Lutron LED Upgrade Tool'!$A$1:$F$44</definedName>
    <definedName name="_xlnm.Print_Area" localSheetId="2">'OLD Lutron LED Upgrade Tool'!$A$1:$F$41</definedName>
    <definedName name="_xlnm.Print_Area" localSheetId="4">'Upgrade Workbook'!$A$1:$K$26</definedName>
    <definedName name="RecommendedModel">Helper!$B$8</definedName>
    <definedName name="Selected_Model">Helper!$B$1</definedName>
    <definedName name="SensorOnBallast">Helper!$B$9</definedName>
    <definedName name="SensorOnBallastSelect">'Lutron LED Upgrade Tool'!$D$14</definedName>
    <definedName name="SystemTypes_List" localSheetId="1">SystemTypes_Table[]</definedName>
    <definedName name="SystemTypes_List">SystemTypes_Table[]</definedName>
    <definedName name="UpgradePlan_List" localSheetId="1">UpgradePlan_Table[Upgrade Plan]</definedName>
    <definedName name="UpgradePlan_List">UpgradePlan_Table[Upgrade Plan]</definedName>
    <definedName name="ValidModel">Helper!$B$3</definedName>
    <definedName name="Version" localSheetId="1">'Lutron LED Upgrade Tool'!$A$44</definedName>
    <definedName name="Version">'OLD Lutron LED Upgrade Tool'!$A$41</definedName>
    <definedName name="Voltage_List" localSheetId="1">Voltage_Table[Voltage]</definedName>
    <definedName name="Voltage_List">Voltage_Table[Voltage]</definedName>
    <definedName name="Worksheet_Mode">Helper!#REF!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2" i="2" l="1"/>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L2" i="2"/>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H231" i="13"/>
  <c r="AA225" i="13"/>
  <c r="Z225" i="13"/>
  <c r="AA221" i="13"/>
  <c r="Z221" i="13"/>
  <c r="AA217" i="13"/>
  <c r="Z217" i="13"/>
  <c r="AA213" i="13"/>
  <c r="Z213" i="13"/>
  <c r="AA209" i="13"/>
  <c r="Z209" i="13"/>
  <c r="AA205" i="13"/>
  <c r="Z205" i="13"/>
  <c r="AA201" i="13"/>
  <c r="Z201" i="13"/>
  <c r="AA197" i="13"/>
  <c r="Z197" i="13"/>
  <c r="AA193" i="13"/>
  <c r="Z193" i="13"/>
  <c r="AA189" i="13"/>
  <c r="Z189" i="13"/>
  <c r="AA185" i="13"/>
  <c r="Z185" i="13"/>
  <c r="Z125" i="13"/>
  <c r="Z124" i="13"/>
  <c r="Z123" i="13"/>
  <c r="Z122" i="13"/>
  <c r="AA121" i="13"/>
  <c r="Z121" i="13"/>
  <c r="AA120" i="13"/>
  <c r="Z120" i="13"/>
  <c r="AA119" i="13"/>
  <c r="Z119" i="13"/>
  <c r="AA118" i="13"/>
  <c r="Z118" i="13"/>
  <c r="AA117" i="13"/>
  <c r="Z117" i="13"/>
  <c r="AA116" i="13"/>
  <c r="Z116" i="13"/>
  <c r="AA115" i="13"/>
  <c r="Z115" i="13"/>
  <c r="AA114" i="13"/>
  <c r="Z114" i="13"/>
  <c r="Z113" i="13"/>
  <c r="Z112" i="13"/>
  <c r="Z111" i="13"/>
  <c r="Z110" i="13"/>
  <c r="AA109" i="13"/>
  <c r="Z109" i="13"/>
  <c r="AA108" i="13"/>
  <c r="Z108" i="13"/>
  <c r="AA107" i="13"/>
  <c r="Z107" i="13"/>
  <c r="AA106" i="13"/>
  <c r="Z106" i="13"/>
  <c r="AA105" i="13"/>
  <c r="Z105" i="13"/>
  <c r="AA104" i="13"/>
  <c r="Z104" i="13"/>
  <c r="AA103" i="13"/>
  <c r="Z103" i="13"/>
  <c r="AA102" i="13"/>
  <c r="Z102" i="13"/>
  <c r="AA101" i="13"/>
  <c r="Z101" i="13"/>
  <c r="AA100" i="13"/>
  <c r="Z100" i="13"/>
  <c r="AA99" i="13"/>
  <c r="Z99" i="13"/>
  <c r="AA98" i="13"/>
  <c r="Z98" i="13"/>
  <c r="AA97" i="13"/>
  <c r="Z97" i="13"/>
  <c r="AA96" i="13"/>
  <c r="Z96" i="13"/>
  <c r="AA95" i="13"/>
  <c r="Z95" i="13"/>
  <c r="AA94" i="13"/>
  <c r="Z94" i="13"/>
  <c r="AA93" i="13"/>
  <c r="Z93" i="13"/>
  <c r="AA92" i="13"/>
  <c r="Z92" i="13"/>
  <c r="AA91" i="13"/>
  <c r="Z91" i="13"/>
  <c r="AA90" i="13"/>
  <c r="Z90" i="13"/>
  <c r="AA89" i="13"/>
  <c r="Z89" i="13"/>
  <c r="AA88" i="13"/>
  <c r="Z88" i="13"/>
  <c r="AA87" i="13"/>
  <c r="Z87" i="13"/>
  <c r="AA86" i="13"/>
  <c r="Z86" i="13"/>
  <c r="AA85" i="13"/>
  <c r="Z85" i="13"/>
  <c r="AA84" i="13"/>
  <c r="Z84" i="13"/>
  <c r="AA83" i="13"/>
  <c r="Z83" i="13"/>
  <c r="AA82" i="13"/>
  <c r="Z82" i="13"/>
  <c r="AA81" i="13"/>
  <c r="Z81" i="13"/>
  <c r="AA80" i="13"/>
  <c r="Z80" i="13"/>
  <c r="AA79" i="13"/>
  <c r="Z79" i="13"/>
  <c r="AA78" i="13"/>
  <c r="Z78" i="13"/>
  <c r="AA73" i="13"/>
  <c r="Z73" i="13"/>
  <c r="AA72" i="13"/>
  <c r="Z72" i="13"/>
  <c r="AA71" i="13"/>
  <c r="Z71" i="13"/>
  <c r="AA70" i="13"/>
  <c r="Z70" i="13"/>
  <c r="AA69" i="13"/>
  <c r="Z69" i="13"/>
  <c r="AA68" i="13"/>
  <c r="Z68" i="13"/>
  <c r="AA67" i="13"/>
  <c r="Z67" i="13"/>
  <c r="AA66" i="13"/>
  <c r="Z66" i="13"/>
  <c r="AA65" i="13"/>
  <c r="Z65" i="13"/>
  <c r="AA64" i="13"/>
  <c r="Z64" i="13"/>
  <c r="AA63" i="13"/>
  <c r="Z63" i="13"/>
  <c r="AA62" i="13"/>
  <c r="Z62" i="13"/>
  <c r="AA61" i="13"/>
  <c r="Z61" i="13"/>
  <c r="AA60" i="13"/>
  <c r="Z60" i="13"/>
  <c r="AA59" i="13"/>
  <c r="Z59" i="13"/>
  <c r="AA58" i="13"/>
  <c r="Z58" i="13"/>
  <c r="AA57" i="13"/>
  <c r="Z57" i="13"/>
  <c r="AA56" i="13"/>
  <c r="Z56" i="13"/>
  <c r="AA55" i="13"/>
  <c r="Z55" i="13"/>
  <c r="AA54" i="13"/>
  <c r="Z54" i="13"/>
  <c r="AA53" i="13"/>
  <c r="Z53" i="13"/>
  <c r="AA52" i="13"/>
  <c r="Z52" i="13"/>
  <c r="AA51" i="13"/>
  <c r="Z51" i="13"/>
  <c r="AA50" i="13"/>
  <c r="Z50" i="13"/>
  <c r="AA49" i="13"/>
  <c r="Z49" i="13"/>
  <c r="AA48" i="13"/>
  <c r="Z48" i="13"/>
  <c r="AA47" i="13"/>
  <c r="Z47" i="13"/>
  <c r="AA46" i="13"/>
  <c r="Z46" i="13"/>
  <c r="AA45" i="13"/>
  <c r="Z45" i="13"/>
  <c r="AA44" i="13"/>
  <c r="Z44" i="13"/>
  <c r="AA43" i="13"/>
  <c r="Z43" i="13"/>
  <c r="AA42" i="13"/>
  <c r="Z42" i="13"/>
  <c r="AA41" i="13"/>
  <c r="Z41" i="13"/>
  <c r="AA40" i="13"/>
  <c r="Z40" i="13"/>
  <c r="AA39" i="13"/>
  <c r="Z39" i="13"/>
  <c r="AA38" i="13"/>
  <c r="Z38" i="13"/>
  <c r="AA37" i="13"/>
  <c r="Z37" i="13"/>
  <c r="AA36" i="13"/>
  <c r="Z36" i="13"/>
  <c r="AA35" i="13"/>
  <c r="Z35" i="13"/>
  <c r="AA34" i="13"/>
  <c r="Z34" i="13"/>
  <c r="AA33" i="13"/>
  <c r="Z33" i="13"/>
  <c r="AA32" i="13"/>
  <c r="Z32" i="13"/>
  <c r="AA31" i="13"/>
  <c r="Z31" i="13"/>
  <c r="AA30" i="13"/>
  <c r="Z30" i="13"/>
  <c r="AA29" i="13"/>
  <c r="Z29" i="13"/>
  <c r="AA28" i="13"/>
  <c r="Z28" i="13"/>
  <c r="AA27" i="13"/>
  <c r="Z27" i="13"/>
  <c r="AA26" i="13"/>
  <c r="Z26" i="13"/>
  <c r="AA25" i="13"/>
  <c r="Z25" i="13"/>
  <c r="AA24" i="13"/>
  <c r="Z24" i="13"/>
  <c r="AA23" i="13"/>
  <c r="Z23" i="13"/>
  <c r="AA22" i="13"/>
  <c r="Z22" i="13"/>
  <c r="AA21" i="13"/>
  <c r="Z21" i="13"/>
  <c r="AA20" i="13"/>
  <c r="Z20" i="13"/>
  <c r="AA19" i="13"/>
  <c r="Z19" i="13"/>
  <c r="AA18" i="13"/>
  <c r="Z18" i="13"/>
  <c r="AA17" i="13"/>
  <c r="Z17" i="13"/>
  <c r="AA16" i="13"/>
  <c r="Z16" i="13"/>
  <c r="AA15" i="13"/>
  <c r="Z15" i="13"/>
  <c r="AA14" i="13"/>
  <c r="Z14" i="13"/>
  <c r="AA13" i="13"/>
  <c r="Z13" i="13"/>
  <c r="AA12" i="13"/>
  <c r="Z12" i="13"/>
  <c r="AA11" i="13"/>
  <c r="Z11" i="13"/>
  <c r="AA10" i="13"/>
  <c r="Z10" i="13"/>
  <c r="AA9" i="13"/>
  <c r="Z9" i="13"/>
  <c r="AA8" i="13"/>
  <c r="Z8" i="13"/>
  <c r="AA7" i="13"/>
  <c r="Z7" i="13"/>
  <c r="AA6" i="13"/>
  <c r="Z6" i="13"/>
  <c r="O7" i="7" l="1"/>
  <c r="O8" i="7"/>
  <c r="O9" i="7"/>
  <c r="O10" i="7"/>
  <c r="O11" i="7"/>
  <c r="O12" i="7"/>
  <c r="O13" i="7"/>
  <c r="O14" i="7"/>
  <c r="O15" i="7"/>
  <c r="O16" i="7"/>
  <c r="O17" i="7"/>
  <c r="O18" i="7"/>
  <c r="O19" i="7"/>
  <c r="O20" i="7"/>
  <c r="O21" i="7"/>
  <c r="O22" i="7"/>
  <c r="O23" i="7"/>
  <c r="O24" i="7"/>
  <c r="O25" i="7"/>
  <c r="L7" i="7"/>
  <c r="L8" i="7"/>
  <c r="L9" i="7"/>
  <c r="L10" i="7"/>
  <c r="L11" i="7"/>
  <c r="L12" i="7"/>
  <c r="L13" i="7"/>
  <c r="L14" i="7"/>
  <c r="L15" i="7"/>
  <c r="L16" i="7"/>
  <c r="L17" i="7"/>
  <c r="L18" i="7"/>
  <c r="L19" i="7"/>
  <c r="L20" i="7"/>
  <c r="L21" i="7"/>
  <c r="L22" i="7"/>
  <c r="L23" i="7"/>
  <c r="L24" i="7"/>
  <c r="L25" i="7"/>
  <c r="N10" i="7"/>
  <c r="N11" i="7"/>
  <c r="N12" i="7"/>
  <c r="N13" i="7"/>
  <c r="N14" i="7"/>
  <c r="N15" i="7"/>
  <c r="N16" i="7"/>
  <c r="N17" i="7"/>
  <c r="N18" i="7"/>
  <c r="N19" i="7"/>
  <c r="N20" i="7"/>
  <c r="N21" i="7"/>
  <c r="N22" i="7"/>
  <c r="N23" i="7"/>
  <c r="N24" i="7"/>
  <c r="N25" i="7"/>
  <c r="M7" i="7"/>
  <c r="M8" i="7"/>
  <c r="M9" i="7"/>
  <c r="M10" i="7"/>
  <c r="M11" i="7"/>
  <c r="M12" i="7"/>
  <c r="M13" i="7"/>
  <c r="M14" i="7"/>
  <c r="M15" i="7"/>
  <c r="M16" i="7"/>
  <c r="M17" i="7"/>
  <c r="M18" i="7"/>
  <c r="M19" i="7"/>
  <c r="M20" i="7"/>
  <c r="M21" i="7"/>
  <c r="M22" i="7"/>
  <c r="M23" i="7"/>
  <c r="M24" i="7"/>
  <c r="M25" i="7"/>
  <c r="K9" i="7"/>
  <c r="K10" i="7"/>
  <c r="K11" i="7"/>
  <c r="K12" i="7"/>
  <c r="K13" i="7"/>
  <c r="K14" i="7"/>
  <c r="K15" i="7"/>
  <c r="K16" i="7"/>
  <c r="K17" i="7"/>
  <c r="K18" i="7"/>
  <c r="K19" i="7"/>
  <c r="K20" i="7"/>
  <c r="K21" i="7"/>
  <c r="K22" i="7"/>
  <c r="K23" i="7"/>
  <c r="K24" i="7"/>
  <c r="K25" i="7"/>
  <c r="E25" i="6" l="1"/>
  <c r="F25" i="6"/>
  <c r="F349" i="2" a="1"/>
  <c r="F349" i="2" s="1"/>
  <c r="F353" i="2" a="1"/>
  <c r="F353" i="2" s="1"/>
  <c r="F357" i="2" a="1"/>
  <c r="F357" i="2" s="1"/>
  <c r="F347" i="2" a="1"/>
  <c r="F347" i="2" s="1"/>
  <c r="F351" i="2" a="1"/>
  <c r="F351" i="2" s="1"/>
  <c r="F355" i="2" a="1"/>
  <c r="F355" i="2" s="1"/>
  <c r="F346" i="2" a="1"/>
  <c r="F346" i="2" s="1"/>
  <c r="F350" i="2" a="1"/>
  <c r="F350" i="2" s="1"/>
  <c r="F354" i="2" a="1"/>
  <c r="F354" i="2" s="1"/>
  <c r="F356" i="2" a="1"/>
  <c r="F356" i="2" s="1"/>
  <c r="F352" i="2" a="1"/>
  <c r="F352" i="2" s="1"/>
  <c r="F348" i="2" a="1"/>
  <c r="F348" i="2" s="1"/>
  <c r="F2" i="2" a="1"/>
  <c r="F2" i="2" s="1"/>
  <c r="F3" i="2" a="1"/>
  <c r="F3" i="2" s="1"/>
  <c r="F4" i="2" a="1"/>
  <c r="F4" i="2" s="1"/>
  <c r="F5" i="2" a="1"/>
  <c r="F5" i="2" s="1"/>
  <c r="F6" i="2" a="1"/>
  <c r="F6" i="2" s="1"/>
  <c r="F7" i="2" a="1"/>
  <c r="F7" i="2" s="1"/>
  <c r="F8" i="2" a="1"/>
  <c r="F8" i="2" s="1"/>
  <c r="F9" i="2" a="1"/>
  <c r="F9" i="2" s="1"/>
  <c r="F10" i="2" a="1"/>
  <c r="F10" i="2" s="1"/>
  <c r="F11" i="2" a="1"/>
  <c r="F11" i="2" s="1"/>
  <c r="F12" i="2" a="1"/>
  <c r="F12" i="2" s="1"/>
  <c r="F13" i="2" a="1"/>
  <c r="F13" i="2" s="1"/>
  <c r="F14" i="2" a="1"/>
  <c r="F14" i="2" s="1"/>
  <c r="F15" i="2" a="1"/>
  <c r="F15" i="2" s="1"/>
  <c r="F16" i="2" a="1"/>
  <c r="F16" i="2" s="1"/>
  <c r="F17" i="2" a="1"/>
  <c r="F17" i="2" s="1"/>
  <c r="F18" i="2" a="1"/>
  <c r="F18" i="2" s="1"/>
  <c r="F19" i="2" a="1"/>
  <c r="F19" i="2" s="1"/>
  <c r="F20" i="2" a="1"/>
  <c r="F20" i="2" s="1"/>
  <c r="F21" i="2" a="1"/>
  <c r="F21" i="2" s="1"/>
  <c r="F22" i="2" a="1"/>
  <c r="F22" i="2" s="1"/>
  <c r="F23" i="2" a="1"/>
  <c r="F23" i="2" s="1"/>
  <c r="F24" i="2" a="1"/>
  <c r="F24" i="2" s="1"/>
  <c r="F25" i="2" a="1"/>
  <c r="F25" i="2" s="1"/>
  <c r="F26" i="2" a="1"/>
  <c r="F26" i="2" s="1"/>
  <c r="F27" i="2" a="1"/>
  <c r="F27" i="2" s="1"/>
  <c r="F28" i="2" a="1"/>
  <c r="F28" i="2" s="1"/>
  <c r="F29" i="2" a="1"/>
  <c r="F29" i="2" s="1"/>
  <c r="F30" i="2" a="1"/>
  <c r="F30" i="2" s="1"/>
  <c r="F31" i="2" a="1"/>
  <c r="F31" i="2" s="1"/>
  <c r="F32" i="2" a="1"/>
  <c r="F32" i="2" s="1"/>
  <c r="F33" i="2" a="1"/>
  <c r="F33" i="2" s="1"/>
  <c r="F34" i="2" a="1"/>
  <c r="F34" i="2" s="1"/>
  <c r="F35" i="2" a="1"/>
  <c r="F35" i="2" s="1"/>
  <c r="F36" i="2" a="1"/>
  <c r="F36" i="2" s="1"/>
  <c r="F37" i="2" a="1"/>
  <c r="F37" i="2" s="1"/>
  <c r="F38" i="2" a="1"/>
  <c r="F38" i="2" s="1"/>
  <c r="F39" i="2" a="1"/>
  <c r="F39" i="2" s="1"/>
  <c r="F40" i="2" a="1"/>
  <c r="F40" i="2" s="1"/>
  <c r="F41" i="2" a="1"/>
  <c r="F41" i="2" s="1"/>
  <c r="F42" i="2" a="1"/>
  <c r="F42" i="2" s="1"/>
  <c r="F43" i="2" a="1"/>
  <c r="F43" i="2" s="1"/>
  <c r="F44" i="2" a="1"/>
  <c r="F44" i="2" s="1"/>
  <c r="F45" i="2" a="1"/>
  <c r="F45" i="2" s="1"/>
  <c r="F46" i="2" a="1"/>
  <c r="F46" i="2" s="1"/>
  <c r="F47" i="2" a="1"/>
  <c r="F47" i="2" s="1"/>
  <c r="F48" i="2" a="1"/>
  <c r="F48" i="2" s="1"/>
  <c r="F49" i="2" a="1"/>
  <c r="F49" i="2" s="1"/>
  <c r="F50" i="2" a="1"/>
  <c r="F50" i="2" s="1"/>
  <c r="F51" i="2" a="1"/>
  <c r="F51" i="2" s="1"/>
  <c r="F52" i="2" a="1"/>
  <c r="F52" i="2" s="1"/>
  <c r="F53" i="2" a="1"/>
  <c r="F53" i="2" s="1"/>
  <c r="F54" i="2" a="1"/>
  <c r="F54" i="2" s="1"/>
  <c r="F55" i="2" a="1"/>
  <c r="F55" i="2" s="1"/>
  <c r="F56" i="2" a="1"/>
  <c r="F56" i="2" s="1"/>
  <c r="F57" i="2" a="1"/>
  <c r="F57" i="2" s="1"/>
  <c r="F58" i="2" a="1"/>
  <c r="F58" i="2" s="1"/>
  <c r="F59" i="2" a="1"/>
  <c r="F59" i="2" s="1"/>
  <c r="F60" i="2" a="1"/>
  <c r="F60" i="2" s="1"/>
  <c r="F61" i="2" a="1"/>
  <c r="F61" i="2" s="1"/>
  <c r="F62" i="2" a="1"/>
  <c r="F62" i="2" s="1"/>
  <c r="F63" i="2" a="1"/>
  <c r="F63" i="2" s="1"/>
  <c r="F64" i="2" a="1"/>
  <c r="F64" i="2" s="1"/>
  <c r="F65" i="2" a="1"/>
  <c r="F65" i="2" s="1"/>
  <c r="F66" i="2" a="1"/>
  <c r="F66" i="2" s="1"/>
  <c r="F67" i="2" a="1"/>
  <c r="F67" i="2" s="1"/>
  <c r="F68" i="2" a="1"/>
  <c r="F68" i="2" s="1"/>
  <c r="F69" i="2" a="1"/>
  <c r="F69" i="2" s="1"/>
  <c r="F70" i="2" a="1"/>
  <c r="F70" i="2" s="1"/>
  <c r="F71" i="2" a="1"/>
  <c r="F71" i="2" s="1"/>
  <c r="F72" i="2" a="1"/>
  <c r="F72" i="2" s="1"/>
  <c r="F73" i="2" a="1"/>
  <c r="F73" i="2" s="1"/>
  <c r="F74" i="2" a="1"/>
  <c r="F74" i="2" s="1"/>
  <c r="F75" i="2" a="1"/>
  <c r="F75" i="2" s="1"/>
  <c r="F76" i="2" a="1"/>
  <c r="F76" i="2" s="1"/>
  <c r="F77" i="2" a="1"/>
  <c r="F77" i="2" s="1"/>
  <c r="F78" i="2" a="1"/>
  <c r="F78" i="2" s="1"/>
  <c r="F79" i="2" a="1"/>
  <c r="F79" i="2" s="1"/>
  <c r="F80" i="2" a="1"/>
  <c r="F80" i="2" s="1"/>
  <c r="F81" i="2" a="1"/>
  <c r="F81" i="2" s="1"/>
  <c r="F82" i="2" a="1"/>
  <c r="F82" i="2" s="1"/>
  <c r="F83" i="2" a="1"/>
  <c r="F83" i="2" s="1"/>
  <c r="F84" i="2" a="1"/>
  <c r="F84" i="2" s="1"/>
  <c r="F85" i="2" a="1"/>
  <c r="F85" i="2" s="1"/>
  <c r="F86" i="2" a="1"/>
  <c r="F86" i="2" s="1"/>
  <c r="F87" i="2" a="1"/>
  <c r="F87" i="2" s="1"/>
  <c r="F88" i="2" a="1"/>
  <c r="F88" i="2" s="1"/>
  <c r="F89" i="2" a="1"/>
  <c r="F89" i="2" s="1"/>
  <c r="F90" i="2" a="1"/>
  <c r="F90" i="2" s="1"/>
  <c r="F91" i="2" a="1"/>
  <c r="F91" i="2" s="1"/>
  <c r="F92" i="2" a="1"/>
  <c r="F92" i="2" s="1"/>
  <c r="F93" i="2" a="1"/>
  <c r="F93" i="2" s="1"/>
  <c r="F94" i="2" a="1"/>
  <c r="F94" i="2" s="1"/>
  <c r="F95" i="2" a="1"/>
  <c r="F95" i="2" s="1"/>
  <c r="F96" i="2" a="1"/>
  <c r="F96" i="2" s="1"/>
  <c r="F97" i="2" a="1"/>
  <c r="F97" i="2" s="1"/>
  <c r="F98" i="2" a="1"/>
  <c r="F98" i="2" s="1"/>
  <c r="F99" i="2" a="1"/>
  <c r="F99" i="2" s="1"/>
  <c r="F100" i="2" a="1"/>
  <c r="F100" i="2" s="1"/>
  <c r="F101" i="2" a="1"/>
  <c r="F101" i="2" s="1"/>
  <c r="F102" i="2" a="1"/>
  <c r="F102" i="2" s="1"/>
  <c r="F103" i="2" a="1"/>
  <c r="F103" i="2" s="1"/>
  <c r="F104" i="2" a="1"/>
  <c r="F104" i="2" s="1"/>
  <c r="F105" i="2" a="1"/>
  <c r="F105" i="2" s="1"/>
  <c r="F106" i="2" a="1"/>
  <c r="F106" i="2" s="1"/>
  <c r="F107" i="2" a="1"/>
  <c r="F107" i="2" s="1"/>
  <c r="F108" i="2" a="1"/>
  <c r="F108" i="2" s="1"/>
  <c r="F109" i="2" a="1"/>
  <c r="F109" i="2" s="1"/>
  <c r="F110" i="2" a="1"/>
  <c r="F110" i="2" s="1"/>
  <c r="F111" i="2" a="1"/>
  <c r="F111" i="2" s="1"/>
  <c r="F112" i="2" a="1"/>
  <c r="F112" i="2" s="1"/>
  <c r="F113" i="2" a="1"/>
  <c r="F113" i="2" s="1"/>
  <c r="F114" i="2" a="1"/>
  <c r="F114" i="2" s="1"/>
  <c r="F115" i="2" a="1"/>
  <c r="F115" i="2" s="1"/>
  <c r="F116" i="2" a="1"/>
  <c r="F116" i="2" s="1"/>
  <c r="F117" i="2" a="1"/>
  <c r="F117" i="2" s="1"/>
  <c r="F118" i="2" a="1"/>
  <c r="F118" i="2" s="1"/>
  <c r="F119" i="2" a="1"/>
  <c r="F119" i="2" s="1"/>
  <c r="F120" i="2" a="1"/>
  <c r="F120" i="2" s="1"/>
  <c r="F121" i="2" a="1"/>
  <c r="F121" i="2" s="1"/>
  <c r="F122" i="2" a="1"/>
  <c r="F122" i="2" s="1"/>
  <c r="F123" i="2" a="1"/>
  <c r="F123" i="2" s="1"/>
  <c r="F124" i="2" a="1"/>
  <c r="F124" i="2" s="1"/>
  <c r="F125" i="2" a="1"/>
  <c r="F125" i="2" s="1"/>
  <c r="F126" i="2" a="1"/>
  <c r="F126" i="2" s="1"/>
  <c r="F127" i="2" a="1"/>
  <c r="F127" i="2" s="1"/>
  <c r="F128" i="2" a="1"/>
  <c r="F128" i="2" s="1"/>
  <c r="F129" i="2" a="1"/>
  <c r="F129" i="2" s="1"/>
  <c r="F130" i="2" a="1"/>
  <c r="F130" i="2" s="1"/>
  <c r="F131" i="2" a="1"/>
  <c r="F131" i="2" s="1"/>
  <c r="F132" i="2" a="1"/>
  <c r="F132" i="2" s="1"/>
  <c r="F133" i="2" a="1"/>
  <c r="F133" i="2" s="1"/>
  <c r="F134" i="2" a="1"/>
  <c r="F134" i="2" s="1"/>
  <c r="F135" i="2" a="1"/>
  <c r="F135" i="2" s="1"/>
  <c r="F136" i="2" a="1"/>
  <c r="F136" i="2" s="1"/>
  <c r="F137" i="2" a="1"/>
  <c r="F137" i="2" s="1"/>
  <c r="F138" i="2" a="1"/>
  <c r="F138" i="2" s="1"/>
  <c r="F139" i="2" a="1"/>
  <c r="F139" i="2" s="1"/>
  <c r="F140" i="2" a="1"/>
  <c r="F140" i="2" s="1"/>
  <c r="F141" i="2" a="1"/>
  <c r="F141" i="2" s="1"/>
  <c r="F142" i="2" a="1"/>
  <c r="F142" i="2" s="1"/>
  <c r="F143" i="2" a="1"/>
  <c r="F143" i="2" s="1"/>
  <c r="F144" i="2" a="1"/>
  <c r="F144" i="2" s="1"/>
  <c r="F145" i="2" a="1"/>
  <c r="F145" i="2" s="1"/>
  <c r="F146" i="2" a="1"/>
  <c r="F146" i="2" s="1"/>
  <c r="F147" i="2" a="1"/>
  <c r="F147" i="2" s="1"/>
  <c r="F148" i="2" a="1"/>
  <c r="F148" i="2" s="1"/>
  <c r="F149" i="2" a="1"/>
  <c r="F149" i="2" s="1"/>
  <c r="F150" i="2" a="1"/>
  <c r="F150" i="2" s="1"/>
  <c r="F151" i="2" a="1"/>
  <c r="F151" i="2" s="1"/>
  <c r="F152" i="2" a="1"/>
  <c r="F152" i="2" s="1"/>
  <c r="F153" i="2" a="1"/>
  <c r="F153" i="2" s="1"/>
  <c r="F154" i="2" a="1"/>
  <c r="F154" i="2" s="1"/>
  <c r="F155" i="2" a="1"/>
  <c r="F155" i="2" s="1"/>
  <c r="F156" i="2" a="1"/>
  <c r="F156" i="2" s="1"/>
  <c r="F157" i="2" a="1"/>
  <c r="F157" i="2" s="1"/>
  <c r="F158" i="2" a="1"/>
  <c r="F158" i="2" s="1"/>
  <c r="F159" i="2" a="1"/>
  <c r="F159" i="2" s="1"/>
  <c r="F160" i="2" a="1"/>
  <c r="F160" i="2" s="1"/>
  <c r="F161" i="2" a="1"/>
  <c r="F161" i="2" s="1"/>
  <c r="F162" i="2" a="1"/>
  <c r="F162" i="2" s="1"/>
  <c r="F163" i="2" a="1"/>
  <c r="F163" i="2" s="1"/>
  <c r="F164" i="2" a="1"/>
  <c r="F164" i="2" s="1"/>
  <c r="F165" i="2" a="1"/>
  <c r="F165" i="2" s="1"/>
  <c r="F166" i="2" a="1"/>
  <c r="F166" i="2" s="1"/>
  <c r="F167" i="2" a="1"/>
  <c r="F167" i="2" s="1"/>
  <c r="F168" i="2" a="1"/>
  <c r="F168" i="2" s="1"/>
  <c r="F169" i="2" a="1"/>
  <c r="F169" i="2" s="1"/>
  <c r="F170" i="2" a="1"/>
  <c r="F170" i="2" s="1"/>
  <c r="F171" i="2" a="1"/>
  <c r="F171" i="2" s="1"/>
  <c r="F172" i="2" a="1"/>
  <c r="F172" i="2" s="1"/>
  <c r="F173" i="2" a="1"/>
  <c r="F173" i="2" s="1"/>
  <c r="F174" i="2" a="1"/>
  <c r="F174" i="2" s="1"/>
  <c r="F175" i="2" a="1"/>
  <c r="F175" i="2" s="1"/>
  <c r="F176" i="2" a="1"/>
  <c r="F176" i="2" s="1"/>
  <c r="F177" i="2" a="1"/>
  <c r="F177" i="2" s="1"/>
  <c r="F178" i="2" a="1"/>
  <c r="F178" i="2" s="1"/>
  <c r="F179" i="2" a="1"/>
  <c r="F179" i="2" s="1"/>
  <c r="F180" i="2" a="1"/>
  <c r="F180" i="2" s="1"/>
  <c r="F181" i="2" a="1"/>
  <c r="F181" i="2" s="1"/>
  <c r="F182" i="2" a="1"/>
  <c r="F182" i="2" s="1"/>
  <c r="F183" i="2" a="1"/>
  <c r="F183" i="2" s="1"/>
  <c r="F184" i="2" a="1"/>
  <c r="F184" i="2" s="1"/>
  <c r="F185" i="2" a="1"/>
  <c r="F185" i="2" s="1"/>
  <c r="F186" i="2" a="1"/>
  <c r="F186" i="2" s="1"/>
  <c r="F187" i="2" a="1"/>
  <c r="F187" i="2" s="1"/>
  <c r="F188" i="2" a="1"/>
  <c r="F188" i="2" s="1"/>
  <c r="F189" i="2" a="1"/>
  <c r="F189" i="2" s="1"/>
  <c r="F190" i="2" a="1"/>
  <c r="F190" i="2" s="1"/>
  <c r="F191" i="2" a="1"/>
  <c r="F191" i="2" s="1"/>
  <c r="F192" i="2" a="1"/>
  <c r="F192" i="2" s="1"/>
  <c r="F193" i="2" a="1"/>
  <c r="F193" i="2" s="1"/>
  <c r="F194" i="2" a="1"/>
  <c r="F194" i="2" s="1"/>
  <c r="F195" i="2" a="1"/>
  <c r="F195" i="2" s="1"/>
  <c r="F196" i="2" a="1"/>
  <c r="F196" i="2" s="1"/>
  <c r="F197" i="2" a="1"/>
  <c r="F197" i="2" s="1"/>
  <c r="F198" i="2" a="1"/>
  <c r="F198" i="2" s="1"/>
  <c r="F199" i="2" a="1"/>
  <c r="F199" i="2" s="1"/>
  <c r="F200" i="2" a="1"/>
  <c r="F200" i="2" s="1"/>
  <c r="F201" i="2" a="1"/>
  <c r="F201" i="2" s="1"/>
  <c r="F202" i="2" a="1"/>
  <c r="F202" i="2" s="1"/>
  <c r="F203" i="2" a="1"/>
  <c r="F203" i="2" s="1"/>
  <c r="F204" i="2" a="1"/>
  <c r="F204" i="2" s="1"/>
  <c r="F205" i="2" a="1"/>
  <c r="F205" i="2" s="1"/>
  <c r="F206" i="2" a="1"/>
  <c r="F206" i="2" s="1"/>
  <c r="F207" i="2" a="1"/>
  <c r="F207" i="2" s="1"/>
  <c r="F208" i="2" a="1"/>
  <c r="F208" i="2" s="1"/>
  <c r="F209" i="2" a="1"/>
  <c r="F209" i="2" s="1"/>
  <c r="F210" i="2" a="1"/>
  <c r="F210" i="2" s="1"/>
  <c r="F211" i="2" a="1"/>
  <c r="F211" i="2" s="1"/>
  <c r="F212" i="2" a="1"/>
  <c r="F212" i="2" s="1"/>
  <c r="F213" i="2" a="1"/>
  <c r="F213" i="2" s="1"/>
  <c r="F214" i="2" a="1"/>
  <c r="F214" i="2" s="1"/>
  <c r="F215" i="2" a="1"/>
  <c r="F215" i="2" s="1"/>
  <c r="F216" i="2" a="1"/>
  <c r="F216" i="2" s="1"/>
  <c r="F217" i="2" a="1"/>
  <c r="F217" i="2" s="1"/>
  <c r="F218" i="2" a="1"/>
  <c r="F218" i="2" s="1"/>
  <c r="F219" i="2" a="1"/>
  <c r="F219" i="2" s="1"/>
  <c r="F220" i="2" a="1"/>
  <c r="F220" i="2" s="1"/>
  <c r="F221" i="2" a="1"/>
  <c r="F221" i="2" s="1"/>
  <c r="F222" i="2" a="1"/>
  <c r="F222" i="2" s="1"/>
  <c r="F223" i="2" a="1"/>
  <c r="F223" i="2" s="1"/>
  <c r="F224" i="2" a="1"/>
  <c r="F224" i="2" s="1"/>
  <c r="F225" i="2" a="1"/>
  <c r="F225" i="2" s="1"/>
  <c r="F226" i="2" a="1"/>
  <c r="F226" i="2" s="1"/>
  <c r="F227" i="2" a="1"/>
  <c r="F227" i="2" s="1"/>
  <c r="F228" i="2" a="1"/>
  <c r="F228" i="2" s="1"/>
  <c r="F229" i="2" a="1"/>
  <c r="F229" i="2" s="1"/>
  <c r="F230" i="2" a="1"/>
  <c r="F230" i="2" s="1"/>
  <c r="F231" i="2" a="1"/>
  <c r="F231" i="2" s="1"/>
  <c r="F232" i="2" a="1"/>
  <c r="F232" i="2" s="1"/>
  <c r="F233" i="2" a="1"/>
  <c r="F233" i="2" s="1"/>
  <c r="F234" i="2" a="1"/>
  <c r="F234" i="2" s="1"/>
  <c r="F235" i="2" a="1"/>
  <c r="F235" i="2" s="1"/>
  <c r="F236" i="2" a="1"/>
  <c r="F236" i="2" s="1"/>
  <c r="F237" i="2" a="1"/>
  <c r="F237" i="2" s="1"/>
  <c r="F238" i="2" a="1"/>
  <c r="F238" i="2" s="1"/>
  <c r="F239" i="2" a="1"/>
  <c r="F239" i="2" s="1"/>
  <c r="F240" i="2" a="1"/>
  <c r="F240" i="2" s="1"/>
  <c r="F241" i="2" a="1"/>
  <c r="F241" i="2" s="1"/>
  <c r="F242" i="2" a="1"/>
  <c r="F242" i="2" s="1"/>
  <c r="F243" i="2" a="1"/>
  <c r="F243" i="2" s="1"/>
  <c r="F244" i="2" a="1"/>
  <c r="F244" i="2" s="1"/>
  <c r="F245" i="2" a="1"/>
  <c r="F245" i="2" s="1"/>
  <c r="F246" i="2" a="1"/>
  <c r="F246" i="2" s="1"/>
  <c r="F247" i="2" a="1"/>
  <c r="F247" i="2" s="1"/>
  <c r="F248" i="2" a="1"/>
  <c r="F248" i="2" s="1"/>
  <c r="F249" i="2" a="1"/>
  <c r="F249" i="2" s="1"/>
  <c r="F250" i="2" a="1"/>
  <c r="F250" i="2" s="1"/>
  <c r="F251" i="2" a="1"/>
  <c r="F251" i="2" s="1"/>
  <c r="F252" i="2" a="1"/>
  <c r="F252" i="2" s="1"/>
  <c r="F253" i="2" a="1"/>
  <c r="F253" i="2" s="1"/>
  <c r="F254" i="2" a="1"/>
  <c r="F254" i="2" s="1"/>
  <c r="F255" i="2" a="1"/>
  <c r="F255" i="2" s="1"/>
  <c r="F256" i="2" a="1"/>
  <c r="F256" i="2" s="1"/>
  <c r="F257" i="2" a="1"/>
  <c r="F257" i="2" s="1"/>
  <c r="F258" i="2" a="1"/>
  <c r="F258" i="2" s="1"/>
  <c r="F259" i="2" a="1"/>
  <c r="F259" i="2" s="1"/>
  <c r="F260" i="2" a="1"/>
  <c r="F260" i="2" s="1"/>
  <c r="F261" i="2" a="1"/>
  <c r="F261" i="2" s="1"/>
  <c r="F262" i="2" a="1"/>
  <c r="F262" i="2" s="1"/>
  <c r="F263" i="2" a="1"/>
  <c r="F263" i="2" s="1"/>
  <c r="F264" i="2" a="1"/>
  <c r="F264" i="2" s="1"/>
  <c r="F265" i="2" a="1"/>
  <c r="F265" i="2" s="1"/>
  <c r="F266" i="2" a="1"/>
  <c r="F266" i="2" s="1"/>
  <c r="F267" i="2" a="1"/>
  <c r="F267" i="2" s="1"/>
  <c r="F268" i="2" a="1"/>
  <c r="F268" i="2" s="1"/>
  <c r="F269" i="2" a="1"/>
  <c r="F269" i="2" s="1"/>
  <c r="F270" i="2" a="1"/>
  <c r="F270" i="2" s="1"/>
  <c r="F271" i="2" a="1"/>
  <c r="F271" i="2" s="1"/>
  <c r="F272" i="2" a="1"/>
  <c r="F272" i="2" s="1"/>
  <c r="F273" i="2" a="1"/>
  <c r="F273" i="2" s="1"/>
  <c r="F274" i="2" a="1"/>
  <c r="F274" i="2" s="1"/>
  <c r="F275" i="2" a="1"/>
  <c r="F275" i="2" s="1"/>
  <c r="F276" i="2" a="1"/>
  <c r="F276" i="2" s="1"/>
  <c r="F277" i="2" a="1"/>
  <c r="F277" i="2" s="1"/>
  <c r="F278" i="2" a="1"/>
  <c r="F278" i="2" s="1"/>
  <c r="F279" i="2" a="1"/>
  <c r="F279" i="2" s="1"/>
  <c r="F280" i="2" a="1"/>
  <c r="F280" i="2" s="1"/>
  <c r="F281" i="2" a="1"/>
  <c r="F281" i="2" s="1"/>
  <c r="F282" i="2" a="1"/>
  <c r="F282" i="2" s="1"/>
  <c r="F283" i="2" a="1"/>
  <c r="F283" i="2" s="1"/>
  <c r="F284" i="2" a="1"/>
  <c r="F284" i="2" s="1"/>
  <c r="F285" i="2" a="1"/>
  <c r="F285" i="2" s="1"/>
  <c r="F286" i="2" a="1"/>
  <c r="F286" i="2" s="1"/>
  <c r="F287" i="2" a="1"/>
  <c r="F287" i="2" s="1"/>
  <c r="F288" i="2" a="1"/>
  <c r="F288" i="2" s="1"/>
  <c r="F289" i="2" a="1"/>
  <c r="F289" i="2" s="1"/>
  <c r="F290" i="2" a="1"/>
  <c r="F290" i="2" s="1"/>
  <c r="F291" i="2" a="1"/>
  <c r="F291" i="2" s="1"/>
  <c r="F292" i="2" a="1"/>
  <c r="F292" i="2" s="1"/>
  <c r="F293" i="2" a="1"/>
  <c r="F293" i="2" s="1"/>
  <c r="F294" i="2" a="1"/>
  <c r="F294" i="2" s="1"/>
  <c r="F295" i="2" a="1"/>
  <c r="F295" i="2" s="1"/>
  <c r="F296" i="2" a="1"/>
  <c r="F296" i="2" s="1"/>
  <c r="F297" i="2" a="1"/>
  <c r="F297" i="2" s="1"/>
  <c r="F298" i="2" a="1"/>
  <c r="F298" i="2" s="1"/>
  <c r="F299" i="2" a="1"/>
  <c r="F299" i="2" s="1"/>
  <c r="F300" i="2" a="1"/>
  <c r="F300" i="2" s="1"/>
  <c r="F301" i="2" a="1"/>
  <c r="F301" i="2" s="1"/>
  <c r="F302" i="2" a="1"/>
  <c r="F302" i="2" s="1"/>
  <c r="F303" i="2" a="1"/>
  <c r="F303" i="2" s="1"/>
  <c r="F304" i="2" a="1"/>
  <c r="F304" i="2" s="1"/>
  <c r="F305" i="2" a="1"/>
  <c r="F305" i="2" s="1"/>
  <c r="F306" i="2" a="1"/>
  <c r="F306" i="2" s="1"/>
  <c r="F307" i="2" a="1"/>
  <c r="F307" i="2" s="1"/>
  <c r="F308" i="2" a="1"/>
  <c r="F308" i="2" s="1"/>
  <c r="F309" i="2" a="1"/>
  <c r="F309" i="2" s="1"/>
  <c r="F310" i="2" a="1"/>
  <c r="F310" i="2" s="1"/>
  <c r="F311" i="2" a="1"/>
  <c r="F311" i="2" s="1"/>
  <c r="F312" i="2" a="1"/>
  <c r="F312" i="2" s="1"/>
  <c r="F313" i="2" a="1"/>
  <c r="F313" i="2" s="1"/>
  <c r="F314" i="2" a="1"/>
  <c r="F314" i="2" s="1"/>
  <c r="F315" i="2" a="1"/>
  <c r="F315" i="2" s="1"/>
  <c r="F316" i="2" a="1"/>
  <c r="F316" i="2" s="1"/>
  <c r="F317" i="2" a="1"/>
  <c r="F317" i="2" s="1"/>
  <c r="F318" i="2" a="1"/>
  <c r="F318" i="2" s="1"/>
  <c r="F319" i="2" a="1"/>
  <c r="F319" i="2" s="1"/>
  <c r="F320" i="2" a="1"/>
  <c r="F320" i="2" s="1"/>
  <c r="F321" i="2" a="1"/>
  <c r="F321" i="2" s="1"/>
  <c r="F322" i="2" a="1"/>
  <c r="F322" i="2" s="1"/>
  <c r="F323" i="2" a="1"/>
  <c r="F323" i="2" s="1"/>
  <c r="F324" i="2" a="1"/>
  <c r="F324" i="2" s="1"/>
  <c r="F325" i="2" a="1"/>
  <c r="F325" i="2" s="1"/>
  <c r="F326" i="2" a="1"/>
  <c r="F326" i="2" s="1"/>
  <c r="F327" i="2" a="1"/>
  <c r="F327" i="2" s="1"/>
  <c r="F328" i="2" a="1"/>
  <c r="F328" i="2" s="1"/>
  <c r="F329" i="2" a="1"/>
  <c r="F329" i="2" s="1"/>
  <c r="F330" i="2" a="1"/>
  <c r="F330" i="2" s="1"/>
  <c r="F331" i="2" a="1"/>
  <c r="F331" i="2" s="1"/>
  <c r="F332" i="2" a="1"/>
  <c r="F332" i="2" s="1"/>
  <c r="F333" i="2" a="1"/>
  <c r="F333" i="2" s="1"/>
  <c r="F334" i="2" a="1"/>
  <c r="F334" i="2" s="1"/>
  <c r="F335" i="2" a="1"/>
  <c r="F335" i="2" s="1"/>
  <c r="F336" i="2" a="1"/>
  <c r="F336" i="2" s="1"/>
  <c r="F337" i="2" a="1"/>
  <c r="F337" i="2" s="1"/>
  <c r="F338" i="2" a="1"/>
  <c r="F338" i="2" s="1"/>
  <c r="F339" i="2" a="1"/>
  <c r="F339" i="2" s="1"/>
  <c r="F340" i="2" a="1"/>
  <c r="F340" i="2" s="1"/>
  <c r="F341" i="2" a="1"/>
  <c r="F341" i="2" s="1"/>
  <c r="F342" i="2" a="1"/>
  <c r="F342" i="2" s="1"/>
  <c r="F343" i="2" a="1"/>
  <c r="F343" i="2" s="1"/>
  <c r="F344" i="2" a="1"/>
  <c r="F344" i="2" s="1"/>
  <c r="F345" i="2" a="1"/>
  <c r="F345" i="2" s="1"/>
  <c r="AD2" i="1" l="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E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K8" i="7" s="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N1003" i="1" l="1"/>
  <c r="AN1002" i="1"/>
  <c r="AN1001" i="1"/>
  <c r="AN1000" i="1"/>
  <c r="AN999" i="1"/>
  <c r="AN998" i="1"/>
  <c r="AN997" i="1"/>
  <c r="AN996" i="1"/>
  <c r="AN995" i="1"/>
  <c r="AN994" i="1"/>
  <c r="AN993" i="1"/>
  <c r="AN992" i="1"/>
  <c r="AN991" i="1"/>
  <c r="AN990" i="1"/>
  <c r="AN989" i="1"/>
  <c r="AN988" i="1"/>
  <c r="AN987" i="1"/>
  <c r="AN986" i="1"/>
  <c r="AN985" i="1"/>
  <c r="AN984" i="1"/>
  <c r="AN983" i="1"/>
  <c r="AN982" i="1"/>
  <c r="AN981" i="1"/>
  <c r="AN980" i="1"/>
  <c r="AN979" i="1"/>
  <c r="AN978" i="1"/>
  <c r="AN977" i="1"/>
  <c r="AN976" i="1"/>
  <c r="AN975" i="1"/>
  <c r="AN974" i="1"/>
  <c r="AN973" i="1"/>
  <c r="AN972" i="1"/>
  <c r="AN971" i="1"/>
  <c r="AN970" i="1"/>
  <c r="AN969" i="1"/>
  <c r="AN968" i="1"/>
  <c r="AN967" i="1"/>
  <c r="AN966" i="1"/>
  <c r="AN965" i="1"/>
  <c r="AN964" i="1"/>
  <c r="AN963" i="1"/>
  <c r="AN962" i="1"/>
  <c r="AN961" i="1"/>
  <c r="AN960" i="1"/>
  <c r="AN959" i="1"/>
  <c r="AN958" i="1"/>
  <c r="AN957" i="1"/>
  <c r="AN956" i="1"/>
  <c r="AN955" i="1"/>
  <c r="AN954" i="1"/>
  <c r="AN953" i="1"/>
  <c r="AN952" i="1"/>
  <c r="AN951" i="1"/>
  <c r="AN950" i="1"/>
  <c r="AN949" i="1"/>
  <c r="AN948" i="1"/>
  <c r="AN947" i="1"/>
  <c r="AN946" i="1"/>
  <c r="AN945" i="1"/>
  <c r="AN944" i="1"/>
  <c r="AN943" i="1"/>
  <c r="AN942" i="1"/>
  <c r="AN941" i="1"/>
  <c r="AN940" i="1"/>
  <c r="AN939" i="1"/>
  <c r="AN938" i="1"/>
  <c r="AN937" i="1"/>
  <c r="AN936" i="1"/>
  <c r="AN935" i="1"/>
  <c r="AN934" i="1"/>
  <c r="AN933" i="1"/>
  <c r="AN932" i="1"/>
  <c r="AN931" i="1"/>
  <c r="AN930" i="1"/>
  <c r="AN929" i="1"/>
  <c r="AN928" i="1"/>
  <c r="AN927" i="1"/>
  <c r="AN926" i="1"/>
  <c r="AN925" i="1"/>
  <c r="AN924" i="1"/>
  <c r="AN923" i="1"/>
  <c r="AN922" i="1"/>
  <c r="AN921" i="1"/>
  <c r="AN920" i="1"/>
  <c r="AN919" i="1"/>
  <c r="AN918" i="1"/>
  <c r="AN917" i="1"/>
  <c r="AN916" i="1"/>
  <c r="AN915" i="1"/>
  <c r="AN914" i="1"/>
  <c r="AN913" i="1"/>
  <c r="AN912" i="1"/>
  <c r="AN911" i="1"/>
  <c r="AN910" i="1"/>
  <c r="AN909" i="1"/>
  <c r="AN908" i="1"/>
  <c r="AN907" i="1"/>
  <c r="AN906" i="1"/>
  <c r="AN905" i="1"/>
  <c r="AN904" i="1"/>
  <c r="AN903" i="1"/>
  <c r="AN902" i="1"/>
  <c r="AN901" i="1"/>
  <c r="AN900" i="1"/>
  <c r="AN899" i="1"/>
  <c r="AN898" i="1"/>
  <c r="AN897" i="1"/>
  <c r="AN896" i="1"/>
  <c r="AN895" i="1"/>
  <c r="AN894" i="1"/>
  <c r="AN893" i="1"/>
  <c r="AN892" i="1"/>
  <c r="AN891" i="1"/>
  <c r="AN890" i="1"/>
  <c r="AN889" i="1"/>
  <c r="AN888" i="1"/>
  <c r="AN887" i="1"/>
  <c r="AN886" i="1"/>
  <c r="AN885" i="1"/>
  <c r="AN884" i="1"/>
  <c r="AN883" i="1"/>
  <c r="AN882" i="1"/>
  <c r="AN881" i="1"/>
  <c r="AN880" i="1"/>
  <c r="AN879" i="1"/>
  <c r="AN878" i="1"/>
  <c r="AN877" i="1"/>
  <c r="AN876" i="1"/>
  <c r="AN875" i="1"/>
  <c r="AN874" i="1"/>
  <c r="AN873" i="1"/>
  <c r="AN872" i="1"/>
  <c r="AN871" i="1"/>
  <c r="AN870" i="1"/>
  <c r="AN869" i="1"/>
  <c r="AN868" i="1"/>
  <c r="AN867" i="1"/>
  <c r="AN866" i="1"/>
  <c r="AN865" i="1"/>
  <c r="AN864" i="1"/>
  <c r="AN863" i="1"/>
  <c r="AN862" i="1"/>
  <c r="AN861" i="1"/>
  <c r="AN860" i="1"/>
  <c r="AN859" i="1"/>
  <c r="AN858" i="1"/>
  <c r="AN857" i="1"/>
  <c r="AN856" i="1"/>
  <c r="AN855" i="1"/>
  <c r="AN854" i="1"/>
  <c r="AN853" i="1"/>
  <c r="AN852" i="1"/>
  <c r="AN851" i="1"/>
  <c r="AN850" i="1"/>
  <c r="AN849" i="1"/>
  <c r="AN848" i="1"/>
  <c r="AN847" i="1"/>
  <c r="AN846" i="1"/>
  <c r="AN845" i="1"/>
  <c r="AN844" i="1"/>
  <c r="AN843" i="1"/>
  <c r="AN842" i="1"/>
  <c r="AN841" i="1"/>
  <c r="AN840" i="1"/>
  <c r="AN839" i="1"/>
  <c r="AN838" i="1"/>
  <c r="AN837" i="1"/>
  <c r="AN836" i="1"/>
  <c r="AN835" i="1"/>
  <c r="AN834" i="1"/>
  <c r="AN833" i="1"/>
  <c r="AN832" i="1"/>
  <c r="AN831" i="1"/>
  <c r="AN830" i="1"/>
  <c r="AN829" i="1"/>
  <c r="AN828" i="1"/>
  <c r="AN827" i="1"/>
  <c r="AN826" i="1"/>
  <c r="AN825" i="1"/>
  <c r="AN824" i="1"/>
  <c r="AN823" i="1"/>
  <c r="AN822" i="1"/>
  <c r="AN821" i="1"/>
  <c r="AN820" i="1"/>
  <c r="AN819" i="1"/>
  <c r="AN818" i="1"/>
  <c r="AN817" i="1"/>
  <c r="AN816" i="1"/>
  <c r="AN815" i="1"/>
  <c r="AN814" i="1"/>
  <c r="AN813" i="1"/>
  <c r="AN812" i="1"/>
  <c r="AN811" i="1"/>
  <c r="AN810" i="1"/>
  <c r="AN809" i="1"/>
  <c r="AN808" i="1"/>
  <c r="AN807" i="1"/>
  <c r="AN806" i="1"/>
  <c r="AN805" i="1"/>
  <c r="AN804" i="1"/>
  <c r="AN803" i="1"/>
  <c r="AN802" i="1"/>
  <c r="AN801" i="1"/>
  <c r="AN800" i="1"/>
  <c r="AN799" i="1"/>
  <c r="AN798" i="1"/>
  <c r="AN797" i="1"/>
  <c r="AN796" i="1"/>
  <c r="AN795" i="1"/>
  <c r="AN794" i="1"/>
  <c r="AN793" i="1"/>
  <c r="AN792" i="1"/>
  <c r="AN791" i="1"/>
  <c r="AN790" i="1"/>
  <c r="AN789" i="1"/>
  <c r="AN788" i="1"/>
  <c r="AN787" i="1"/>
  <c r="AN786" i="1"/>
  <c r="AN785" i="1"/>
  <c r="AN784" i="1"/>
  <c r="AN783" i="1"/>
  <c r="AN782" i="1"/>
  <c r="AN781" i="1"/>
  <c r="AN780" i="1"/>
  <c r="AN779" i="1"/>
  <c r="AN778" i="1"/>
  <c r="AN777" i="1"/>
  <c r="AN776" i="1"/>
  <c r="AN775" i="1"/>
  <c r="AN774" i="1"/>
  <c r="AN773" i="1"/>
  <c r="AN772" i="1"/>
  <c r="AN771" i="1"/>
  <c r="AN770" i="1"/>
  <c r="AN769" i="1"/>
  <c r="AN768" i="1"/>
  <c r="AN767" i="1"/>
  <c r="AN766" i="1"/>
  <c r="AN765" i="1"/>
  <c r="AN764" i="1"/>
  <c r="AN763" i="1"/>
  <c r="AN762" i="1"/>
  <c r="AN761" i="1"/>
  <c r="AN760" i="1"/>
  <c r="AN759" i="1"/>
  <c r="AN758" i="1"/>
  <c r="AN757" i="1"/>
  <c r="AN756" i="1"/>
  <c r="AN755" i="1"/>
  <c r="AN754" i="1"/>
  <c r="AN753" i="1"/>
  <c r="AN752" i="1"/>
  <c r="AN751" i="1"/>
  <c r="AN750" i="1"/>
  <c r="AN749" i="1"/>
  <c r="AN748" i="1"/>
  <c r="AN747" i="1"/>
  <c r="AN746" i="1"/>
  <c r="AN745" i="1"/>
  <c r="AN744" i="1"/>
  <c r="AN743" i="1"/>
  <c r="AN742" i="1"/>
  <c r="AN741" i="1"/>
  <c r="AN740" i="1"/>
  <c r="AN739" i="1"/>
  <c r="AN738" i="1"/>
  <c r="AN737" i="1"/>
  <c r="AN736" i="1"/>
  <c r="AN735" i="1"/>
  <c r="AN734" i="1"/>
  <c r="AN733" i="1"/>
  <c r="AN732" i="1"/>
  <c r="AN731" i="1"/>
  <c r="AN730" i="1"/>
  <c r="AN729" i="1"/>
  <c r="AN728" i="1"/>
  <c r="AN727" i="1"/>
  <c r="AN726" i="1"/>
  <c r="AN725" i="1"/>
  <c r="AN724" i="1"/>
  <c r="AN723" i="1"/>
  <c r="AN722" i="1"/>
  <c r="AN721" i="1"/>
  <c r="AN720" i="1"/>
  <c r="AN719" i="1"/>
  <c r="AN718" i="1"/>
  <c r="AN717" i="1"/>
  <c r="AN716" i="1"/>
  <c r="AN715" i="1"/>
  <c r="AN714" i="1"/>
  <c r="AN713" i="1"/>
  <c r="AN712" i="1"/>
  <c r="AN711" i="1"/>
  <c r="AN710" i="1"/>
  <c r="AN709" i="1"/>
  <c r="AN708" i="1"/>
  <c r="AN707" i="1"/>
  <c r="AN706" i="1"/>
  <c r="AN705" i="1"/>
  <c r="AN704" i="1"/>
  <c r="AN703" i="1"/>
  <c r="AN702" i="1"/>
  <c r="AN701" i="1"/>
  <c r="AN700" i="1"/>
  <c r="AN699" i="1"/>
  <c r="AN698" i="1"/>
  <c r="AN697" i="1"/>
  <c r="AN696" i="1"/>
  <c r="AN695" i="1"/>
  <c r="AN694" i="1"/>
  <c r="AN693" i="1"/>
  <c r="AN692" i="1"/>
  <c r="AN691" i="1"/>
  <c r="AN690" i="1"/>
  <c r="AN689" i="1"/>
  <c r="AN688" i="1"/>
  <c r="AN687" i="1"/>
  <c r="AN686" i="1"/>
  <c r="AN685" i="1"/>
  <c r="AN684" i="1"/>
  <c r="AN683" i="1"/>
  <c r="AN682" i="1"/>
  <c r="AN681" i="1"/>
  <c r="AN680" i="1"/>
  <c r="AN679" i="1"/>
  <c r="AN678" i="1"/>
  <c r="AN677" i="1"/>
  <c r="AN676" i="1"/>
  <c r="AN675" i="1"/>
  <c r="AN674" i="1"/>
  <c r="AN673" i="1"/>
  <c r="AN672" i="1"/>
  <c r="AN671" i="1"/>
  <c r="AN670" i="1"/>
  <c r="AN669" i="1"/>
  <c r="AN668" i="1"/>
  <c r="AN667" i="1"/>
  <c r="AN666" i="1"/>
  <c r="AN665" i="1"/>
  <c r="AN664" i="1"/>
  <c r="AN663" i="1"/>
  <c r="AN662" i="1"/>
  <c r="AN661" i="1"/>
  <c r="AN660" i="1"/>
  <c r="AN659" i="1"/>
  <c r="AN658" i="1"/>
  <c r="AN657" i="1"/>
  <c r="AN656" i="1"/>
  <c r="AN655" i="1"/>
  <c r="AN654" i="1"/>
  <c r="AN653" i="1"/>
  <c r="AN652" i="1"/>
  <c r="AN651" i="1"/>
  <c r="AN650" i="1"/>
  <c r="AN649" i="1"/>
  <c r="AN648" i="1"/>
  <c r="AN647" i="1"/>
  <c r="AN646" i="1"/>
  <c r="AN645" i="1"/>
  <c r="AN644" i="1"/>
  <c r="AN643" i="1"/>
  <c r="AN642" i="1"/>
  <c r="AN641" i="1"/>
  <c r="AN640" i="1"/>
  <c r="AN639" i="1"/>
  <c r="AN638" i="1"/>
  <c r="AN637" i="1"/>
  <c r="AN636" i="1"/>
  <c r="AN635" i="1"/>
  <c r="AN634" i="1"/>
  <c r="AN633" i="1"/>
  <c r="AN632" i="1"/>
  <c r="AN631" i="1"/>
  <c r="AN630" i="1"/>
  <c r="AN629" i="1"/>
  <c r="AN628" i="1"/>
  <c r="AN627" i="1"/>
  <c r="AN626" i="1"/>
  <c r="AN625" i="1"/>
  <c r="AN624" i="1"/>
  <c r="AN623" i="1"/>
  <c r="AN622" i="1"/>
  <c r="AN621" i="1"/>
  <c r="AN620" i="1"/>
  <c r="AN619" i="1"/>
  <c r="AN618" i="1"/>
  <c r="AN617" i="1"/>
  <c r="AN616" i="1"/>
  <c r="AN615" i="1"/>
  <c r="AN614" i="1"/>
  <c r="AN613" i="1"/>
  <c r="AN612" i="1"/>
  <c r="AN611" i="1"/>
  <c r="AN610" i="1"/>
  <c r="AN609" i="1"/>
  <c r="AN608" i="1"/>
  <c r="AN607" i="1"/>
  <c r="AN606" i="1"/>
  <c r="AN605" i="1"/>
  <c r="AN604" i="1"/>
  <c r="AN603" i="1"/>
  <c r="AN602" i="1"/>
  <c r="AN601" i="1"/>
  <c r="AN600" i="1"/>
  <c r="AN599" i="1"/>
  <c r="AN598" i="1"/>
  <c r="AN597" i="1"/>
  <c r="AN596" i="1"/>
  <c r="AN595" i="1"/>
  <c r="AN594" i="1"/>
  <c r="AN593" i="1"/>
  <c r="AN592" i="1"/>
  <c r="AN591" i="1"/>
  <c r="AN590" i="1"/>
  <c r="AN589" i="1"/>
  <c r="AN588" i="1"/>
  <c r="AN587" i="1"/>
  <c r="AN586" i="1"/>
  <c r="AN585" i="1"/>
  <c r="AN584" i="1"/>
  <c r="AN583" i="1"/>
  <c r="AN582" i="1"/>
  <c r="AN581" i="1"/>
  <c r="AN580" i="1"/>
  <c r="AN579" i="1"/>
  <c r="AN578" i="1"/>
  <c r="AN577" i="1"/>
  <c r="AN576" i="1"/>
  <c r="AN575" i="1"/>
  <c r="AN574" i="1"/>
  <c r="AN573" i="1"/>
  <c r="AN572" i="1"/>
  <c r="AN571" i="1"/>
  <c r="AN570" i="1"/>
  <c r="AN569" i="1"/>
  <c r="AN568" i="1"/>
  <c r="AN567" i="1"/>
  <c r="AN566" i="1"/>
  <c r="AN565" i="1"/>
  <c r="AN564" i="1"/>
  <c r="AN563" i="1"/>
  <c r="AN562" i="1"/>
  <c r="AN561" i="1"/>
  <c r="AN560" i="1"/>
  <c r="AN559" i="1"/>
  <c r="AN558" i="1"/>
  <c r="AN557" i="1"/>
  <c r="AN556" i="1"/>
  <c r="AN555" i="1"/>
  <c r="AN554" i="1"/>
  <c r="AN553" i="1"/>
  <c r="AN552" i="1"/>
  <c r="AN551" i="1"/>
  <c r="AN550" i="1"/>
  <c r="AN549" i="1"/>
  <c r="AN548" i="1"/>
  <c r="AN547" i="1"/>
  <c r="AN546" i="1"/>
  <c r="AN545" i="1"/>
  <c r="AN544" i="1"/>
  <c r="AN543" i="1"/>
  <c r="AN542" i="1"/>
  <c r="AN541" i="1"/>
  <c r="AN540" i="1"/>
  <c r="AN539" i="1"/>
  <c r="AN538" i="1"/>
  <c r="AN537" i="1"/>
  <c r="AN536" i="1"/>
  <c r="AN535" i="1"/>
  <c r="AN534" i="1"/>
  <c r="AN533" i="1"/>
  <c r="AN532" i="1"/>
  <c r="AN531" i="1"/>
  <c r="AN530" i="1"/>
  <c r="AN529" i="1"/>
  <c r="AN528" i="1"/>
  <c r="AN527" i="1"/>
  <c r="AN526" i="1"/>
  <c r="AN525" i="1"/>
  <c r="AN524" i="1"/>
  <c r="AN523" i="1"/>
  <c r="AN522" i="1"/>
  <c r="AN521" i="1"/>
  <c r="AN520" i="1"/>
  <c r="AN519" i="1"/>
  <c r="AN518" i="1"/>
  <c r="AN517" i="1"/>
  <c r="AN516" i="1"/>
  <c r="AN515" i="1"/>
  <c r="AN514" i="1"/>
  <c r="AN513" i="1"/>
  <c r="AN512" i="1"/>
  <c r="AN511" i="1"/>
  <c r="AN510" i="1"/>
  <c r="AN509" i="1"/>
  <c r="AN508" i="1"/>
  <c r="AN507" i="1"/>
  <c r="AN506" i="1"/>
  <c r="AN505" i="1"/>
  <c r="AN504" i="1"/>
  <c r="AN503" i="1"/>
  <c r="AN502" i="1"/>
  <c r="AN501" i="1"/>
  <c r="AN500" i="1"/>
  <c r="AN499" i="1"/>
  <c r="AN498" i="1"/>
  <c r="AN497" i="1"/>
  <c r="AN496" i="1"/>
  <c r="AN495" i="1"/>
  <c r="AN494" i="1"/>
  <c r="AN493" i="1"/>
  <c r="AN492" i="1"/>
  <c r="AN491" i="1"/>
  <c r="AN490" i="1"/>
  <c r="AN489" i="1"/>
  <c r="AN488" i="1"/>
  <c r="AN487" i="1"/>
  <c r="AN486" i="1"/>
  <c r="AN485" i="1"/>
  <c r="AN484" i="1"/>
  <c r="AN483" i="1"/>
  <c r="AN482" i="1"/>
  <c r="AN481" i="1"/>
  <c r="AN480" i="1"/>
  <c r="AN479" i="1"/>
  <c r="AN478" i="1"/>
  <c r="AN477" i="1"/>
  <c r="AN476" i="1"/>
  <c r="AN475" i="1"/>
  <c r="AN474" i="1"/>
  <c r="AN473" i="1"/>
  <c r="AN472" i="1"/>
  <c r="AN471" i="1"/>
  <c r="AN470" i="1"/>
  <c r="AN469" i="1"/>
  <c r="AN468" i="1"/>
  <c r="AN467" i="1"/>
  <c r="AN466" i="1"/>
  <c r="AN465" i="1"/>
  <c r="AN464" i="1"/>
  <c r="AN463" i="1"/>
  <c r="AN462" i="1"/>
  <c r="AN461" i="1"/>
  <c r="AN460" i="1"/>
  <c r="AN459" i="1"/>
  <c r="AN458" i="1"/>
  <c r="AN457" i="1"/>
  <c r="AN456" i="1"/>
  <c r="AN455" i="1"/>
  <c r="AN454" i="1"/>
  <c r="AN453" i="1"/>
  <c r="AN452" i="1"/>
  <c r="AN451" i="1"/>
  <c r="AN450" i="1"/>
  <c r="AN449" i="1"/>
  <c r="AN448" i="1"/>
  <c r="AN447" i="1"/>
  <c r="AN446" i="1"/>
  <c r="AN445" i="1"/>
  <c r="AN444" i="1"/>
  <c r="AN443" i="1"/>
  <c r="AN442" i="1"/>
  <c r="AN441" i="1"/>
  <c r="AN440" i="1"/>
  <c r="AN439" i="1"/>
  <c r="AN438" i="1"/>
  <c r="AN437" i="1"/>
  <c r="AN436" i="1"/>
  <c r="AN435" i="1"/>
  <c r="AN434" i="1"/>
  <c r="AN433" i="1"/>
  <c r="AN432"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9" i="1"/>
  <c r="AN398" i="1"/>
  <c r="AN397" i="1"/>
  <c r="AN396" i="1"/>
  <c r="AN395" i="1"/>
  <c r="AN394" i="1"/>
  <c r="AN393" i="1"/>
  <c r="AN392" i="1"/>
  <c r="AN391" i="1"/>
  <c r="AN390" i="1"/>
  <c r="AN389" i="1"/>
  <c r="AN388" i="1"/>
  <c r="AN387" i="1"/>
  <c r="AN386" i="1"/>
  <c r="AN385" i="1"/>
  <c r="AN384" i="1"/>
  <c r="AN383" i="1"/>
  <c r="AN382" i="1"/>
  <c r="AN381" i="1"/>
  <c r="AN380" i="1"/>
  <c r="AN379" i="1"/>
  <c r="AN378" i="1"/>
  <c r="AN377" i="1"/>
  <c r="AN376" i="1"/>
  <c r="AN375" i="1"/>
  <c r="AN374" i="1"/>
  <c r="AN373" i="1"/>
  <c r="AN372" i="1"/>
  <c r="AN371" i="1"/>
  <c r="AN370" i="1"/>
  <c r="AN369" i="1"/>
  <c r="AN368" i="1"/>
  <c r="AN367" i="1"/>
  <c r="AN366" i="1"/>
  <c r="AN365" i="1"/>
  <c r="AN364" i="1"/>
  <c r="AN363" i="1"/>
  <c r="AN362" i="1"/>
  <c r="AN361" i="1"/>
  <c r="AN360" i="1"/>
  <c r="AN359" i="1"/>
  <c r="AN358" i="1"/>
  <c r="AN357" i="1"/>
  <c r="AN356" i="1"/>
  <c r="AN355" i="1"/>
  <c r="AN354" i="1"/>
  <c r="AN353" i="1"/>
  <c r="AN352" i="1"/>
  <c r="AN351" i="1"/>
  <c r="AN350" i="1"/>
  <c r="AN349" i="1"/>
  <c r="AN348" i="1"/>
  <c r="AN347" i="1"/>
  <c r="AN346" i="1"/>
  <c r="AN345" i="1"/>
  <c r="AN344" i="1"/>
  <c r="AN343" i="1"/>
  <c r="AN342" i="1"/>
  <c r="AN341" i="1"/>
  <c r="AN340" i="1"/>
  <c r="AN339" i="1"/>
  <c r="AN338" i="1"/>
  <c r="AN337" i="1"/>
  <c r="AN336" i="1"/>
  <c r="AN335" i="1"/>
  <c r="AN334" i="1"/>
  <c r="AN333" i="1"/>
  <c r="AN332" i="1"/>
  <c r="AN331" i="1"/>
  <c r="AN330" i="1"/>
  <c r="AN329" i="1"/>
  <c r="AN328" i="1"/>
  <c r="AN327" i="1"/>
  <c r="AN326" i="1"/>
  <c r="AN325" i="1"/>
  <c r="AN324" i="1"/>
  <c r="AN323" i="1"/>
  <c r="AN322" i="1"/>
  <c r="AN321" i="1"/>
  <c r="AN320" i="1"/>
  <c r="AN319" i="1"/>
  <c r="AN318" i="1"/>
  <c r="AN317" i="1"/>
  <c r="AN316" i="1"/>
  <c r="AN315" i="1"/>
  <c r="AN314" i="1"/>
  <c r="AN313" i="1"/>
  <c r="AN312" i="1"/>
  <c r="AN311" i="1"/>
  <c r="AN310" i="1"/>
  <c r="AN309" i="1"/>
  <c r="AN308" i="1"/>
  <c r="AN307" i="1"/>
  <c r="AN306" i="1"/>
  <c r="AN305" i="1"/>
  <c r="AN304" i="1"/>
  <c r="AN303" i="1"/>
  <c r="AN302" i="1"/>
  <c r="AN301" i="1"/>
  <c r="AN300" i="1"/>
  <c r="AN299" i="1"/>
  <c r="AN298" i="1"/>
  <c r="AN297" i="1"/>
  <c r="AN296" i="1"/>
  <c r="AN295" i="1"/>
  <c r="AN294" i="1"/>
  <c r="AN293" i="1"/>
  <c r="AN292" i="1"/>
  <c r="AN291" i="1"/>
  <c r="AN290" i="1"/>
  <c r="AN289" i="1"/>
  <c r="AN288" i="1"/>
  <c r="AN287" i="1"/>
  <c r="AN286" i="1"/>
  <c r="AN285" i="1"/>
  <c r="AN284" i="1"/>
  <c r="AN283" i="1"/>
  <c r="AN282" i="1"/>
  <c r="AN281" i="1"/>
  <c r="AN280" i="1"/>
  <c r="AN279" i="1"/>
  <c r="AN278" i="1"/>
  <c r="AN277" i="1"/>
  <c r="AN276" i="1"/>
  <c r="AN275" i="1"/>
  <c r="AN274" i="1"/>
  <c r="AN273" i="1"/>
  <c r="AN272" i="1"/>
  <c r="AN271" i="1"/>
  <c r="AN270" i="1"/>
  <c r="AN269" i="1"/>
  <c r="AN268" i="1"/>
  <c r="AN267" i="1"/>
  <c r="AN266" i="1"/>
  <c r="AN265" i="1"/>
  <c r="AN264" i="1"/>
  <c r="AN263" i="1"/>
  <c r="AN262" i="1"/>
  <c r="AN261" i="1"/>
  <c r="AN260" i="1"/>
  <c r="AN93" i="1"/>
  <c r="AN92" i="1"/>
  <c r="AN91" i="1"/>
  <c r="AN90" i="1"/>
  <c r="AN89" i="1"/>
  <c r="AN88" i="1"/>
  <c r="AN87" i="1"/>
  <c r="AN86" i="1"/>
  <c r="AN85" i="1"/>
  <c r="AN84" i="1"/>
  <c r="AN83" i="1"/>
  <c r="AN82" i="1"/>
  <c r="AN81" i="1"/>
  <c r="AN80" i="1"/>
  <c r="AN79" i="1"/>
  <c r="AN78" i="1"/>
  <c r="AN77" i="1"/>
  <c r="AN76" i="1"/>
  <c r="AN75" i="1"/>
  <c r="AN74" i="1"/>
  <c r="AN73" i="1"/>
  <c r="AN72" i="1"/>
  <c r="AN71" i="1"/>
  <c r="AN70" i="1"/>
  <c r="AN69" i="1"/>
  <c r="AN68" i="1"/>
  <c r="AN67" i="1"/>
  <c r="AN66" i="1"/>
  <c r="AN65" i="1"/>
  <c r="AN64" i="1"/>
  <c r="AN63" i="1"/>
  <c r="AN62" i="1"/>
  <c r="AN61" i="1"/>
  <c r="AN60" i="1"/>
  <c r="AN59" i="1"/>
  <c r="AN58" i="1"/>
  <c r="AN57" i="1"/>
  <c r="AN56" i="1"/>
  <c r="AN55" i="1"/>
  <c r="AN54" i="1"/>
  <c r="AN53"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N26" i="1"/>
  <c r="AN25" i="1"/>
  <c r="AN24" i="1"/>
  <c r="AN23" i="1"/>
  <c r="AN22" i="1"/>
  <c r="AN21" i="1"/>
  <c r="AN20" i="1"/>
  <c r="AN19" i="1"/>
  <c r="AN18" i="1"/>
  <c r="AN17" i="1"/>
  <c r="AN16" i="1"/>
  <c r="AN15" i="1"/>
  <c r="AN14" i="1"/>
  <c r="AN13" i="1"/>
  <c r="AN12" i="1"/>
  <c r="AN11" i="1"/>
  <c r="AN10" i="1"/>
  <c r="AN9" i="1"/>
  <c r="AN8" i="1"/>
  <c r="AN7" i="1"/>
  <c r="AN6" i="1"/>
  <c r="AN5" i="1"/>
  <c r="AN4" i="1"/>
  <c r="AN3" i="1"/>
  <c r="B2" i="4" a="1"/>
  <c r="B2" i="4" s="1"/>
  <c r="C32" i="4" l="1"/>
  <c r="C28" i="4"/>
  <c r="C27" i="4"/>
  <c r="D7" i="12"/>
  <c r="F7" i="12"/>
  <c r="F9" i="12"/>
  <c r="F8" i="12"/>
  <c r="D8" i="12"/>
  <c r="A26" i="7"/>
  <c r="F5" i="12" l="1"/>
  <c r="E7" i="6"/>
  <c r="C26" i="4"/>
  <c r="A26" i="11" l="1"/>
  <c r="A51" i="6" l="1"/>
  <c r="A8" i="11" l="1"/>
  <c r="AO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P2" i="4" a="1"/>
  <c r="P2" i="4" s="1"/>
  <c r="I586" i="1"/>
  <c r="AN2"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6" i="1"/>
  <c r="AN134"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135" i="1"/>
  <c r="AN133" i="1"/>
  <c r="AN161" i="1"/>
  <c r="AN160" i="1"/>
  <c r="A9" i="11" l="1"/>
  <c r="A10" i="11" s="1"/>
  <c r="A13" i="11" s="1"/>
  <c r="A14" i="11" s="1"/>
  <c r="A15" i="11" s="1"/>
  <c r="A16" i="11" s="1"/>
  <c r="S651" i="1"/>
  <c r="R651" i="1"/>
  <c r="S641" i="1"/>
  <c r="R641" i="1"/>
  <c r="S737" i="1"/>
  <c r="R737" i="1"/>
  <c r="S564" i="1"/>
  <c r="R564" i="1"/>
  <c r="S650" i="1"/>
  <c r="R650" i="1"/>
  <c r="S735" i="1"/>
  <c r="R735" i="1"/>
  <c r="S567" i="1"/>
  <c r="R567" i="1"/>
  <c r="S734" i="1"/>
  <c r="R734" i="1"/>
  <c r="S566" i="1"/>
  <c r="R566" i="1"/>
  <c r="S736" i="1"/>
  <c r="R736" i="1"/>
  <c r="S733" i="1"/>
  <c r="R733" i="1"/>
  <c r="S670" i="1"/>
  <c r="R670" i="1"/>
  <c r="S574" i="1"/>
  <c r="R574" i="1"/>
  <c r="S293" i="1"/>
  <c r="R293" i="1"/>
  <c r="S291" i="1"/>
  <c r="R291" i="1"/>
  <c r="S657" i="1"/>
  <c r="R657" i="1"/>
  <c r="S283" i="1"/>
  <c r="R283" i="1"/>
  <c r="S930" i="1"/>
  <c r="R930" i="1"/>
  <c r="S635" i="1"/>
  <c r="R635" i="1"/>
  <c r="S935" i="1"/>
  <c r="R935" i="1"/>
  <c r="S342" i="1"/>
  <c r="R342" i="1"/>
  <c r="S912" i="1"/>
  <c r="R912" i="1"/>
  <c r="S563" i="1"/>
  <c r="R563" i="1"/>
  <c r="S914" i="1"/>
  <c r="R914" i="1"/>
  <c r="S920" i="1"/>
  <c r="R920" i="1"/>
  <c r="S275" i="1"/>
  <c r="R275" i="1"/>
  <c r="S565" i="1"/>
  <c r="R565" i="1"/>
  <c r="S918" i="1"/>
  <c r="R918" i="1"/>
  <c r="S931" i="1"/>
  <c r="R931" i="1"/>
  <c r="S707" i="1"/>
  <c r="R707" i="1"/>
  <c r="S910" i="1"/>
  <c r="R910" i="1"/>
  <c r="S616" i="1"/>
  <c r="R616" i="1"/>
  <c r="S603" i="1"/>
  <c r="R603" i="1"/>
  <c r="S916" i="1"/>
  <c r="R916" i="1"/>
  <c r="S586" i="1"/>
  <c r="R586" i="1"/>
  <c r="S277" i="1"/>
  <c r="R277" i="1"/>
  <c r="S160" i="1"/>
  <c r="R160" i="1"/>
  <c r="S668" i="1"/>
  <c r="R668" i="1"/>
  <c r="S617" i="1"/>
  <c r="R617" i="1"/>
  <c r="S656" i="1"/>
  <c r="R656" i="1"/>
  <c r="S927" i="1"/>
  <c r="R927" i="1"/>
  <c r="S605" i="1"/>
  <c r="R605" i="1"/>
  <c r="S699" i="1"/>
  <c r="R699" i="1"/>
  <c r="S913" i="1"/>
  <c r="R913" i="1"/>
  <c r="S923" i="1"/>
  <c r="R923" i="1"/>
  <c r="S911" i="1"/>
  <c r="R911" i="1"/>
  <c r="S929" i="1"/>
  <c r="R929" i="1"/>
  <c r="S933" i="1"/>
  <c r="R933" i="1"/>
  <c r="S161" i="1"/>
  <c r="R161" i="1"/>
  <c r="S604" i="1"/>
  <c r="R604" i="1"/>
  <c r="S561" i="1"/>
  <c r="R561" i="1"/>
  <c r="S557" i="1"/>
  <c r="R557" i="1"/>
  <c r="S921" i="1"/>
  <c r="R921" i="1"/>
  <c r="S919" i="1"/>
  <c r="R919" i="1"/>
  <c r="S559" i="1"/>
  <c r="R559" i="1"/>
  <c r="S917" i="1"/>
  <c r="R917" i="1"/>
  <c r="S629" i="1"/>
  <c r="R629" i="1"/>
  <c r="S915" i="1"/>
  <c r="R915" i="1"/>
  <c r="S36" i="1"/>
  <c r="R36" i="1"/>
  <c r="S687" i="1"/>
  <c r="R687" i="1"/>
  <c r="S634" i="1"/>
  <c r="R634" i="1"/>
  <c r="S925" i="1"/>
  <c r="R925" i="1"/>
  <c r="S932" i="1"/>
  <c r="R932" i="1"/>
  <c r="S924" i="1"/>
  <c r="R924" i="1"/>
  <c r="S558" i="1"/>
  <c r="R558" i="1"/>
  <c r="S601" i="1"/>
  <c r="R601" i="1"/>
  <c r="S934" i="1"/>
  <c r="R934" i="1"/>
  <c r="S937" i="1"/>
  <c r="R937" i="1"/>
  <c r="S643" i="1"/>
  <c r="R643" i="1"/>
  <c r="S638" i="1"/>
  <c r="R638" i="1"/>
  <c r="S938" i="1"/>
  <c r="R938" i="1"/>
  <c r="S602" i="1"/>
  <c r="R602" i="1"/>
  <c r="S285" i="1"/>
  <c r="R285" i="1"/>
  <c r="S928" i="1"/>
  <c r="R928" i="1"/>
  <c r="S562" i="1"/>
  <c r="R562" i="1"/>
  <c r="S636" i="1"/>
  <c r="R636" i="1"/>
  <c r="S560" i="1"/>
  <c r="R560" i="1"/>
  <c r="S627" i="1"/>
  <c r="R627" i="1"/>
  <c r="S936" i="1"/>
  <c r="R936" i="1"/>
  <c r="S133" i="1"/>
  <c r="R133" i="1"/>
  <c r="S922" i="1"/>
  <c r="R922" i="1"/>
  <c r="S645" i="1"/>
  <c r="R645" i="1"/>
  <c r="S279" i="1"/>
  <c r="R279" i="1"/>
  <c r="S640" i="1"/>
  <c r="R640" i="1"/>
  <c r="S653" i="1"/>
  <c r="R653" i="1"/>
  <c r="S647" i="1"/>
  <c r="R647" i="1"/>
  <c r="S659" i="1"/>
  <c r="R659" i="1"/>
  <c r="S623" i="1"/>
  <c r="R623" i="1"/>
  <c r="S299" i="1"/>
  <c r="R299" i="1"/>
  <c r="S926" i="1"/>
  <c r="R926" i="1"/>
  <c r="S729" i="1"/>
  <c r="R729" i="1"/>
  <c r="S274" i="1"/>
  <c r="R274" i="1"/>
  <c r="S665" i="1"/>
  <c r="R665" i="1"/>
  <c r="S661" i="1"/>
  <c r="R661" i="1"/>
  <c r="S135" i="1"/>
  <c r="R135" i="1"/>
  <c r="S290" i="1"/>
  <c r="R290" i="1"/>
  <c r="S294" i="1"/>
  <c r="R294" i="1"/>
  <c r="S655" i="1"/>
  <c r="R655" i="1"/>
  <c r="S663" i="1"/>
  <c r="R663" i="1"/>
  <c r="S281" i="1"/>
  <c r="R281" i="1"/>
  <c r="S628" i="1"/>
  <c r="R628" i="1"/>
  <c r="S280" i="1"/>
  <c r="R280" i="1"/>
  <c r="S282" i="1"/>
  <c r="R282" i="1"/>
  <c r="S642" i="1"/>
  <c r="R642" i="1"/>
  <c r="S649" i="1"/>
  <c r="R649" i="1"/>
  <c r="S287" i="1"/>
  <c r="R287" i="1"/>
  <c r="S637" i="1"/>
  <c r="R637" i="1"/>
  <c r="S289" i="1"/>
  <c r="R289" i="1"/>
  <c r="S646" i="1"/>
  <c r="R646" i="1"/>
  <c r="S276" i="1"/>
  <c r="R276" i="1"/>
  <c r="S286" i="1"/>
  <c r="R286" i="1"/>
  <c r="S652" i="1"/>
  <c r="R652" i="1"/>
  <c r="S624" i="1"/>
  <c r="R624" i="1"/>
  <c r="S278" i="1"/>
  <c r="R278" i="1"/>
  <c r="S295" i="1"/>
  <c r="R295" i="1"/>
  <c r="S292" i="1"/>
  <c r="R292" i="1"/>
  <c r="S639" i="1"/>
  <c r="R639" i="1"/>
  <c r="S644" i="1"/>
  <c r="R644" i="1"/>
  <c r="S284" i="1"/>
  <c r="R284" i="1"/>
  <c r="S288" i="1"/>
  <c r="R288" i="1"/>
  <c r="S662" i="1"/>
  <c r="R662" i="1"/>
  <c r="S648" i="1"/>
  <c r="R648" i="1"/>
  <c r="S664" i="1"/>
  <c r="R664" i="1"/>
  <c r="S658" i="1"/>
  <c r="R658" i="1"/>
  <c r="S654" i="1"/>
  <c r="R654" i="1"/>
  <c r="S660" i="1"/>
  <c r="R660" i="1"/>
  <c r="F135" i="1"/>
  <c r="F133" i="1"/>
  <c r="F161" i="1"/>
  <c r="F160" i="1"/>
  <c r="G660" i="1"/>
  <c r="G654" i="1"/>
  <c r="G658" i="1"/>
  <c r="G664" i="1"/>
  <c r="G648" i="1"/>
  <c r="G662" i="1"/>
  <c r="G288" i="1"/>
  <c r="G284" i="1"/>
  <c r="G644" i="1"/>
  <c r="G639" i="1"/>
  <c r="G292" i="1"/>
  <c r="G295" i="1"/>
  <c r="G278" i="1"/>
  <c r="G624" i="1"/>
  <c r="G652" i="1"/>
  <c r="G286" i="1"/>
  <c r="G276" i="1"/>
  <c r="G646" i="1"/>
  <c r="G289" i="1"/>
  <c r="G637" i="1"/>
  <c r="G287" i="1"/>
  <c r="G649" i="1"/>
  <c r="G642" i="1"/>
  <c r="G282" i="1"/>
  <c r="G280" i="1"/>
  <c r="G628" i="1"/>
  <c r="G281" i="1"/>
  <c r="G663" i="1"/>
  <c r="G655" i="1"/>
  <c r="G294" i="1"/>
  <c r="G290" i="1"/>
  <c r="G135" i="1"/>
  <c r="G661" i="1"/>
  <c r="G665" i="1"/>
  <c r="G274" i="1"/>
  <c r="G729" i="1"/>
  <c r="G926" i="1"/>
  <c r="G299" i="1"/>
  <c r="G623" i="1"/>
  <c r="G659" i="1"/>
  <c r="G647" i="1"/>
  <c r="G653" i="1"/>
  <c r="G640" i="1"/>
  <c r="G279" i="1"/>
  <c r="G645" i="1"/>
  <c r="G922" i="1"/>
  <c r="G133" i="1"/>
  <c r="G936" i="1"/>
  <c r="G627" i="1"/>
  <c r="G560" i="1"/>
  <c r="G636" i="1"/>
  <c r="G562" i="1"/>
  <c r="G928" i="1"/>
  <c r="G285" i="1"/>
  <c r="G602" i="1"/>
  <c r="G938" i="1"/>
  <c r="G638" i="1"/>
  <c r="G643" i="1"/>
  <c r="G937" i="1"/>
  <c r="G934" i="1"/>
  <c r="G601" i="1"/>
  <c r="G558" i="1"/>
  <c r="G924" i="1"/>
  <c r="G932" i="1"/>
  <c r="G925" i="1"/>
  <c r="G634" i="1"/>
  <c r="G687" i="1"/>
  <c r="G36" i="1"/>
  <c r="G915" i="1"/>
  <c r="G629" i="1"/>
  <c r="G917" i="1"/>
  <c r="G559" i="1"/>
  <c r="G919" i="1"/>
  <c r="G921" i="1"/>
  <c r="G557" i="1"/>
  <c r="G561" i="1"/>
  <c r="G604" i="1"/>
  <c r="G161" i="1"/>
  <c r="G933" i="1"/>
  <c r="G929" i="1"/>
  <c r="G911" i="1"/>
  <c r="G923" i="1"/>
  <c r="G913" i="1"/>
  <c r="G699" i="1"/>
  <c r="G605" i="1"/>
  <c r="G927" i="1"/>
  <c r="G656" i="1"/>
  <c r="G617" i="1"/>
  <c r="G668" i="1"/>
  <c r="G160" i="1"/>
  <c r="G277" i="1"/>
  <c r="G586" i="1"/>
  <c r="G916" i="1"/>
  <c r="G603" i="1"/>
  <c r="G616" i="1"/>
  <c r="G910" i="1"/>
  <c r="G707" i="1"/>
  <c r="G931" i="1"/>
  <c r="G918" i="1"/>
  <c r="G565" i="1"/>
  <c r="G275" i="1"/>
  <c r="G920" i="1"/>
  <c r="G914" i="1"/>
  <c r="G563" i="1"/>
  <c r="G912" i="1"/>
  <c r="G342" i="1"/>
  <c r="G935" i="1"/>
  <c r="G635" i="1"/>
  <c r="G930" i="1"/>
  <c r="G283" i="1"/>
  <c r="G657" i="1"/>
  <c r="G291" i="1"/>
  <c r="G293" i="1"/>
  <c r="G574" i="1"/>
  <c r="G670" i="1"/>
  <c r="G733" i="1"/>
  <c r="G736" i="1"/>
  <c r="G566" i="1"/>
  <c r="G734" i="1"/>
  <c r="G567" i="1"/>
  <c r="G735" i="1"/>
  <c r="G650" i="1"/>
  <c r="G564" i="1"/>
  <c r="G737" i="1"/>
  <c r="G641" i="1"/>
  <c r="G651" i="1"/>
  <c r="H660" i="1"/>
  <c r="H654" i="1"/>
  <c r="H658" i="1"/>
  <c r="H664" i="1"/>
  <c r="H648" i="1"/>
  <c r="H662" i="1"/>
  <c r="H288" i="1"/>
  <c r="H284" i="1"/>
  <c r="H644" i="1"/>
  <c r="H639" i="1"/>
  <c r="H292" i="1"/>
  <c r="H295" i="1"/>
  <c r="H278" i="1"/>
  <c r="H624" i="1"/>
  <c r="H652" i="1"/>
  <c r="H286" i="1"/>
  <c r="H276" i="1"/>
  <c r="H646" i="1"/>
  <c r="H289" i="1"/>
  <c r="H637" i="1"/>
  <c r="H287" i="1"/>
  <c r="H649" i="1"/>
  <c r="H642" i="1"/>
  <c r="H282" i="1"/>
  <c r="H280" i="1"/>
  <c r="H628" i="1"/>
  <c r="H281" i="1"/>
  <c r="H663" i="1"/>
  <c r="H655" i="1"/>
  <c r="H294" i="1"/>
  <c r="H290" i="1"/>
  <c r="H135" i="1"/>
  <c r="H661" i="1"/>
  <c r="H665" i="1"/>
  <c r="H274" i="1"/>
  <c r="H729" i="1"/>
  <c r="H926" i="1"/>
  <c r="H299" i="1"/>
  <c r="H623" i="1"/>
  <c r="H659" i="1"/>
  <c r="H647" i="1"/>
  <c r="H653" i="1"/>
  <c r="H640" i="1"/>
  <c r="H279" i="1"/>
  <c r="H645" i="1"/>
  <c r="H922" i="1"/>
  <c r="H133" i="1"/>
  <c r="H936" i="1"/>
  <c r="H627" i="1"/>
  <c r="H560" i="1"/>
  <c r="H636" i="1"/>
  <c r="H562" i="1"/>
  <c r="H928" i="1"/>
  <c r="H285" i="1"/>
  <c r="H602" i="1"/>
  <c r="H938" i="1"/>
  <c r="H638" i="1"/>
  <c r="H643" i="1"/>
  <c r="H937" i="1"/>
  <c r="H934" i="1"/>
  <c r="H601" i="1"/>
  <c r="H558" i="1"/>
  <c r="H924" i="1"/>
  <c r="H932" i="1"/>
  <c r="H925" i="1"/>
  <c r="H634" i="1"/>
  <c r="H687" i="1"/>
  <c r="H36" i="1"/>
  <c r="H915" i="1"/>
  <c r="H629" i="1"/>
  <c r="H917" i="1"/>
  <c r="H559" i="1"/>
  <c r="H919" i="1"/>
  <c r="H921" i="1"/>
  <c r="H557" i="1"/>
  <c r="H561" i="1"/>
  <c r="H604" i="1"/>
  <c r="H161" i="1"/>
  <c r="H933" i="1"/>
  <c r="H929" i="1"/>
  <c r="H911" i="1"/>
  <c r="H923" i="1"/>
  <c r="H913" i="1"/>
  <c r="H699" i="1"/>
  <c r="H605" i="1"/>
  <c r="H927" i="1"/>
  <c r="H656" i="1"/>
  <c r="H617" i="1"/>
  <c r="H668" i="1"/>
  <c r="H160" i="1"/>
  <c r="H277" i="1"/>
  <c r="H586" i="1"/>
  <c r="H916" i="1"/>
  <c r="H603" i="1"/>
  <c r="H616" i="1"/>
  <c r="H910" i="1"/>
  <c r="H707" i="1"/>
  <c r="H931" i="1"/>
  <c r="H918" i="1"/>
  <c r="H565" i="1"/>
  <c r="H275" i="1"/>
  <c r="H920" i="1"/>
  <c r="H914" i="1"/>
  <c r="H563" i="1"/>
  <c r="H912" i="1"/>
  <c r="H342" i="1"/>
  <c r="H935" i="1"/>
  <c r="H635" i="1"/>
  <c r="H930" i="1"/>
  <c r="H283" i="1"/>
  <c r="H657" i="1"/>
  <c r="H291" i="1"/>
  <c r="H293" i="1"/>
  <c r="H574" i="1"/>
  <c r="H670" i="1"/>
  <c r="H733" i="1"/>
  <c r="H736" i="1"/>
  <c r="H566" i="1"/>
  <c r="H734" i="1"/>
  <c r="H567" i="1"/>
  <c r="H735" i="1"/>
  <c r="H650" i="1"/>
  <c r="H564" i="1"/>
  <c r="H737" i="1"/>
  <c r="H641" i="1"/>
  <c r="H651" i="1"/>
  <c r="I660" i="1"/>
  <c r="I654" i="1"/>
  <c r="I658" i="1"/>
  <c r="I664" i="1"/>
  <c r="I648" i="1"/>
  <c r="I662" i="1"/>
  <c r="I288" i="1"/>
  <c r="I284" i="1"/>
  <c r="I644" i="1"/>
  <c r="I639" i="1"/>
  <c r="I292" i="1"/>
  <c r="I295" i="1"/>
  <c r="I278" i="1"/>
  <c r="I624" i="1"/>
  <c r="I652" i="1"/>
  <c r="I286" i="1"/>
  <c r="I276" i="1"/>
  <c r="I646" i="1"/>
  <c r="I289" i="1"/>
  <c r="I637" i="1"/>
  <c r="I287" i="1"/>
  <c r="I649" i="1"/>
  <c r="I642" i="1"/>
  <c r="I282" i="1"/>
  <c r="I280" i="1"/>
  <c r="I628" i="1"/>
  <c r="I281" i="1"/>
  <c r="I663" i="1"/>
  <c r="I655" i="1"/>
  <c r="I294" i="1"/>
  <c r="I290" i="1"/>
  <c r="I135" i="1"/>
  <c r="I661" i="1"/>
  <c r="I665" i="1"/>
  <c r="I274" i="1"/>
  <c r="I729" i="1"/>
  <c r="I926" i="1"/>
  <c r="I299" i="1"/>
  <c r="I623" i="1"/>
  <c r="I659" i="1"/>
  <c r="I647" i="1"/>
  <c r="I653" i="1"/>
  <c r="I640" i="1"/>
  <c r="I279" i="1"/>
  <c r="I645" i="1"/>
  <c r="I922" i="1"/>
  <c r="I133" i="1"/>
  <c r="I936" i="1"/>
  <c r="I627" i="1"/>
  <c r="I560" i="1"/>
  <c r="I636" i="1"/>
  <c r="I562" i="1"/>
  <c r="I928" i="1"/>
  <c r="I285" i="1"/>
  <c r="I602" i="1"/>
  <c r="I938" i="1"/>
  <c r="I638" i="1"/>
  <c r="I643" i="1"/>
  <c r="I937" i="1"/>
  <c r="I934" i="1"/>
  <c r="I601" i="1"/>
  <c r="I558" i="1"/>
  <c r="I924" i="1"/>
  <c r="I932" i="1"/>
  <c r="I925" i="1"/>
  <c r="I634" i="1"/>
  <c r="I687" i="1"/>
  <c r="I36" i="1"/>
  <c r="I915" i="1"/>
  <c r="I629" i="1"/>
  <c r="I917" i="1"/>
  <c r="I559" i="1"/>
  <c r="I919" i="1"/>
  <c r="I921" i="1"/>
  <c r="I557" i="1"/>
  <c r="I561" i="1"/>
  <c r="I604" i="1"/>
  <c r="I161" i="1"/>
  <c r="I933" i="1"/>
  <c r="I929" i="1"/>
  <c r="I911" i="1"/>
  <c r="I923" i="1"/>
  <c r="I913" i="1"/>
  <c r="I699" i="1"/>
  <c r="I605" i="1"/>
  <c r="I927" i="1"/>
  <c r="I656" i="1"/>
  <c r="I617" i="1"/>
  <c r="I668" i="1"/>
  <c r="I160" i="1"/>
  <c r="I277" i="1"/>
  <c r="I916" i="1"/>
  <c r="I603" i="1"/>
  <c r="I616" i="1"/>
  <c r="I910" i="1"/>
  <c r="I707" i="1"/>
  <c r="I931" i="1"/>
  <c r="I918" i="1"/>
  <c r="I565" i="1"/>
  <c r="I275" i="1"/>
  <c r="I920" i="1"/>
  <c r="I914" i="1"/>
  <c r="I563" i="1"/>
  <c r="I912" i="1"/>
  <c r="I342" i="1"/>
  <c r="I935" i="1"/>
  <c r="I635" i="1"/>
  <c r="I930" i="1"/>
  <c r="I283" i="1"/>
  <c r="I657" i="1"/>
  <c r="I291" i="1"/>
  <c r="I293" i="1"/>
  <c r="I574" i="1"/>
  <c r="I670" i="1"/>
  <c r="I733" i="1"/>
  <c r="I736" i="1"/>
  <c r="I566" i="1"/>
  <c r="I734" i="1"/>
  <c r="I567" i="1"/>
  <c r="I735" i="1"/>
  <c r="I650" i="1"/>
  <c r="I564" i="1"/>
  <c r="I737" i="1"/>
  <c r="I641" i="1"/>
  <c r="I651" i="1"/>
  <c r="D4" i="7" l="1"/>
  <c r="C86" i="5"/>
  <c r="E5" i="3" l="1"/>
  <c r="D5" i="3"/>
  <c r="D7" i="6"/>
  <c r="F5" i="6"/>
  <c r="C76" i="5"/>
  <c r="C77" i="5"/>
  <c r="C61" i="5"/>
  <c r="C48" i="5"/>
  <c r="C78" i="5"/>
  <c r="C49" i="5"/>
  <c r="C60" i="5"/>
  <c r="C82" i="5"/>
  <c r="C59" i="5"/>
  <c r="C58" i="5"/>
  <c r="C83" i="5"/>
  <c r="C50" i="5"/>
  <c r="C51" i="5"/>
  <c r="C52" i="5"/>
  <c r="C53" i="5"/>
  <c r="C54" i="5"/>
  <c r="C55" i="5"/>
  <c r="C56" i="5"/>
  <c r="C57" i="5"/>
  <c r="C24" i="5"/>
  <c r="C25" i="5"/>
  <c r="C22" i="5"/>
  <c r="C23" i="5"/>
  <c r="C20" i="5"/>
  <c r="C21" i="5"/>
  <c r="C18" i="5"/>
  <c r="C19" i="5"/>
  <c r="C16" i="5"/>
  <c r="C17" i="5"/>
  <c r="C14" i="5"/>
  <c r="C15" i="5"/>
  <c r="C12" i="5"/>
  <c r="C13" i="5"/>
  <c r="C10" i="5"/>
  <c r="C11" i="5"/>
  <c r="C8" i="5"/>
  <c r="C9" i="5"/>
  <c r="C4" i="5"/>
  <c r="C6" i="5"/>
  <c r="C5" i="5"/>
  <c r="C7" i="5"/>
  <c r="C35" i="5"/>
  <c r="C36" i="5"/>
  <c r="C37" i="5"/>
  <c r="C38" i="5"/>
  <c r="C64" i="5"/>
  <c r="C65" i="5"/>
  <c r="C33" i="5"/>
  <c r="C34" i="5"/>
  <c r="C70" i="5"/>
  <c r="C71" i="5"/>
  <c r="C66" i="5"/>
  <c r="C67" i="5"/>
  <c r="C72" i="5"/>
  <c r="C73" i="5"/>
  <c r="C81" i="5"/>
  <c r="C74" i="5"/>
  <c r="C75" i="5"/>
  <c r="C68" i="5"/>
  <c r="C69" i="5"/>
  <c r="C26" i="5"/>
  <c r="C44" i="5"/>
  <c r="C27" i="5"/>
  <c r="C45" i="5"/>
  <c r="C2" i="5"/>
  <c r="C3" i="5"/>
  <c r="C79" i="5"/>
  <c r="C80" i="5"/>
  <c r="C28" i="5"/>
  <c r="C42" i="5"/>
  <c r="C29" i="5"/>
  <c r="C43" i="5"/>
  <c r="C30" i="5"/>
  <c r="C39" i="5"/>
  <c r="C31" i="5"/>
  <c r="C40" i="5"/>
  <c r="C46" i="5"/>
  <c r="C47" i="5"/>
  <c r="C32" i="5"/>
  <c r="C41" i="5"/>
  <c r="C62" i="5"/>
  <c r="C63" i="5"/>
  <c r="C84" i="5"/>
  <c r="C85" i="5"/>
  <c r="D9" i="6" l="1"/>
  <c r="F11" i="6"/>
  <c r="F9" i="6"/>
  <c r="F10" i="6"/>
  <c r="D10" i="6"/>
  <c r="D8" i="3" l="1"/>
  <c r="D7" i="3"/>
  <c r="F9" i="3"/>
  <c r="F8" i="3"/>
  <c r="F7" i="3"/>
  <c r="F21" i="3"/>
  <c r="F20" i="3"/>
  <c r="F19" i="3"/>
  <c r="E21" i="3"/>
  <c r="E20" i="3"/>
  <c r="E19" i="3"/>
  <c r="S895" i="1"/>
  <c r="R895" i="1"/>
  <c r="S584" i="1"/>
  <c r="R584" i="1"/>
  <c r="S583" i="1"/>
  <c r="R583" i="1"/>
  <c r="S582" i="1"/>
  <c r="R582" i="1"/>
  <c r="S581" i="1"/>
  <c r="R581" i="1"/>
  <c r="S580" i="1"/>
  <c r="R580" i="1"/>
  <c r="S579" i="1"/>
  <c r="R579" i="1"/>
  <c r="S578" i="1"/>
  <c r="R578" i="1"/>
  <c r="S577" i="1"/>
  <c r="R577" i="1"/>
  <c r="S576" i="1"/>
  <c r="R576" i="1"/>
  <c r="S575" i="1"/>
  <c r="R575" i="1"/>
  <c r="S962" i="1"/>
  <c r="R962" i="1"/>
  <c r="S956" i="1"/>
  <c r="R956" i="1"/>
  <c r="S805" i="1"/>
  <c r="R805" i="1"/>
  <c r="S804" i="1"/>
  <c r="R804" i="1"/>
  <c r="S803" i="1"/>
  <c r="R803" i="1"/>
  <c r="S801" i="1"/>
  <c r="R801" i="1"/>
  <c r="S800" i="1"/>
  <c r="R800" i="1"/>
  <c r="S799" i="1"/>
  <c r="R799" i="1"/>
  <c r="S797" i="1"/>
  <c r="R797" i="1"/>
  <c r="S796" i="1"/>
  <c r="R796" i="1"/>
  <c r="S794" i="1"/>
  <c r="R794" i="1"/>
  <c r="S201" i="1"/>
  <c r="R201" i="1"/>
  <c r="S199" i="1"/>
  <c r="R199" i="1"/>
  <c r="S181" i="1"/>
  <c r="R181" i="1"/>
  <c r="S180" i="1"/>
  <c r="R180" i="1"/>
  <c r="S179" i="1"/>
  <c r="R179" i="1"/>
  <c r="S178" i="1"/>
  <c r="R178" i="1"/>
  <c r="S176" i="1"/>
  <c r="R176" i="1"/>
  <c r="S175" i="1"/>
  <c r="R175" i="1"/>
  <c r="S174" i="1"/>
  <c r="R174" i="1"/>
  <c r="S173" i="1"/>
  <c r="R173" i="1"/>
  <c r="S171" i="1"/>
  <c r="R171" i="1"/>
  <c r="S170" i="1"/>
  <c r="R170" i="1"/>
  <c r="S169" i="1"/>
  <c r="R169" i="1"/>
  <c r="S71" i="1"/>
  <c r="R71" i="1"/>
  <c r="S70" i="1"/>
  <c r="R70" i="1"/>
  <c r="S786" i="1"/>
  <c r="R786" i="1"/>
  <c r="S785" i="1"/>
  <c r="R785" i="1"/>
  <c r="S784" i="1"/>
  <c r="R784" i="1"/>
  <c r="S573" i="1"/>
  <c r="R573" i="1"/>
  <c r="S572" i="1"/>
  <c r="R572" i="1"/>
  <c r="S571" i="1"/>
  <c r="R571" i="1"/>
  <c r="S570" i="1"/>
  <c r="R570" i="1"/>
  <c r="S569" i="1"/>
  <c r="R569" i="1"/>
  <c r="S568" i="1"/>
  <c r="R568" i="1"/>
  <c r="S158" i="1"/>
  <c r="R158" i="1"/>
  <c r="S157" i="1"/>
  <c r="R157" i="1"/>
  <c r="S65" i="1"/>
  <c r="R65" i="1"/>
  <c r="S64" i="1"/>
  <c r="R64" i="1"/>
  <c r="S955" i="1"/>
  <c r="R955" i="1"/>
  <c r="S954" i="1"/>
  <c r="R954" i="1"/>
  <c r="S62" i="1"/>
  <c r="R62" i="1"/>
  <c r="S60" i="1"/>
  <c r="R60" i="1"/>
  <c r="S953" i="1"/>
  <c r="R953" i="1"/>
  <c r="S952" i="1"/>
  <c r="R952" i="1"/>
  <c r="S676" i="1"/>
  <c r="R676" i="1"/>
  <c r="S675" i="1"/>
  <c r="R675" i="1"/>
  <c r="S667" i="1"/>
  <c r="R667" i="1"/>
  <c r="S666" i="1"/>
  <c r="R666" i="1"/>
  <c r="S58" i="1"/>
  <c r="R58" i="1"/>
  <c r="S57" i="1"/>
  <c r="R57" i="1"/>
  <c r="S56" i="1"/>
  <c r="R56" i="1"/>
  <c r="S55" i="1"/>
  <c r="R55" i="1"/>
  <c r="S54" i="1"/>
  <c r="R54" i="1"/>
  <c r="S52" i="1"/>
  <c r="R52" i="1"/>
  <c r="S1003" i="1"/>
  <c r="S909" i="1"/>
  <c r="S908" i="1"/>
  <c r="S907" i="1"/>
  <c r="S906" i="1"/>
  <c r="S717" i="1"/>
  <c r="S716" i="1"/>
  <c r="S715" i="1"/>
  <c r="S714" i="1"/>
  <c r="S712" i="1"/>
  <c r="S710" i="1"/>
  <c r="S708" i="1"/>
  <c r="S706" i="1"/>
  <c r="S705" i="1"/>
  <c r="S704" i="1"/>
  <c r="S703" i="1"/>
  <c r="S702" i="1"/>
  <c r="S698" i="1"/>
  <c r="S696" i="1"/>
  <c r="S694" i="1"/>
  <c r="S50" i="1"/>
  <c r="S49" i="1"/>
  <c r="S47" i="1"/>
  <c r="S45" i="1"/>
  <c r="S44" i="1"/>
  <c r="S42" i="1"/>
  <c r="R715" i="1"/>
  <c r="R714" i="1"/>
  <c r="R708" i="1"/>
  <c r="R706" i="1"/>
  <c r="R45" i="1"/>
  <c r="R44" i="1"/>
  <c r="R42" i="1"/>
  <c r="R1003" i="1"/>
  <c r="R909" i="1"/>
  <c r="R908" i="1"/>
  <c r="R907" i="1"/>
  <c r="R906" i="1"/>
  <c r="R705" i="1"/>
  <c r="R704" i="1"/>
  <c r="R703" i="1"/>
  <c r="R702" i="1"/>
  <c r="S700" i="1"/>
  <c r="R700" i="1"/>
  <c r="R698" i="1"/>
  <c r="R696" i="1"/>
  <c r="R694" i="1"/>
  <c r="S905" i="1"/>
  <c r="R905" i="1"/>
  <c r="S904" i="1"/>
  <c r="R904" i="1"/>
  <c r="S903" i="1"/>
  <c r="R903" i="1"/>
  <c r="S902" i="1"/>
  <c r="R902" i="1"/>
  <c r="S692" i="1"/>
  <c r="R692" i="1"/>
  <c r="S690" i="1"/>
  <c r="R690" i="1"/>
  <c r="S689" i="1"/>
  <c r="R689" i="1"/>
  <c r="S688" i="1"/>
  <c r="R688" i="1"/>
  <c r="S685" i="1"/>
  <c r="R685" i="1"/>
  <c r="S683" i="1"/>
  <c r="R683" i="1"/>
  <c r="S681" i="1"/>
  <c r="R681" i="1"/>
  <c r="S679" i="1"/>
  <c r="R679" i="1"/>
  <c r="S678" i="1"/>
  <c r="R678" i="1"/>
  <c r="S677" i="1"/>
  <c r="R677" i="1"/>
  <c r="S674" i="1"/>
  <c r="R674" i="1"/>
  <c r="S673" i="1"/>
  <c r="R673" i="1"/>
  <c r="S671" i="1"/>
  <c r="R671" i="1"/>
  <c r="S669" i="1"/>
  <c r="R669" i="1"/>
  <c r="S41" i="1"/>
  <c r="R41" i="1"/>
  <c r="S40" i="1"/>
  <c r="R40" i="1"/>
  <c r="S39" i="1"/>
  <c r="R39" i="1"/>
  <c r="S38" i="1"/>
  <c r="R38" i="1"/>
  <c r="S37" i="1"/>
  <c r="R37" i="1"/>
  <c r="R717" i="1"/>
  <c r="R716" i="1"/>
  <c r="R712" i="1"/>
  <c r="R710" i="1"/>
  <c r="R50" i="1"/>
  <c r="R49" i="1"/>
  <c r="R47" i="1"/>
  <c r="S989" i="1"/>
  <c r="R989" i="1"/>
  <c r="S964" i="1"/>
  <c r="R964" i="1"/>
  <c r="S963" i="1"/>
  <c r="R963" i="1"/>
  <c r="S816" i="1"/>
  <c r="R816" i="1"/>
  <c r="S815" i="1"/>
  <c r="R815" i="1"/>
  <c r="S814" i="1"/>
  <c r="R814" i="1"/>
  <c r="S813" i="1"/>
  <c r="R813" i="1"/>
  <c r="S811" i="1"/>
  <c r="R811" i="1"/>
  <c r="S810" i="1"/>
  <c r="R810" i="1"/>
  <c r="S809" i="1"/>
  <c r="R809" i="1"/>
  <c r="S808" i="1"/>
  <c r="R808" i="1"/>
  <c r="S806" i="1"/>
  <c r="R806" i="1"/>
  <c r="S793" i="1"/>
  <c r="R793" i="1"/>
  <c r="S792" i="1"/>
  <c r="R792" i="1"/>
  <c r="S790" i="1"/>
  <c r="R790" i="1"/>
  <c r="S789" i="1"/>
  <c r="R789" i="1"/>
  <c r="S787" i="1"/>
  <c r="R787" i="1"/>
  <c r="S768" i="1"/>
  <c r="R768" i="1"/>
  <c r="S767" i="1"/>
  <c r="R767" i="1"/>
  <c r="S765" i="1"/>
  <c r="R765" i="1"/>
  <c r="S764" i="1"/>
  <c r="R764" i="1"/>
  <c r="S762" i="1"/>
  <c r="R762" i="1"/>
  <c r="S436" i="1"/>
  <c r="R436" i="1"/>
  <c r="S435" i="1"/>
  <c r="R435" i="1"/>
  <c r="S433" i="1"/>
  <c r="R433" i="1"/>
  <c r="S432" i="1"/>
  <c r="R432" i="1"/>
  <c r="S430" i="1"/>
  <c r="R430" i="1"/>
  <c r="S393" i="1"/>
  <c r="R393" i="1"/>
  <c r="S392" i="1"/>
  <c r="R392" i="1"/>
  <c r="S390" i="1"/>
  <c r="R390" i="1"/>
  <c r="S196" i="1"/>
  <c r="R196" i="1"/>
  <c r="S195" i="1"/>
  <c r="R195" i="1"/>
  <c r="S194" i="1"/>
  <c r="R194" i="1"/>
  <c r="S193" i="1"/>
  <c r="R193" i="1"/>
  <c r="S192" i="1"/>
  <c r="R192" i="1"/>
  <c r="S191" i="1"/>
  <c r="R191" i="1"/>
  <c r="S189" i="1"/>
  <c r="R189" i="1"/>
  <c r="S188" i="1"/>
  <c r="R188" i="1"/>
  <c r="S187" i="1"/>
  <c r="R187" i="1"/>
  <c r="S186" i="1"/>
  <c r="R186" i="1"/>
  <c r="S185" i="1"/>
  <c r="R185" i="1"/>
  <c r="S184" i="1"/>
  <c r="R184" i="1"/>
  <c r="S183" i="1"/>
  <c r="R183" i="1"/>
  <c r="S182" i="1"/>
  <c r="R182" i="1"/>
  <c r="S167" i="1"/>
  <c r="R167" i="1"/>
  <c r="S166" i="1"/>
  <c r="R166" i="1"/>
  <c r="S164" i="1"/>
  <c r="R164" i="1"/>
  <c r="S163" i="1"/>
  <c r="R163" i="1"/>
  <c r="S162" i="1"/>
  <c r="R162" i="1"/>
  <c r="S131" i="1"/>
  <c r="R131" i="1"/>
  <c r="S130" i="1"/>
  <c r="R130" i="1"/>
  <c r="S128" i="1"/>
  <c r="R128" i="1"/>
  <c r="S127" i="1"/>
  <c r="R127" i="1"/>
  <c r="S125" i="1"/>
  <c r="R125" i="1"/>
  <c r="S124" i="1"/>
  <c r="R124" i="1"/>
  <c r="S123" i="1"/>
  <c r="R123" i="1"/>
  <c r="S122" i="1"/>
  <c r="R122" i="1"/>
  <c r="S97" i="1"/>
  <c r="R97" i="1"/>
  <c r="S96" i="1"/>
  <c r="R96" i="1"/>
  <c r="A19" i="4"/>
  <c r="A18" i="4"/>
  <c r="A17" i="4"/>
  <c r="A16" i="4"/>
  <c r="S978" i="1"/>
  <c r="R978" i="1"/>
  <c r="S977" i="1"/>
  <c r="R977" i="1"/>
  <c r="S976" i="1"/>
  <c r="R976" i="1"/>
  <c r="S468" i="1"/>
  <c r="R468" i="1"/>
  <c r="S467" i="1"/>
  <c r="R467" i="1"/>
  <c r="S466" i="1"/>
  <c r="R466" i="1"/>
  <c r="S465" i="1"/>
  <c r="R465" i="1"/>
  <c r="S463" i="1"/>
  <c r="R463" i="1"/>
  <c r="S462" i="1"/>
  <c r="R462" i="1"/>
  <c r="S461" i="1"/>
  <c r="R461" i="1"/>
  <c r="S460" i="1"/>
  <c r="R460" i="1"/>
  <c r="S459" i="1"/>
  <c r="R459" i="1"/>
  <c r="S457" i="1"/>
  <c r="R457" i="1"/>
  <c r="S449" i="1"/>
  <c r="R449" i="1"/>
  <c r="S448" i="1"/>
  <c r="R448" i="1"/>
  <c r="S447" i="1"/>
  <c r="R447" i="1"/>
  <c r="S446" i="1"/>
  <c r="R446" i="1"/>
  <c r="S445" i="1"/>
  <c r="R445" i="1"/>
  <c r="S444" i="1"/>
  <c r="R444" i="1"/>
  <c r="S988" i="1"/>
  <c r="R988" i="1"/>
  <c r="S732" i="1"/>
  <c r="R732" i="1"/>
  <c r="S731" i="1"/>
  <c r="R731" i="1"/>
  <c r="S728" i="1"/>
  <c r="R728" i="1"/>
  <c r="S726" i="1"/>
  <c r="R726" i="1"/>
  <c r="S725" i="1"/>
  <c r="R725" i="1"/>
  <c r="S724" i="1"/>
  <c r="R724" i="1"/>
  <c r="S723" i="1"/>
  <c r="R723" i="1"/>
  <c r="S722" i="1"/>
  <c r="R722" i="1"/>
  <c r="S721" i="1"/>
  <c r="R721" i="1"/>
  <c r="S720" i="1"/>
  <c r="R720" i="1"/>
  <c r="S719" i="1"/>
  <c r="R719" i="1"/>
  <c r="S718" i="1"/>
  <c r="R718" i="1"/>
  <c r="S308" i="1"/>
  <c r="R308" i="1"/>
  <c r="S307" i="1"/>
  <c r="R307" i="1"/>
  <c r="S305" i="1"/>
  <c r="R305" i="1"/>
  <c r="S303" i="1"/>
  <c r="R303" i="1"/>
  <c r="S302" i="1"/>
  <c r="R302" i="1"/>
  <c r="S301" i="1"/>
  <c r="R301" i="1"/>
  <c r="S298" i="1"/>
  <c r="R298" i="1"/>
  <c r="S296" i="1"/>
  <c r="R296" i="1"/>
  <c r="S266" i="1"/>
  <c r="R266" i="1"/>
  <c r="S265" i="1"/>
  <c r="R265" i="1"/>
  <c r="S264" i="1"/>
  <c r="R264" i="1"/>
  <c r="S263" i="1"/>
  <c r="R263" i="1"/>
  <c r="S385" i="1"/>
  <c r="R385" i="1"/>
  <c r="S384" i="1"/>
  <c r="R384" i="1"/>
  <c r="S382" i="1"/>
  <c r="R382" i="1"/>
  <c r="S381" i="1"/>
  <c r="R381" i="1"/>
  <c r="S380" i="1"/>
  <c r="R380" i="1"/>
  <c r="S379" i="1"/>
  <c r="R379" i="1"/>
  <c r="S378" i="1"/>
  <c r="R378" i="1"/>
  <c r="S373" i="1"/>
  <c r="R373" i="1"/>
  <c r="S371" i="1"/>
  <c r="R371" i="1"/>
  <c r="S370" i="1"/>
  <c r="R370" i="1"/>
  <c r="S369" i="1"/>
  <c r="R369" i="1"/>
  <c r="S368" i="1"/>
  <c r="R368" i="1"/>
  <c r="S366" i="1"/>
  <c r="R366" i="1"/>
  <c r="S358" i="1"/>
  <c r="R358" i="1"/>
  <c r="S398" i="1"/>
  <c r="R398" i="1"/>
  <c r="S975" i="1"/>
  <c r="R975" i="1"/>
  <c r="S974" i="1"/>
  <c r="R974" i="1"/>
  <c r="S973" i="1"/>
  <c r="R973" i="1"/>
  <c r="S440" i="1"/>
  <c r="R440" i="1"/>
  <c r="S438" i="1"/>
  <c r="R438" i="1"/>
  <c r="S427" i="1"/>
  <c r="R427" i="1"/>
  <c r="S426" i="1"/>
  <c r="R426" i="1"/>
  <c r="S425" i="1"/>
  <c r="R425" i="1"/>
  <c r="S424" i="1"/>
  <c r="R424" i="1"/>
  <c r="S422" i="1"/>
  <c r="R422" i="1"/>
  <c r="S421" i="1"/>
  <c r="R421" i="1"/>
  <c r="S420" i="1"/>
  <c r="R420" i="1"/>
  <c r="S419" i="1"/>
  <c r="R419" i="1"/>
  <c r="S418" i="1"/>
  <c r="R418" i="1"/>
  <c r="S417" i="1"/>
  <c r="R417" i="1"/>
  <c r="S416" i="1"/>
  <c r="R416" i="1"/>
  <c r="S415" i="1"/>
  <c r="R415" i="1"/>
  <c r="S413" i="1"/>
  <c r="R413" i="1"/>
  <c r="S405" i="1"/>
  <c r="R405" i="1"/>
  <c r="S404" i="1"/>
  <c r="R404" i="1"/>
  <c r="S403" i="1"/>
  <c r="R403" i="1"/>
  <c r="S402" i="1"/>
  <c r="R402" i="1"/>
  <c r="S991" i="1"/>
  <c r="R991" i="1"/>
  <c r="S990" i="1"/>
  <c r="R990" i="1"/>
  <c r="S961" i="1"/>
  <c r="R961" i="1"/>
  <c r="S960" i="1"/>
  <c r="R960" i="1"/>
  <c r="S783" i="1"/>
  <c r="R783" i="1"/>
  <c r="S782" i="1"/>
  <c r="R782" i="1"/>
  <c r="S781" i="1"/>
  <c r="R781" i="1"/>
  <c r="S780" i="1"/>
  <c r="R780" i="1"/>
  <c r="S779" i="1"/>
  <c r="R779" i="1"/>
  <c r="S778" i="1"/>
  <c r="R778" i="1"/>
  <c r="S776" i="1"/>
  <c r="R776" i="1"/>
  <c r="S775" i="1"/>
  <c r="R775" i="1"/>
  <c r="S774" i="1"/>
  <c r="R774" i="1"/>
  <c r="S773" i="1"/>
  <c r="R773" i="1"/>
  <c r="S772" i="1"/>
  <c r="R772" i="1"/>
  <c r="S771" i="1"/>
  <c r="R771" i="1"/>
  <c r="S769" i="1"/>
  <c r="R769" i="1"/>
  <c r="S761" i="1"/>
  <c r="R761" i="1"/>
  <c r="S760" i="1"/>
  <c r="R760" i="1"/>
  <c r="S759" i="1"/>
  <c r="R759" i="1"/>
  <c r="S758" i="1"/>
  <c r="R758" i="1"/>
  <c r="S757" i="1"/>
  <c r="R757" i="1"/>
  <c r="S755" i="1"/>
  <c r="R755" i="1"/>
  <c r="S754" i="1"/>
  <c r="R754" i="1"/>
  <c r="S753" i="1"/>
  <c r="R753" i="1"/>
  <c r="S752" i="1"/>
  <c r="R752" i="1"/>
  <c r="S751" i="1"/>
  <c r="R751" i="1"/>
  <c r="S750" i="1"/>
  <c r="R750" i="1"/>
  <c r="S748" i="1"/>
  <c r="R748" i="1"/>
  <c r="S747" i="1"/>
  <c r="R747" i="1"/>
  <c r="S746" i="1"/>
  <c r="R746" i="1"/>
  <c r="S745" i="1"/>
  <c r="R745" i="1"/>
  <c r="S744" i="1"/>
  <c r="R744" i="1"/>
  <c r="S742" i="1"/>
  <c r="R742" i="1"/>
  <c r="S741" i="1"/>
  <c r="R741" i="1"/>
  <c r="S740" i="1"/>
  <c r="R740" i="1"/>
  <c r="S738" i="1"/>
  <c r="R738" i="1"/>
  <c r="S155" i="1"/>
  <c r="R155" i="1"/>
  <c r="S154" i="1"/>
  <c r="R154" i="1"/>
  <c r="S153" i="1"/>
  <c r="R153" i="1"/>
  <c r="S152" i="1"/>
  <c r="R152" i="1"/>
  <c r="S150" i="1"/>
  <c r="R150" i="1"/>
  <c r="S149" i="1"/>
  <c r="R149" i="1"/>
  <c r="S148" i="1"/>
  <c r="R148" i="1"/>
  <c r="S147" i="1"/>
  <c r="R147" i="1"/>
  <c r="S146" i="1"/>
  <c r="R146" i="1"/>
  <c r="S145" i="1"/>
  <c r="R145" i="1"/>
  <c r="S144" i="1"/>
  <c r="R144" i="1"/>
  <c r="S142" i="1"/>
  <c r="R142" i="1"/>
  <c r="S141" i="1"/>
  <c r="R141" i="1"/>
  <c r="S140" i="1"/>
  <c r="R140" i="1"/>
  <c r="S139" i="1"/>
  <c r="R139" i="1"/>
  <c r="S138" i="1"/>
  <c r="R138" i="1"/>
  <c r="S137" i="1"/>
  <c r="R137" i="1"/>
  <c r="S134" i="1"/>
  <c r="R134" i="1"/>
  <c r="S120" i="1"/>
  <c r="R120" i="1"/>
  <c r="S119" i="1"/>
  <c r="R119" i="1"/>
  <c r="S118" i="1"/>
  <c r="R118" i="1"/>
  <c r="S116" i="1"/>
  <c r="R116" i="1"/>
  <c r="S115" i="1"/>
  <c r="R115" i="1"/>
  <c r="S114" i="1"/>
  <c r="R114" i="1"/>
  <c r="S113" i="1"/>
  <c r="R113" i="1"/>
  <c r="S112" i="1"/>
  <c r="R112" i="1"/>
  <c r="S111" i="1"/>
  <c r="R111" i="1"/>
  <c r="S110" i="1"/>
  <c r="R110" i="1"/>
  <c r="S108" i="1"/>
  <c r="R108" i="1"/>
  <c r="S107" i="1"/>
  <c r="R107" i="1"/>
  <c r="S105" i="1"/>
  <c r="R105" i="1"/>
  <c r="S104" i="1"/>
  <c r="R104" i="1"/>
  <c r="S103" i="1"/>
  <c r="R103" i="1"/>
  <c r="S102" i="1"/>
  <c r="R102" i="1"/>
  <c r="S101" i="1"/>
  <c r="R101" i="1"/>
  <c r="S100" i="1"/>
  <c r="R100" i="1"/>
  <c r="S95" i="1"/>
  <c r="R95" i="1"/>
  <c r="S94" i="1"/>
  <c r="R94" i="1"/>
  <c r="S69" i="1"/>
  <c r="R69" i="1"/>
  <c r="S67" i="1"/>
  <c r="R67" i="1"/>
  <c r="S66" i="1"/>
  <c r="R66" i="1"/>
  <c r="S272" i="1"/>
  <c r="R272" i="1"/>
  <c r="S271" i="1"/>
  <c r="R271" i="1"/>
  <c r="S269" i="1"/>
  <c r="R269" i="1"/>
  <c r="S267" i="1"/>
  <c r="R267" i="1"/>
  <c r="S35" i="1"/>
  <c r="R35" i="1"/>
  <c r="S34" i="1"/>
  <c r="R34" i="1"/>
  <c r="S33" i="1"/>
  <c r="R33" i="1"/>
  <c r="S32" i="1"/>
  <c r="R32" i="1"/>
  <c r="S31" i="1"/>
  <c r="R31" i="1"/>
  <c r="S30" i="1"/>
  <c r="R30" i="1"/>
  <c r="S29" i="1"/>
  <c r="R29" i="1"/>
  <c r="S28" i="1"/>
  <c r="R28" i="1"/>
  <c r="S959" i="1"/>
  <c r="R959" i="1"/>
  <c r="S958" i="1"/>
  <c r="R958" i="1"/>
  <c r="S957" i="1"/>
  <c r="R957" i="1"/>
  <c r="S899" i="1"/>
  <c r="R899" i="1"/>
  <c r="S898" i="1"/>
  <c r="R898" i="1"/>
  <c r="S897" i="1"/>
  <c r="R897" i="1"/>
  <c r="S901" i="1"/>
  <c r="R901" i="1"/>
  <c r="S900" i="1"/>
  <c r="R900" i="1"/>
  <c r="S896" i="1"/>
  <c r="R896" i="1"/>
  <c r="S633" i="1"/>
  <c r="R633" i="1"/>
  <c r="S632" i="1"/>
  <c r="R632" i="1"/>
  <c r="S631" i="1"/>
  <c r="R631" i="1"/>
  <c r="S630" i="1"/>
  <c r="R630" i="1"/>
  <c r="S620" i="1"/>
  <c r="R620" i="1"/>
  <c r="S619" i="1"/>
  <c r="R619" i="1"/>
  <c r="S618" i="1"/>
  <c r="R618" i="1"/>
  <c r="S614" i="1"/>
  <c r="R614" i="1"/>
  <c r="S612" i="1"/>
  <c r="R612" i="1"/>
  <c r="S610" i="1"/>
  <c r="R610" i="1"/>
  <c r="S600" i="1"/>
  <c r="R600" i="1"/>
  <c r="S599" i="1"/>
  <c r="R599" i="1"/>
  <c r="S598" i="1"/>
  <c r="R598" i="1"/>
  <c r="S597" i="1"/>
  <c r="R597" i="1"/>
  <c r="S595" i="1"/>
  <c r="R595" i="1"/>
  <c r="S593" i="1"/>
  <c r="R593" i="1"/>
  <c r="S592" i="1"/>
  <c r="R592" i="1"/>
  <c r="S591" i="1"/>
  <c r="R591" i="1"/>
  <c r="S590" i="1"/>
  <c r="R590" i="1"/>
  <c r="S589" i="1"/>
  <c r="R589" i="1"/>
  <c r="S587" i="1"/>
  <c r="R587" i="1"/>
  <c r="S585" i="1"/>
  <c r="R585" i="1"/>
  <c r="S349" i="1"/>
  <c r="R349" i="1"/>
  <c r="S347" i="1"/>
  <c r="R347" i="1"/>
  <c r="S344" i="1"/>
  <c r="R344" i="1"/>
  <c r="S343" i="1"/>
  <c r="R343" i="1"/>
  <c r="S341" i="1"/>
  <c r="R341" i="1"/>
  <c r="S339" i="1"/>
  <c r="R339" i="1"/>
  <c r="S338" i="1"/>
  <c r="R338" i="1"/>
  <c r="S335" i="1"/>
  <c r="R335" i="1"/>
  <c r="S333" i="1"/>
  <c r="R333" i="1"/>
  <c r="S331" i="1"/>
  <c r="R331" i="1"/>
  <c r="S330" i="1"/>
  <c r="R330" i="1"/>
  <c r="S328" i="1"/>
  <c r="R328" i="1"/>
  <c r="S326" i="1"/>
  <c r="R326" i="1"/>
  <c r="S325" i="1"/>
  <c r="R325" i="1"/>
  <c r="S324" i="1"/>
  <c r="R324" i="1"/>
  <c r="S323" i="1"/>
  <c r="R323" i="1"/>
  <c r="S321" i="1"/>
  <c r="R321" i="1"/>
  <c r="S319" i="1"/>
  <c r="R319" i="1"/>
  <c r="S316" i="1"/>
  <c r="R316" i="1"/>
  <c r="S315" i="1"/>
  <c r="R315" i="1"/>
  <c r="S314" i="1"/>
  <c r="R314" i="1"/>
  <c r="S313" i="1"/>
  <c r="R313" i="1"/>
  <c r="S311" i="1"/>
  <c r="R311" i="1"/>
  <c r="S309" i="1"/>
  <c r="R309" i="1"/>
  <c r="I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64" i="1"/>
  <c r="I65" i="1"/>
  <c r="I70" i="1"/>
  <c r="I71" i="1"/>
  <c r="I94" i="1"/>
  <c r="I95" i="1"/>
  <c r="I96" i="1"/>
  <c r="I97" i="1"/>
  <c r="I98" i="1"/>
  <c r="I99" i="1"/>
  <c r="I122" i="1"/>
  <c r="I123" i="1"/>
  <c r="I124" i="1"/>
  <c r="I125" i="1"/>
  <c r="I126" i="1"/>
  <c r="I127" i="1"/>
  <c r="I128" i="1"/>
  <c r="I129" i="1"/>
  <c r="I130" i="1"/>
  <c r="I131" i="1"/>
  <c r="I132" i="1"/>
  <c r="I157" i="1"/>
  <c r="I158" i="1"/>
  <c r="I159"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60" i="1"/>
  <c r="I261" i="1"/>
  <c r="I262" i="1"/>
  <c r="I263" i="1"/>
  <c r="I264" i="1"/>
  <c r="I265" i="1"/>
  <c r="I266" i="1"/>
  <c r="I267" i="1"/>
  <c r="I268" i="1"/>
  <c r="I269" i="1"/>
  <c r="I270" i="1"/>
  <c r="I271" i="1"/>
  <c r="I272" i="1"/>
  <c r="I273" i="1"/>
  <c r="I296" i="1"/>
  <c r="I297" i="1"/>
  <c r="I298"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3" i="1"/>
  <c r="I344" i="1"/>
  <c r="I345" i="1"/>
  <c r="I346" i="1"/>
  <c r="I347" i="1"/>
  <c r="I348" i="1"/>
  <c r="I349" i="1"/>
  <c r="I350" i="1"/>
  <c r="I351" i="1"/>
  <c r="I352" i="1"/>
  <c r="I353" i="1"/>
  <c r="I386" i="1"/>
  <c r="I387" i="1"/>
  <c r="I388" i="1"/>
  <c r="I389" i="1"/>
  <c r="I390" i="1"/>
  <c r="I391" i="1"/>
  <c r="I392" i="1"/>
  <c r="I393" i="1"/>
  <c r="I394"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68" i="1"/>
  <c r="I569" i="1"/>
  <c r="I570" i="1"/>
  <c r="I571" i="1"/>
  <c r="I572" i="1"/>
  <c r="I573" i="1"/>
  <c r="I575" i="1"/>
  <c r="I576" i="1"/>
  <c r="I577" i="1"/>
  <c r="I578" i="1"/>
  <c r="I579" i="1"/>
  <c r="I580" i="1"/>
  <c r="I581" i="1"/>
  <c r="I582" i="1"/>
  <c r="I583" i="1"/>
  <c r="I584" i="1"/>
  <c r="I585" i="1"/>
  <c r="I587" i="1"/>
  <c r="I588" i="1"/>
  <c r="I589" i="1"/>
  <c r="I590" i="1"/>
  <c r="I591" i="1"/>
  <c r="I592" i="1"/>
  <c r="I593" i="1"/>
  <c r="I594" i="1"/>
  <c r="I595" i="1"/>
  <c r="I596" i="1"/>
  <c r="I597" i="1"/>
  <c r="I598" i="1"/>
  <c r="I599" i="1"/>
  <c r="I600" i="1"/>
  <c r="I606" i="1"/>
  <c r="I607" i="1"/>
  <c r="I608" i="1"/>
  <c r="I609" i="1"/>
  <c r="I610" i="1"/>
  <c r="I611" i="1"/>
  <c r="I612" i="1"/>
  <c r="I613" i="1"/>
  <c r="I614" i="1"/>
  <c r="I615" i="1"/>
  <c r="I618" i="1"/>
  <c r="I619" i="1"/>
  <c r="I620" i="1"/>
  <c r="I621" i="1"/>
  <c r="I622" i="1"/>
  <c r="I625" i="1"/>
  <c r="I626" i="1"/>
  <c r="I630" i="1"/>
  <c r="I631" i="1"/>
  <c r="I632" i="1"/>
  <c r="I633" i="1"/>
  <c r="I666" i="1"/>
  <c r="I667" i="1"/>
  <c r="I669" i="1"/>
  <c r="I671" i="1"/>
  <c r="I672" i="1"/>
  <c r="I673" i="1"/>
  <c r="I674" i="1"/>
  <c r="I675" i="1"/>
  <c r="I676" i="1"/>
  <c r="I677" i="1"/>
  <c r="I678" i="1"/>
  <c r="I679" i="1"/>
  <c r="I680" i="1"/>
  <c r="I681" i="1"/>
  <c r="I682" i="1"/>
  <c r="I683" i="1"/>
  <c r="I684" i="1"/>
  <c r="I685" i="1"/>
  <c r="I686" i="1"/>
  <c r="I688" i="1"/>
  <c r="I689" i="1"/>
  <c r="I690" i="1"/>
  <c r="I691" i="1"/>
  <c r="I692" i="1"/>
  <c r="I693" i="1"/>
  <c r="I694" i="1"/>
  <c r="I695" i="1"/>
  <c r="I696" i="1"/>
  <c r="I697" i="1"/>
  <c r="I698" i="1"/>
  <c r="I700" i="1"/>
  <c r="I701" i="1"/>
  <c r="I702" i="1"/>
  <c r="I703" i="1"/>
  <c r="I704" i="1"/>
  <c r="I705" i="1"/>
  <c r="I706" i="1"/>
  <c r="I708" i="1"/>
  <c r="I709" i="1"/>
  <c r="I710" i="1"/>
  <c r="I711" i="1"/>
  <c r="I712" i="1"/>
  <c r="I713" i="1"/>
  <c r="I714" i="1"/>
  <c r="I715" i="1"/>
  <c r="I716" i="1"/>
  <c r="I717" i="1"/>
  <c r="I718" i="1"/>
  <c r="I719" i="1"/>
  <c r="I720" i="1"/>
  <c r="I721" i="1"/>
  <c r="I722" i="1"/>
  <c r="I723" i="1"/>
  <c r="I724" i="1"/>
  <c r="I725" i="1"/>
  <c r="I726" i="1"/>
  <c r="I727" i="1"/>
  <c r="I728" i="1"/>
  <c r="I730" i="1"/>
  <c r="I731" i="1"/>
  <c r="I732" i="1"/>
  <c r="I762" i="1"/>
  <c r="I763" i="1"/>
  <c r="I764" i="1"/>
  <c r="I765" i="1"/>
  <c r="I766" i="1"/>
  <c r="I767" i="1"/>
  <c r="I768"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95" i="1"/>
  <c r="I902" i="1"/>
  <c r="I903" i="1"/>
  <c r="I904" i="1"/>
  <c r="I905" i="1"/>
  <c r="I906" i="1"/>
  <c r="I907" i="1"/>
  <c r="I908" i="1"/>
  <c r="I909"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S1002" i="1"/>
  <c r="R1002" i="1"/>
  <c r="S1001" i="1"/>
  <c r="R1001" i="1"/>
  <c r="S1000" i="1"/>
  <c r="R1000" i="1"/>
  <c r="S999" i="1"/>
  <c r="R999" i="1"/>
  <c r="S998" i="1"/>
  <c r="R998" i="1"/>
  <c r="S997" i="1"/>
  <c r="R997" i="1"/>
  <c r="S996" i="1"/>
  <c r="R996" i="1"/>
  <c r="S995" i="1"/>
  <c r="R995" i="1"/>
  <c r="S994" i="1"/>
  <c r="R994" i="1"/>
  <c r="S993" i="1"/>
  <c r="R993" i="1"/>
  <c r="S992" i="1"/>
  <c r="R992" i="1"/>
  <c r="S987" i="1"/>
  <c r="R987" i="1"/>
  <c r="S986" i="1"/>
  <c r="R986" i="1"/>
  <c r="S985" i="1"/>
  <c r="R985" i="1"/>
  <c r="S984" i="1"/>
  <c r="R984" i="1"/>
  <c r="S983" i="1"/>
  <c r="R983" i="1"/>
  <c r="S982" i="1"/>
  <c r="R982" i="1"/>
  <c r="S981" i="1"/>
  <c r="R981" i="1"/>
  <c r="S980" i="1"/>
  <c r="R980" i="1"/>
  <c r="S979" i="1"/>
  <c r="R979" i="1"/>
  <c r="H2" i="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6" i="1"/>
  <c r="H134" i="1"/>
  <c r="H137" i="1"/>
  <c r="H138" i="1"/>
  <c r="H139" i="1"/>
  <c r="H140" i="1"/>
  <c r="H141" i="1"/>
  <c r="H142" i="1"/>
  <c r="H143" i="1"/>
  <c r="H144" i="1"/>
  <c r="H145" i="1"/>
  <c r="H146" i="1"/>
  <c r="H147" i="1"/>
  <c r="H148" i="1"/>
  <c r="H149" i="1"/>
  <c r="H150" i="1"/>
  <c r="H151" i="1"/>
  <c r="H152" i="1"/>
  <c r="H153" i="1"/>
  <c r="H154" i="1"/>
  <c r="H155" i="1"/>
  <c r="H156" i="1"/>
  <c r="H157" i="1"/>
  <c r="H158" i="1"/>
  <c r="H159"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96" i="1"/>
  <c r="H297" i="1"/>
  <c r="H298"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68" i="1"/>
  <c r="H569" i="1"/>
  <c r="H570" i="1"/>
  <c r="H571" i="1"/>
  <c r="H572" i="1"/>
  <c r="H573" i="1"/>
  <c r="H575" i="1"/>
  <c r="H576" i="1"/>
  <c r="H577" i="1"/>
  <c r="H578" i="1"/>
  <c r="H579" i="1"/>
  <c r="H580" i="1"/>
  <c r="H581" i="1"/>
  <c r="H582" i="1"/>
  <c r="H583" i="1"/>
  <c r="H584" i="1"/>
  <c r="H585" i="1"/>
  <c r="H587" i="1"/>
  <c r="H588" i="1"/>
  <c r="H589" i="1"/>
  <c r="H590" i="1"/>
  <c r="H591" i="1"/>
  <c r="H592" i="1"/>
  <c r="H593" i="1"/>
  <c r="H594" i="1"/>
  <c r="H595" i="1"/>
  <c r="H596" i="1"/>
  <c r="H597" i="1"/>
  <c r="H598" i="1"/>
  <c r="H599" i="1"/>
  <c r="H600" i="1"/>
  <c r="H606" i="1"/>
  <c r="H607" i="1"/>
  <c r="H608" i="1"/>
  <c r="H609" i="1"/>
  <c r="H610" i="1"/>
  <c r="H611" i="1"/>
  <c r="H612" i="1"/>
  <c r="H613" i="1"/>
  <c r="H614" i="1"/>
  <c r="H615" i="1"/>
  <c r="H618" i="1"/>
  <c r="H619" i="1"/>
  <c r="H620" i="1"/>
  <c r="H621" i="1"/>
  <c r="H622" i="1"/>
  <c r="H625" i="1"/>
  <c r="H626" i="1"/>
  <c r="H630" i="1"/>
  <c r="H631" i="1"/>
  <c r="H632" i="1"/>
  <c r="H633" i="1"/>
  <c r="H666" i="1"/>
  <c r="H667" i="1"/>
  <c r="H669" i="1"/>
  <c r="H671" i="1"/>
  <c r="H672" i="1"/>
  <c r="H673" i="1"/>
  <c r="H674" i="1"/>
  <c r="H675" i="1"/>
  <c r="H676" i="1"/>
  <c r="H677" i="1"/>
  <c r="H678" i="1"/>
  <c r="H679" i="1"/>
  <c r="H680" i="1"/>
  <c r="H681" i="1"/>
  <c r="H682" i="1"/>
  <c r="H683" i="1"/>
  <c r="H684" i="1"/>
  <c r="H685" i="1"/>
  <c r="H686" i="1"/>
  <c r="H688" i="1"/>
  <c r="H689" i="1"/>
  <c r="H690" i="1"/>
  <c r="H691" i="1"/>
  <c r="H692" i="1"/>
  <c r="H693" i="1"/>
  <c r="H694" i="1"/>
  <c r="H695" i="1"/>
  <c r="H696" i="1"/>
  <c r="H697" i="1"/>
  <c r="H698" i="1"/>
  <c r="H700" i="1"/>
  <c r="H701" i="1"/>
  <c r="H702" i="1"/>
  <c r="H703" i="1"/>
  <c r="H704" i="1"/>
  <c r="H705" i="1"/>
  <c r="H706" i="1"/>
  <c r="H708" i="1"/>
  <c r="H709" i="1"/>
  <c r="H710" i="1"/>
  <c r="H711" i="1"/>
  <c r="H712" i="1"/>
  <c r="H713" i="1"/>
  <c r="H714" i="1"/>
  <c r="H715" i="1"/>
  <c r="H716" i="1"/>
  <c r="H717" i="1"/>
  <c r="H718" i="1"/>
  <c r="H719" i="1"/>
  <c r="H720" i="1"/>
  <c r="H721" i="1"/>
  <c r="H722" i="1"/>
  <c r="H723" i="1"/>
  <c r="H724" i="1"/>
  <c r="H725" i="1"/>
  <c r="H726" i="1"/>
  <c r="H727" i="1"/>
  <c r="H728" i="1"/>
  <c r="H730" i="1"/>
  <c r="H731" i="1"/>
  <c r="H732"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S972" i="1"/>
  <c r="R972" i="1"/>
  <c r="S971" i="1"/>
  <c r="R971" i="1"/>
  <c r="S970" i="1"/>
  <c r="R970" i="1"/>
  <c r="S969" i="1"/>
  <c r="R969" i="1"/>
  <c r="S968" i="1"/>
  <c r="R968" i="1"/>
  <c r="S967" i="1"/>
  <c r="R967" i="1"/>
  <c r="S966" i="1"/>
  <c r="R966" i="1"/>
  <c r="S965" i="1"/>
  <c r="R965" i="1"/>
  <c r="R889" i="1"/>
  <c r="S889" i="1"/>
  <c r="R890" i="1"/>
  <c r="S890" i="1"/>
  <c r="R891" i="1"/>
  <c r="S891" i="1"/>
  <c r="R892" i="1"/>
  <c r="S892" i="1"/>
  <c r="R893" i="1"/>
  <c r="S893" i="1"/>
  <c r="R894" i="1"/>
  <c r="S894" i="1"/>
  <c r="S888" i="1"/>
  <c r="R888" i="1"/>
  <c r="S887" i="1"/>
  <c r="R887" i="1"/>
  <c r="S886" i="1"/>
  <c r="R886" i="1"/>
  <c r="S885" i="1"/>
  <c r="R885" i="1"/>
  <c r="S884" i="1"/>
  <c r="R884" i="1"/>
  <c r="S882" i="1"/>
  <c r="R882" i="1"/>
  <c r="S881" i="1"/>
  <c r="R881" i="1"/>
  <c r="S879" i="1"/>
  <c r="R879" i="1"/>
  <c r="S878" i="1"/>
  <c r="R878" i="1"/>
  <c r="S876" i="1"/>
  <c r="R876" i="1"/>
  <c r="S875" i="1"/>
  <c r="R875" i="1"/>
  <c r="S874" i="1"/>
  <c r="R874" i="1"/>
  <c r="S873" i="1"/>
  <c r="R873" i="1"/>
  <c r="S872" i="1"/>
  <c r="R872" i="1"/>
  <c r="S871" i="1"/>
  <c r="R871" i="1"/>
  <c r="S870" i="1"/>
  <c r="R870" i="1"/>
  <c r="S869" i="1"/>
  <c r="R869" i="1"/>
  <c r="S868" i="1"/>
  <c r="R868" i="1"/>
  <c r="S867" i="1"/>
  <c r="R867" i="1"/>
  <c r="S866" i="1"/>
  <c r="R866" i="1"/>
  <c r="S865" i="1"/>
  <c r="R865" i="1"/>
  <c r="S863" i="1"/>
  <c r="R863" i="1"/>
  <c r="S861" i="1"/>
  <c r="R861" i="1"/>
  <c r="S860" i="1"/>
  <c r="R860" i="1"/>
  <c r="S859" i="1"/>
  <c r="R859" i="1"/>
  <c r="S858" i="1"/>
  <c r="R858" i="1"/>
  <c r="S857" i="1"/>
  <c r="R857" i="1"/>
  <c r="S856" i="1"/>
  <c r="R856" i="1"/>
  <c r="S855" i="1"/>
  <c r="R855" i="1"/>
  <c r="S853" i="1"/>
  <c r="R853" i="1"/>
  <c r="S852" i="1"/>
  <c r="R852" i="1"/>
  <c r="S851" i="1"/>
  <c r="R851" i="1"/>
  <c r="S850" i="1"/>
  <c r="R850" i="1"/>
  <c r="S849" i="1"/>
  <c r="R849" i="1"/>
  <c r="S848" i="1"/>
  <c r="R848" i="1"/>
  <c r="S847" i="1"/>
  <c r="R847" i="1"/>
  <c r="S846" i="1"/>
  <c r="R846" i="1"/>
  <c r="S845" i="1"/>
  <c r="R845" i="1"/>
  <c r="S844" i="1"/>
  <c r="R844" i="1"/>
  <c r="S842" i="1"/>
  <c r="R842" i="1"/>
  <c r="S841" i="1"/>
  <c r="R841" i="1"/>
  <c r="S840" i="1"/>
  <c r="R840" i="1"/>
  <c r="S839" i="1"/>
  <c r="R839" i="1"/>
  <c r="S838" i="1"/>
  <c r="R838" i="1"/>
  <c r="S837" i="1"/>
  <c r="R837" i="1"/>
  <c r="S836" i="1"/>
  <c r="R836" i="1"/>
  <c r="S835" i="1"/>
  <c r="R835" i="1"/>
  <c r="S834" i="1"/>
  <c r="R834" i="1"/>
  <c r="S832" i="1"/>
  <c r="R832" i="1"/>
  <c r="S831" i="1"/>
  <c r="R831" i="1"/>
  <c r="S829" i="1"/>
  <c r="R829" i="1"/>
  <c r="S828" i="1"/>
  <c r="R828" i="1"/>
  <c r="S827" i="1"/>
  <c r="R827" i="1"/>
  <c r="S826" i="1"/>
  <c r="R826" i="1"/>
  <c r="S825" i="1"/>
  <c r="R825" i="1"/>
  <c r="S824" i="1"/>
  <c r="R824" i="1"/>
  <c r="S823" i="1"/>
  <c r="R823" i="1"/>
  <c r="S821" i="1"/>
  <c r="R821" i="1"/>
  <c r="S820" i="1"/>
  <c r="R820" i="1"/>
  <c r="S819" i="1"/>
  <c r="R819" i="1"/>
  <c r="S818" i="1"/>
  <c r="R818" i="1"/>
  <c r="S817" i="1"/>
  <c r="R817" i="1"/>
  <c r="S549" i="1"/>
  <c r="R549" i="1"/>
  <c r="S548" i="1"/>
  <c r="R548" i="1"/>
  <c r="S547" i="1"/>
  <c r="R547" i="1"/>
  <c r="S546" i="1"/>
  <c r="R546" i="1"/>
  <c r="S545" i="1"/>
  <c r="R545" i="1"/>
  <c r="S544" i="1"/>
  <c r="R544" i="1"/>
  <c r="S543" i="1"/>
  <c r="R543" i="1"/>
  <c r="S542" i="1"/>
  <c r="R542" i="1"/>
  <c r="S541" i="1"/>
  <c r="R541" i="1"/>
  <c r="S540" i="1"/>
  <c r="R540" i="1"/>
  <c r="S539" i="1"/>
  <c r="R539" i="1"/>
  <c r="S538" i="1"/>
  <c r="R538" i="1"/>
  <c r="S536" i="1"/>
  <c r="R536" i="1"/>
  <c r="S534" i="1"/>
  <c r="R534" i="1"/>
  <c r="S533" i="1"/>
  <c r="R533" i="1"/>
  <c r="S532" i="1"/>
  <c r="R532" i="1"/>
  <c r="S531" i="1"/>
  <c r="R531" i="1"/>
  <c r="S530" i="1"/>
  <c r="R530" i="1"/>
  <c r="S529" i="1"/>
  <c r="R529" i="1"/>
  <c r="S528" i="1"/>
  <c r="R528" i="1"/>
  <c r="S527" i="1"/>
  <c r="R527" i="1"/>
  <c r="S526" i="1"/>
  <c r="R526" i="1"/>
  <c r="S525" i="1"/>
  <c r="R525" i="1"/>
  <c r="S524" i="1"/>
  <c r="R524" i="1"/>
  <c r="S522" i="1"/>
  <c r="R522" i="1"/>
  <c r="S519" i="1"/>
  <c r="R519" i="1"/>
  <c r="S518" i="1"/>
  <c r="R518" i="1"/>
  <c r="S517" i="1"/>
  <c r="R517" i="1"/>
  <c r="S516" i="1"/>
  <c r="R516" i="1"/>
  <c r="S515" i="1"/>
  <c r="R515" i="1"/>
  <c r="S514" i="1"/>
  <c r="R514" i="1"/>
  <c r="S513" i="1"/>
  <c r="R513" i="1"/>
  <c r="S512" i="1"/>
  <c r="R512" i="1"/>
  <c r="S511" i="1"/>
  <c r="R511" i="1"/>
  <c r="S510" i="1"/>
  <c r="R510" i="1"/>
  <c r="S509" i="1"/>
  <c r="R509" i="1"/>
  <c r="S508" i="1"/>
  <c r="R508" i="1"/>
  <c r="S507" i="1"/>
  <c r="R507" i="1"/>
  <c r="S506" i="1"/>
  <c r="R506" i="1"/>
  <c r="S505" i="1"/>
  <c r="R505" i="1"/>
  <c r="S504" i="1"/>
  <c r="R504" i="1"/>
  <c r="S503" i="1"/>
  <c r="R503" i="1"/>
  <c r="S502" i="1"/>
  <c r="R502" i="1"/>
  <c r="S501" i="1"/>
  <c r="R501" i="1"/>
  <c r="S500" i="1"/>
  <c r="R500" i="1"/>
  <c r="S499" i="1"/>
  <c r="R499" i="1"/>
  <c r="S498" i="1"/>
  <c r="R498" i="1"/>
  <c r="S492" i="1"/>
  <c r="R492" i="1"/>
  <c r="S491" i="1"/>
  <c r="R491" i="1"/>
  <c r="S490" i="1"/>
  <c r="R490" i="1"/>
  <c r="S489" i="1"/>
  <c r="R489" i="1"/>
  <c r="S488" i="1"/>
  <c r="R488" i="1"/>
  <c r="S487" i="1"/>
  <c r="R487" i="1"/>
  <c r="S486" i="1"/>
  <c r="R486" i="1"/>
  <c r="S484" i="1"/>
  <c r="R484" i="1"/>
  <c r="S483" i="1"/>
  <c r="R483" i="1"/>
  <c r="S482" i="1"/>
  <c r="R482" i="1"/>
  <c r="S481" i="1"/>
  <c r="R481" i="1"/>
  <c r="S480" i="1"/>
  <c r="R480" i="1"/>
  <c r="S479" i="1"/>
  <c r="R479" i="1"/>
  <c r="S478" i="1"/>
  <c r="R478" i="1"/>
  <c r="S477" i="1"/>
  <c r="R477" i="1"/>
  <c r="S476" i="1"/>
  <c r="R476" i="1"/>
  <c r="S475" i="1"/>
  <c r="R475" i="1"/>
  <c r="S473" i="1"/>
  <c r="R473" i="1"/>
  <c r="S472" i="1"/>
  <c r="R472" i="1"/>
  <c r="S471" i="1"/>
  <c r="R471" i="1"/>
  <c r="S469" i="1"/>
  <c r="R469" i="1"/>
  <c r="S259" i="1"/>
  <c r="R259" i="1"/>
  <c r="S258" i="1"/>
  <c r="R258" i="1"/>
  <c r="S257" i="1"/>
  <c r="R257" i="1"/>
  <c r="C18" i="4" l="1"/>
  <c r="E22" i="3"/>
  <c r="S255" i="1"/>
  <c r="R255" i="1"/>
  <c r="S254" i="1"/>
  <c r="R254" i="1"/>
  <c r="S253" i="1"/>
  <c r="R253" i="1"/>
  <c r="S252" i="1"/>
  <c r="R252" i="1"/>
  <c r="S250" i="1"/>
  <c r="R250" i="1"/>
  <c r="S249" i="1"/>
  <c r="R249" i="1"/>
  <c r="S248" i="1"/>
  <c r="R248" i="1"/>
  <c r="S247" i="1"/>
  <c r="R247" i="1"/>
  <c r="S246" i="1"/>
  <c r="R246" i="1"/>
  <c r="S245" i="1"/>
  <c r="R245" i="1"/>
  <c r="S243" i="1"/>
  <c r="R243" i="1"/>
  <c r="S241" i="1"/>
  <c r="R241" i="1"/>
  <c r="S240" i="1"/>
  <c r="R240" i="1"/>
  <c r="S239" i="1"/>
  <c r="R239" i="1"/>
  <c r="S238" i="1"/>
  <c r="R238" i="1"/>
  <c r="S237" i="1"/>
  <c r="R237" i="1"/>
  <c r="S236" i="1"/>
  <c r="R236" i="1"/>
  <c r="S235" i="1"/>
  <c r="R235" i="1"/>
  <c r="S234" i="1"/>
  <c r="R234" i="1"/>
  <c r="S233" i="1"/>
  <c r="R233" i="1"/>
  <c r="S232" i="1"/>
  <c r="R232" i="1"/>
  <c r="S231" i="1"/>
  <c r="R231" i="1"/>
  <c r="S230" i="1"/>
  <c r="R230" i="1"/>
  <c r="S229" i="1"/>
  <c r="R229" i="1"/>
  <c r="S228" i="1"/>
  <c r="R228" i="1"/>
  <c r="S226" i="1"/>
  <c r="R226" i="1"/>
  <c r="S225" i="1"/>
  <c r="R225" i="1"/>
  <c r="S224" i="1"/>
  <c r="R224" i="1"/>
  <c r="S223" i="1"/>
  <c r="R223" i="1"/>
  <c r="S221" i="1"/>
  <c r="R221" i="1"/>
  <c r="S220" i="1"/>
  <c r="R220" i="1"/>
  <c r="S218" i="1"/>
  <c r="R218" i="1"/>
  <c r="S217" i="1"/>
  <c r="R217" i="1"/>
  <c r="S216" i="1"/>
  <c r="R216" i="1"/>
  <c r="S215" i="1"/>
  <c r="R215" i="1"/>
  <c r="S214" i="1"/>
  <c r="R214" i="1"/>
  <c r="S213" i="1"/>
  <c r="R213" i="1"/>
  <c r="S211" i="1"/>
  <c r="R211" i="1"/>
  <c r="S210" i="1"/>
  <c r="R210" i="1"/>
  <c r="S208" i="1"/>
  <c r="R208" i="1"/>
  <c r="S207" i="1"/>
  <c r="R207" i="1"/>
  <c r="S206" i="1"/>
  <c r="R206" i="1"/>
  <c r="S205" i="1"/>
  <c r="R205" i="1"/>
  <c r="S204" i="1"/>
  <c r="R204" i="1"/>
  <c r="S203" i="1"/>
  <c r="R203" i="1"/>
  <c r="S99" i="1"/>
  <c r="R99" i="1"/>
  <c r="S98" i="1"/>
  <c r="R98" i="1"/>
  <c r="G2"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6" i="1"/>
  <c r="G134" i="1"/>
  <c r="G137" i="1"/>
  <c r="G138" i="1"/>
  <c r="G139" i="1"/>
  <c r="G140" i="1"/>
  <c r="G141" i="1"/>
  <c r="G142" i="1"/>
  <c r="G143" i="1"/>
  <c r="G144" i="1"/>
  <c r="G145" i="1"/>
  <c r="G146" i="1"/>
  <c r="G147" i="1"/>
  <c r="G148" i="1"/>
  <c r="G149" i="1"/>
  <c r="G150" i="1"/>
  <c r="G151" i="1"/>
  <c r="G152" i="1"/>
  <c r="G153" i="1"/>
  <c r="G154" i="1"/>
  <c r="G155" i="1"/>
  <c r="G156" i="1"/>
  <c r="G157" i="1"/>
  <c r="G158" i="1"/>
  <c r="G159" i="1"/>
  <c r="G162" i="1"/>
  <c r="G163" i="1"/>
  <c r="G164" i="1"/>
  <c r="G165" i="1"/>
  <c r="G166" i="1"/>
  <c r="G167" i="1"/>
  <c r="G168" i="1"/>
  <c r="G169" i="1"/>
  <c r="G170" i="1"/>
  <c r="G171" i="1"/>
  <c r="G172" i="1"/>
  <c r="G173" i="1"/>
  <c r="G174" i="1"/>
  <c r="G175" i="1"/>
  <c r="G176" i="1"/>
  <c r="G177"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8" i="1"/>
  <c r="G239" i="1"/>
  <c r="G240" i="1"/>
  <c r="G241" i="1"/>
  <c r="G242" i="1"/>
  <c r="G243" i="1"/>
  <c r="G244" i="1"/>
  <c r="G245" i="1"/>
  <c r="G246" i="1"/>
  <c r="G247" i="1"/>
  <c r="G248" i="1"/>
  <c r="G249" i="1"/>
  <c r="G250" i="1"/>
  <c r="G251" i="1"/>
  <c r="G252" i="1"/>
  <c r="G253" i="1"/>
  <c r="G254" i="1"/>
  <c r="G255" i="1"/>
  <c r="G256" i="1"/>
  <c r="G260" i="1"/>
  <c r="G261" i="1"/>
  <c r="G262" i="1"/>
  <c r="G263" i="1"/>
  <c r="G264" i="1"/>
  <c r="G265" i="1"/>
  <c r="G266" i="1"/>
  <c r="G267" i="1"/>
  <c r="G268" i="1"/>
  <c r="G269" i="1"/>
  <c r="G270" i="1"/>
  <c r="G271" i="1"/>
  <c r="G272" i="1"/>
  <c r="G273" i="1"/>
  <c r="G296" i="1"/>
  <c r="G297" i="1"/>
  <c r="G298"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3" i="1"/>
  <c r="G344" i="1"/>
  <c r="G345" i="1"/>
  <c r="G346" i="1"/>
  <c r="G347" i="1"/>
  <c r="G348" i="1"/>
  <c r="G349" i="1"/>
  <c r="G350" i="1"/>
  <c r="G351" i="1"/>
  <c r="G352" i="1"/>
  <c r="G353" i="1"/>
  <c r="G354" i="1"/>
  <c r="G356"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3" i="1"/>
  <c r="G494" i="1"/>
  <c r="G495" i="1"/>
  <c r="G496" i="1"/>
  <c r="G497" i="1"/>
  <c r="G498" i="1"/>
  <c r="G499" i="1"/>
  <c r="G502" i="1"/>
  <c r="G503" i="1"/>
  <c r="G504" i="1"/>
  <c r="G505" i="1"/>
  <c r="G506" i="1"/>
  <c r="G507" i="1"/>
  <c r="G510" i="1"/>
  <c r="G511" i="1"/>
  <c r="G512" i="1"/>
  <c r="G513" i="1"/>
  <c r="G514" i="1"/>
  <c r="G515" i="1"/>
  <c r="G517" i="1"/>
  <c r="G518" i="1"/>
  <c r="G519" i="1"/>
  <c r="G520" i="1"/>
  <c r="G521" i="1"/>
  <c r="G522" i="1"/>
  <c r="G523" i="1"/>
  <c r="G525" i="1"/>
  <c r="G526" i="1"/>
  <c r="G527" i="1"/>
  <c r="G528" i="1"/>
  <c r="G529" i="1"/>
  <c r="G530" i="1"/>
  <c r="G531" i="1"/>
  <c r="G532" i="1"/>
  <c r="G533" i="1"/>
  <c r="G534" i="1"/>
  <c r="G535" i="1"/>
  <c r="G537" i="1"/>
  <c r="G538" i="1"/>
  <c r="G539" i="1"/>
  <c r="G540" i="1"/>
  <c r="G541" i="1"/>
  <c r="G542" i="1"/>
  <c r="G543" i="1"/>
  <c r="G544" i="1"/>
  <c r="G545" i="1"/>
  <c r="G546" i="1"/>
  <c r="G547" i="1"/>
  <c r="G548" i="1"/>
  <c r="G549" i="1"/>
  <c r="G550" i="1"/>
  <c r="G551" i="1"/>
  <c r="G552" i="1"/>
  <c r="G553" i="1"/>
  <c r="G554" i="1"/>
  <c r="G555" i="1"/>
  <c r="G556" i="1"/>
  <c r="G568" i="1"/>
  <c r="G569" i="1"/>
  <c r="G570" i="1"/>
  <c r="G571" i="1"/>
  <c r="G572" i="1"/>
  <c r="G573" i="1"/>
  <c r="G575" i="1"/>
  <c r="G576" i="1"/>
  <c r="G577" i="1"/>
  <c r="G578" i="1"/>
  <c r="G579" i="1"/>
  <c r="G580" i="1"/>
  <c r="G581" i="1"/>
  <c r="G582" i="1"/>
  <c r="G583" i="1"/>
  <c r="G584" i="1"/>
  <c r="G585" i="1"/>
  <c r="G587" i="1"/>
  <c r="G588" i="1"/>
  <c r="G589" i="1"/>
  <c r="G590" i="1"/>
  <c r="G591" i="1"/>
  <c r="G592" i="1"/>
  <c r="G593" i="1"/>
  <c r="G594" i="1"/>
  <c r="G595" i="1"/>
  <c r="G596" i="1"/>
  <c r="G597" i="1"/>
  <c r="G598" i="1"/>
  <c r="G599" i="1"/>
  <c r="G600" i="1"/>
  <c r="G606" i="1"/>
  <c r="G607" i="1"/>
  <c r="G608" i="1"/>
  <c r="G609" i="1"/>
  <c r="G610" i="1"/>
  <c r="G611" i="1"/>
  <c r="G612" i="1"/>
  <c r="G613" i="1"/>
  <c r="G614" i="1"/>
  <c r="G615" i="1"/>
  <c r="G618" i="1"/>
  <c r="G619" i="1"/>
  <c r="G620" i="1"/>
  <c r="G621" i="1"/>
  <c r="G622" i="1"/>
  <c r="G625" i="1"/>
  <c r="G626" i="1"/>
  <c r="G630" i="1"/>
  <c r="G631" i="1"/>
  <c r="G632" i="1"/>
  <c r="G633" i="1"/>
  <c r="G666" i="1"/>
  <c r="G667" i="1"/>
  <c r="G669" i="1"/>
  <c r="G671" i="1"/>
  <c r="G672" i="1"/>
  <c r="G673" i="1"/>
  <c r="G674" i="1"/>
  <c r="G675" i="1"/>
  <c r="G676" i="1"/>
  <c r="G677" i="1"/>
  <c r="G678" i="1"/>
  <c r="G679" i="1"/>
  <c r="G680" i="1"/>
  <c r="G681" i="1"/>
  <c r="G682" i="1"/>
  <c r="G683" i="1"/>
  <c r="G684" i="1"/>
  <c r="G685" i="1"/>
  <c r="G686" i="1"/>
  <c r="G688" i="1"/>
  <c r="G689" i="1"/>
  <c r="G690" i="1"/>
  <c r="G691" i="1"/>
  <c r="G692" i="1"/>
  <c r="G693" i="1"/>
  <c r="G694" i="1"/>
  <c r="G695" i="1"/>
  <c r="G696" i="1"/>
  <c r="G697" i="1"/>
  <c r="G698" i="1"/>
  <c r="G700" i="1"/>
  <c r="G701" i="1"/>
  <c r="G702" i="1"/>
  <c r="G703" i="1"/>
  <c r="G704" i="1"/>
  <c r="G705" i="1"/>
  <c r="G706" i="1"/>
  <c r="G708" i="1"/>
  <c r="G709" i="1"/>
  <c r="G710" i="1"/>
  <c r="G711" i="1"/>
  <c r="G712" i="1"/>
  <c r="G713" i="1"/>
  <c r="G714" i="1"/>
  <c r="G715" i="1"/>
  <c r="G716" i="1"/>
  <c r="G717" i="1"/>
  <c r="G718" i="1"/>
  <c r="G719" i="1"/>
  <c r="G720" i="1"/>
  <c r="G721" i="1"/>
  <c r="G722" i="1"/>
  <c r="G723" i="1"/>
  <c r="G724" i="1"/>
  <c r="G725" i="1"/>
  <c r="G726" i="1"/>
  <c r="G727" i="1"/>
  <c r="G728" i="1"/>
  <c r="G730" i="1"/>
  <c r="G731" i="1"/>
  <c r="G732"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9" i="1"/>
  <c r="G820" i="1"/>
  <c r="G821" i="1"/>
  <c r="G822" i="1"/>
  <c r="G824" i="1"/>
  <c r="G825" i="1"/>
  <c r="G827" i="1"/>
  <c r="G829" i="1"/>
  <c r="G830" i="1"/>
  <c r="G832" i="1"/>
  <c r="G833" i="1"/>
  <c r="G835" i="1"/>
  <c r="G837" i="1"/>
  <c r="G839" i="1"/>
  <c r="G840" i="1"/>
  <c r="G841" i="1"/>
  <c r="G842" i="1"/>
  <c r="G843" i="1"/>
  <c r="G845" i="1"/>
  <c r="G846" i="1"/>
  <c r="G847" i="1"/>
  <c r="G849" i="1"/>
  <c r="G851" i="1"/>
  <c r="G852" i="1"/>
  <c r="G853" i="1"/>
  <c r="G854" i="1"/>
  <c r="G856" i="1"/>
  <c r="G857" i="1"/>
  <c r="G858" i="1"/>
  <c r="G859" i="1"/>
  <c r="G860" i="1"/>
  <c r="G861" i="1"/>
  <c r="G862" i="1"/>
  <c r="G864" i="1"/>
  <c r="G865" i="1"/>
  <c r="G866" i="1"/>
  <c r="G867" i="1"/>
  <c r="G868" i="1"/>
  <c r="G869" i="1"/>
  <c r="G870" i="1"/>
  <c r="G872" i="1"/>
  <c r="G873" i="1"/>
  <c r="G875" i="1"/>
  <c r="G876" i="1"/>
  <c r="G877" i="1"/>
  <c r="G879" i="1"/>
  <c r="G880" i="1"/>
  <c r="G882" i="1"/>
  <c r="G883" i="1"/>
  <c r="G885" i="1"/>
  <c r="G886" i="1"/>
  <c r="G888" i="1"/>
  <c r="G889" i="1"/>
  <c r="G891" i="1"/>
  <c r="G892" i="1"/>
  <c r="G894" i="1"/>
  <c r="G895" i="1"/>
  <c r="G896" i="1"/>
  <c r="G897" i="1"/>
  <c r="G898" i="1"/>
  <c r="G899" i="1"/>
  <c r="G900" i="1"/>
  <c r="G901" i="1"/>
  <c r="G902" i="1"/>
  <c r="G903" i="1"/>
  <c r="G904" i="1"/>
  <c r="G905" i="1"/>
  <c r="G906" i="1"/>
  <c r="G907" i="1"/>
  <c r="G908" i="1"/>
  <c r="G909"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3" i="1"/>
  <c r="G974" i="1"/>
  <c r="G975" i="1"/>
  <c r="G976" i="1"/>
  <c r="G977" i="1"/>
  <c r="G978" i="1"/>
  <c r="G979" i="1"/>
  <c r="G980" i="1"/>
  <c r="G981" i="1"/>
  <c r="G982" i="1"/>
  <c r="G984" i="1"/>
  <c r="G986" i="1"/>
  <c r="G988" i="1"/>
  <c r="G989" i="1"/>
  <c r="G990" i="1"/>
  <c r="G991" i="1"/>
  <c r="G993" i="1"/>
  <c r="G994" i="1"/>
  <c r="G996" i="1"/>
  <c r="G997" i="1"/>
  <c r="G999" i="1"/>
  <c r="G1000" i="1"/>
  <c r="G1001" i="1"/>
  <c r="G1003" i="1"/>
  <c r="S93" i="1"/>
  <c r="S91" i="1"/>
  <c r="S90" i="1"/>
  <c r="S88" i="1"/>
  <c r="S87" i="1"/>
  <c r="S85" i="1"/>
  <c r="S84" i="1"/>
  <c r="S83" i="1"/>
  <c r="S82" i="1"/>
  <c r="S81" i="1"/>
  <c r="S80" i="1"/>
  <c r="S79" i="1"/>
  <c r="S78" i="1"/>
  <c r="S77" i="1"/>
  <c r="S75" i="1"/>
  <c r="S74" i="1"/>
  <c r="S73" i="1"/>
  <c r="S951" i="1"/>
  <c r="R951" i="1"/>
  <c r="S950" i="1"/>
  <c r="R950" i="1"/>
  <c r="S949" i="1"/>
  <c r="R949" i="1"/>
  <c r="S948" i="1"/>
  <c r="R948" i="1"/>
  <c r="S947" i="1"/>
  <c r="R947" i="1"/>
  <c r="S946" i="1"/>
  <c r="R946" i="1"/>
  <c r="S945" i="1"/>
  <c r="R945" i="1"/>
  <c r="S944" i="1"/>
  <c r="R944" i="1"/>
  <c r="S943" i="1"/>
  <c r="R943" i="1"/>
  <c r="S942" i="1"/>
  <c r="R942" i="1"/>
  <c r="S941" i="1"/>
  <c r="R941" i="1"/>
  <c r="S940" i="1"/>
  <c r="R940" i="1"/>
  <c r="S939" i="1"/>
  <c r="R939" i="1"/>
  <c r="S883" i="1"/>
  <c r="R883" i="1"/>
  <c r="S880" i="1"/>
  <c r="R880" i="1"/>
  <c r="S877" i="1"/>
  <c r="R877" i="1"/>
  <c r="S864" i="1"/>
  <c r="R864" i="1"/>
  <c r="S862" i="1"/>
  <c r="R862" i="1"/>
  <c r="S854" i="1"/>
  <c r="R854" i="1"/>
  <c r="S843" i="1"/>
  <c r="R843" i="1"/>
  <c r="S833" i="1"/>
  <c r="R833" i="1"/>
  <c r="S830" i="1"/>
  <c r="R830" i="1"/>
  <c r="S822" i="1"/>
  <c r="R822" i="1"/>
  <c r="S812" i="1"/>
  <c r="R812" i="1"/>
  <c r="S807" i="1"/>
  <c r="R807" i="1"/>
  <c r="S802" i="1"/>
  <c r="R802" i="1"/>
  <c r="S798" i="1"/>
  <c r="R798" i="1"/>
  <c r="S795" i="1"/>
  <c r="R795" i="1"/>
  <c r="S791" i="1"/>
  <c r="R791" i="1"/>
  <c r="S788" i="1"/>
  <c r="R788" i="1"/>
  <c r="S777" i="1"/>
  <c r="R777" i="1"/>
  <c r="S770" i="1"/>
  <c r="R770" i="1"/>
  <c r="S766" i="1"/>
  <c r="R766" i="1"/>
  <c r="S763" i="1"/>
  <c r="R763" i="1"/>
  <c r="S756" i="1"/>
  <c r="R756" i="1"/>
  <c r="S749" i="1"/>
  <c r="R749" i="1"/>
  <c r="S743" i="1"/>
  <c r="R743" i="1"/>
  <c r="S739" i="1"/>
  <c r="R739" i="1"/>
  <c r="S730" i="1"/>
  <c r="R730" i="1"/>
  <c r="S727" i="1"/>
  <c r="R727" i="1"/>
  <c r="S713" i="1"/>
  <c r="R713" i="1"/>
  <c r="S711" i="1"/>
  <c r="R711" i="1"/>
  <c r="S709" i="1"/>
  <c r="R709" i="1"/>
  <c r="S701" i="1"/>
  <c r="R701" i="1"/>
  <c r="S697" i="1"/>
  <c r="R697" i="1"/>
  <c r="S695" i="1"/>
  <c r="R695" i="1"/>
  <c r="S693" i="1"/>
  <c r="R693" i="1"/>
  <c r="S691" i="1"/>
  <c r="R691" i="1"/>
  <c r="S686" i="1"/>
  <c r="R686" i="1"/>
  <c r="S684" i="1"/>
  <c r="R684" i="1"/>
  <c r="S682" i="1"/>
  <c r="R682" i="1"/>
  <c r="S680" i="1"/>
  <c r="R680" i="1"/>
  <c r="S672" i="1"/>
  <c r="R672" i="1"/>
  <c r="S626" i="1"/>
  <c r="R626" i="1"/>
  <c r="S625" i="1"/>
  <c r="R625" i="1"/>
  <c r="S622" i="1"/>
  <c r="R622" i="1"/>
  <c r="S621" i="1"/>
  <c r="R621" i="1"/>
  <c r="S615" i="1"/>
  <c r="R615" i="1"/>
  <c r="S613" i="1"/>
  <c r="R613" i="1"/>
  <c r="S611" i="1"/>
  <c r="R611" i="1"/>
  <c r="S609" i="1"/>
  <c r="R609" i="1"/>
  <c r="S608" i="1"/>
  <c r="R608" i="1"/>
  <c r="S607" i="1"/>
  <c r="R607" i="1"/>
  <c r="S606" i="1"/>
  <c r="R606" i="1"/>
  <c r="S596" i="1"/>
  <c r="R596" i="1"/>
  <c r="S594" i="1"/>
  <c r="R594" i="1"/>
  <c r="S588" i="1"/>
  <c r="R588" i="1"/>
  <c r="S556" i="1"/>
  <c r="R556" i="1"/>
  <c r="S555" i="1"/>
  <c r="R555" i="1"/>
  <c r="S554" i="1"/>
  <c r="R554" i="1"/>
  <c r="S553" i="1"/>
  <c r="R553" i="1"/>
  <c r="S552" i="1"/>
  <c r="R552" i="1"/>
  <c r="S551" i="1"/>
  <c r="R551" i="1"/>
  <c r="S550" i="1"/>
  <c r="R550" i="1"/>
  <c r="S537" i="1"/>
  <c r="R537" i="1"/>
  <c r="S535" i="1"/>
  <c r="R535" i="1"/>
  <c r="S523" i="1"/>
  <c r="R523" i="1"/>
  <c r="S521" i="1"/>
  <c r="R521" i="1"/>
  <c r="S520" i="1"/>
  <c r="R520" i="1"/>
  <c r="S497" i="1"/>
  <c r="R497" i="1"/>
  <c r="S496" i="1"/>
  <c r="R496" i="1"/>
  <c r="S495" i="1"/>
  <c r="R495" i="1"/>
  <c r="S494" i="1"/>
  <c r="R494" i="1"/>
  <c r="S493" i="1"/>
  <c r="R493" i="1"/>
  <c r="S485" i="1"/>
  <c r="R485" i="1"/>
  <c r="S474" i="1"/>
  <c r="R474" i="1"/>
  <c r="S470" i="1"/>
  <c r="R470" i="1"/>
  <c r="S464" i="1"/>
  <c r="R464" i="1"/>
  <c r="S458" i="1"/>
  <c r="R458" i="1"/>
  <c r="S456" i="1"/>
  <c r="R456" i="1"/>
  <c r="S455" i="1"/>
  <c r="R455" i="1"/>
  <c r="S454" i="1"/>
  <c r="R454" i="1"/>
  <c r="S453" i="1"/>
  <c r="R453" i="1"/>
  <c r="S452" i="1"/>
  <c r="R452" i="1"/>
  <c r="S451" i="1"/>
  <c r="R451" i="1"/>
  <c r="S450" i="1"/>
  <c r="R450" i="1"/>
  <c r="S443" i="1"/>
  <c r="R443" i="1"/>
  <c r="S442" i="1"/>
  <c r="R442" i="1"/>
  <c r="S441" i="1"/>
  <c r="R441" i="1"/>
  <c r="S439" i="1"/>
  <c r="R439" i="1"/>
  <c r="S437" i="1"/>
  <c r="R437" i="1"/>
  <c r="S434" i="1"/>
  <c r="R434" i="1"/>
  <c r="S431" i="1"/>
  <c r="R431" i="1"/>
  <c r="S429" i="1"/>
  <c r="R429" i="1"/>
  <c r="S428" i="1"/>
  <c r="R428" i="1"/>
  <c r="S423" i="1"/>
  <c r="R423" i="1"/>
  <c r="S414" i="1"/>
  <c r="R414" i="1"/>
  <c r="S412" i="1"/>
  <c r="R412" i="1"/>
  <c r="S411" i="1"/>
  <c r="R411" i="1"/>
  <c r="S410" i="1"/>
  <c r="R410" i="1"/>
  <c r="S409" i="1"/>
  <c r="R409" i="1"/>
  <c r="S408" i="1"/>
  <c r="R408" i="1"/>
  <c r="S407" i="1"/>
  <c r="R407" i="1"/>
  <c r="S406" i="1"/>
  <c r="R406" i="1"/>
  <c r="S401" i="1"/>
  <c r="R401" i="1"/>
  <c r="S400" i="1"/>
  <c r="R400" i="1"/>
  <c r="S399" i="1"/>
  <c r="R399" i="1"/>
  <c r="S397" i="1"/>
  <c r="R397" i="1"/>
  <c r="S396" i="1"/>
  <c r="R396" i="1"/>
  <c r="S395" i="1"/>
  <c r="R395" i="1"/>
  <c r="S394" i="1"/>
  <c r="R394" i="1"/>
  <c r="S391" i="1"/>
  <c r="R391" i="1"/>
  <c r="S389" i="1"/>
  <c r="R389" i="1"/>
  <c r="S388" i="1"/>
  <c r="R388" i="1"/>
  <c r="S387" i="1"/>
  <c r="R387" i="1"/>
  <c r="S386" i="1"/>
  <c r="R386" i="1"/>
  <c r="S383" i="1"/>
  <c r="R383" i="1"/>
  <c r="S377" i="1"/>
  <c r="R377" i="1"/>
  <c r="S376" i="1"/>
  <c r="R376" i="1"/>
  <c r="S375" i="1"/>
  <c r="R375" i="1"/>
  <c r="S374" i="1"/>
  <c r="R374" i="1"/>
  <c r="S372" i="1"/>
  <c r="R372" i="1"/>
  <c r="S367" i="1"/>
  <c r="R367" i="1"/>
  <c r="S365" i="1"/>
  <c r="R365" i="1"/>
  <c r="S364" i="1"/>
  <c r="R364" i="1"/>
  <c r="S363" i="1"/>
  <c r="R363" i="1"/>
  <c r="S362" i="1"/>
  <c r="R362" i="1"/>
  <c r="S361" i="1"/>
  <c r="R361" i="1"/>
  <c r="S360" i="1"/>
  <c r="R360" i="1"/>
  <c r="S359" i="1"/>
  <c r="R359" i="1"/>
  <c r="S357" i="1"/>
  <c r="R357" i="1"/>
  <c r="S356" i="1"/>
  <c r="R356" i="1"/>
  <c r="S355" i="1"/>
  <c r="R355" i="1"/>
  <c r="S354" i="1"/>
  <c r="R354" i="1"/>
  <c r="S353" i="1"/>
  <c r="R353" i="1"/>
  <c r="S352" i="1"/>
  <c r="R352" i="1"/>
  <c r="S351" i="1"/>
  <c r="R351" i="1"/>
  <c r="S350" i="1"/>
  <c r="R350" i="1"/>
  <c r="S348" i="1"/>
  <c r="R348" i="1"/>
  <c r="S346" i="1"/>
  <c r="R346" i="1"/>
  <c r="S345" i="1"/>
  <c r="R345" i="1"/>
  <c r="S340" i="1"/>
  <c r="R340" i="1"/>
  <c r="S337" i="1"/>
  <c r="R337" i="1"/>
  <c r="S336" i="1"/>
  <c r="R336" i="1"/>
  <c r="S334" i="1"/>
  <c r="R334" i="1"/>
  <c r="S332" i="1"/>
  <c r="R332" i="1"/>
  <c r="S329" i="1"/>
  <c r="R329" i="1"/>
  <c r="S327" i="1"/>
  <c r="R327" i="1"/>
  <c r="S322" i="1"/>
  <c r="R322" i="1"/>
  <c r="S320" i="1"/>
  <c r="R320" i="1"/>
  <c r="S318" i="1"/>
  <c r="R318" i="1"/>
  <c r="S317" i="1"/>
  <c r="R317" i="1"/>
  <c r="S312" i="1"/>
  <c r="R312" i="1"/>
  <c r="S310" i="1"/>
  <c r="R310" i="1"/>
  <c r="S306" i="1"/>
  <c r="R306" i="1"/>
  <c r="S304" i="1"/>
  <c r="R304" i="1"/>
  <c r="S300" i="1"/>
  <c r="R300" i="1"/>
  <c r="S297" i="1"/>
  <c r="R297" i="1"/>
  <c r="S273" i="1"/>
  <c r="R273" i="1"/>
  <c r="S270" i="1"/>
  <c r="R270" i="1"/>
  <c r="S268" i="1"/>
  <c r="R268" i="1"/>
  <c r="S262" i="1"/>
  <c r="R262" i="1"/>
  <c r="S261" i="1"/>
  <c r="R261" i="1"/>
  <c r="S260" i="1"/>
  <c r="R260" i="1"/>
  <c r="S256" i="1"/>
  <c r="R256" i="1"/>
  <c r="S251" i="1"/>
  <c r="R251" i="1"/>
  <c r="S244" i="1"/>
  <c r="R244" i="1"/>
  <c r="S242" i="1"/>
  <c r="R242" i="1"/>
  <c r="S227" i="1"/>
  <c r="R227" i="1"/>
  <c r="S222" i="1"/>
  <c r="R222" i="1"/>
  <c r="S219" i="1"/>
  <c r="R219" i="1"/>
  <c r="S212" i="1"/>
  <c r="R212" i="1"/>
  <c r="S209" i="1"/>
  <c r="R209" i="1"/>
  <c r="S202" i="1"/>
  <c r="R202" i="1"/>
  <c r="S200" i="1"/>
  <c r="R200" i="1"/>
  <c r="S198" i="1"/>
  <c r="R198" i="1"/>
  <c r="S197" i="1"/>
  <c r="R197" i="1"/>
  <c r="S190" i="1"/>
  <c r="R190" i="1"/>
  <c r="S177" i="1"/>
  <c r="R177" i="1"/>
  <c r="S172" i="1"/>
  <c r="R172" i="1"/>
  <c r="S168" i="1"/>
  <c r="R168" i="1"/>
  <c r="S165" i="1"/>
  <c r="R165" i="1"/>
  <c r="S159" i="1"/>
  <c r="R159" i="1"/>
  <c r="S156" i="1"/>
  <c r="R156" i="1"/>
  <c r="S151" i="1"/>
  <c r="R151" i="1"/>
  <c r="S143" i="1"/>
  <c r="R143" i="1"/>
  <c r="S136" i="1"/>
  <c r="R136" i="1"/>
  <c r="S132" i="1"/>
  <c r="R132" i="1"/>
  <c r="S129" i="1"/>
  <c r="R129" i="1"/>
  <c r="S126" i="1"/>
  <c r="R126" i="1"/>
  <c r="S121" i="1"/>
  <c r="R121" i="1"/>
  <c r="S117" i="1"/>
  <c r="R117" i="1"/>
  <c r="S109" i="1"/>
  <c r="R109" i="1"/>
  <c r="S106" i="1"/>
  <c r="R106" i="1"/>
  <c r="S92" i="1"/>
  <c r="R92" i="1"/>
  <c r="S89" i="1"/>
  <c r="R89" i="1"/>
  <c r="S86" i="1"/>
  <c r="R86" i="1"/>
  <c r="S76" i="1"/>
  <c r="R76" i="1"/>
  <c r="S68" i="1"/>
  <c r="R68" i="1"/>
  <c r="S63" i="1"/>
  <c r="R63" i="1"/>
  <c r="S61" i="1"/>
  <c r="R61" i="1"/>
  <c r="S59" i="1"/>
  <c r="R59" i="1"/>
  <c r="S53" i="1"/>
  <c r="R53" i="1"/>
  <c r="S51" i="1"/>
  <c r="R51" i="1"/>
  <c r="S48" i="1"/>
  <c r="R48" i="1"/>
  <c r="S72" i="1"/>
  <c r="S2" i="1"/>
  <c r="R2" i="1"/>
  <c r="R93" i="1"/>
  <c r="R91" i="1"/>
  <c r="R90" i="1"/>
  <c r="R88" i="1"/>
  <c r="R87" i="1"/>
  <c r="R85" i="1"/>
  <c r="R84" i="1"/>
  <c r="R83" i="1"/>
  <c r="R82" i="1"/>
  <c r="R81" i="1"/>
  <c r="R80" i="1"/>
  <c r="R79" i="1"/>
  <c r="R78" i="1"/>
  <c r="R77" i="1"/>
  <c r="R75" i="1"/>
  <c r="R74" i="1"/>
  <c r="R73" i="1"/>
  <c r="R72" i="1"/>
  <c r="AM8" i="1" l="1"/>
  <c r="AM16" i="1"/>
  <c r="AM24" i="1"/>
  <c r="AM32" i="1"/>
  <c r="AM40" i="1"/>
  <c r="AM48" i="1"/>
  <c r="AM56" i="1"/>
  <c r="AM64" i="1"/>
  <c r="AM72" i="1"/>
  <c r="AM80" i="1"/>
  <c r="AM88" i="1"/>
  <c r="AM96" i="1"/>
  <c r="AM104" i="1"/>
  <c r="AM112" i="1"/>
  <c r="AM120" i="1"/>
  <c r="AM128" i="1"/>
  <c r="AM136" i="1"/>
  <c r="AM144" i="1"/>
  <c r="AM152" i="1"/>
  <c r="AM160" i="1"/>
  <c r="AM168" i="1"/>
  <c r="AM176" i="1"/>
  <c r="AM184" i="1"/>
  <c r="AM192" i="1"/>
  <c r="AM200" i="1"/>
  <c r="AM208" i="1"/>
  <c r="AM216" i="1"/>
  <c r="AM224" i="1"/>
  <c r="AM232" i="1"/>
  <c r="AM240" i="1"/>
  <c r="AM248" i="1"/>
  <c r="AM256" i="1"/>
  <c r="AM264" i="1"/>
  <c r="AM272" i="1"/>
  <c r="AM280" i="1"/>
  <c r="AM288" i="1"/>
  <c r="AM296" i="1"/>
  <c r="AM304" i="1"/>
  <c r="AM312" i="1"/>
  <c r="AM320" i="1"/>
  <c r="AM328" i="1"/>
  <c r="AM336" i="1"/>
  <c r="AM344" i="1"/>
  <c r="AM352" i="1"/>
  <c r="AM360" i="1"/>
  <c r="AM368" i="1"/>
  <c r="AM376" i="1"/>
  <c r="AM384" i="1"/>
  <c r="AM392" i="1"/>
  <c r="AM400" i="1"/>
  <c r="AM408" i="1"/>
  <c r="AM416" i="1"/>
  <c r="AM424" i="1"/>
  <c r="AM432" i="1"/>
  <c r="AM440" i="1"/>
  <c r="AM448" i="1"/>
  <c r="AM456" i="1"/>
  <c r="AM464" i="1"/>
  <c r="AM472" i="1"/>
  <c r="AM480" i="1"/>
  <c r="AM488" i="1"/>
  <c r="AM496" i="1"/>
  <c r="AM504" i="1"/>
  <c r="AM512" i="1"/>
  <c r="AM520" i="1"/>
  <c r="AM528" i="1"/>
  <c r="AM536" i="1"/>
  <c r="AM544" i="1"/>
  <c r="AM552" i="1"/>
  <c r="AM560" i="1"/>
  <c r="AM568" i="1"/>
  <c r="AM576" i="1"/>
  <c r="AM584" i="1"/>
  <c r="AM592" i="1"/>
  <c r="AM600" i="1"/>
  <c r="AM608" i="1"/>
  <c r="AM9" i="1"/>
  <c r="AM17" i="1"/>
  <c r="AM25" i="1"/>
  <c r="AM33" i="1"/>
  <c r="AM41" i="1"/>
  <c r="AM49" i="1"/>
  <c r="AM57" i="1"/>
  <c r="AM65" i="1"/>
  <c r="AM73" i="1"/>
  <c r="AM81" i="1"/>
  <c r="AM89" i="1"/>
  <c r="AM97" i="1"/>
  <c r="AM105" i="1"/>
  <c r="AM113" i="1"/>
  <c r="AM121" i="1"/>
  <c r="AM129" i="1"/>
  <c r="AM137" i="1"/>
  <c r="AM145" i="1"/>
  <c r="AM153" i="1"/>
  <c r="AM161" i="1"/>
  <c r="AM169" i="1"/>
  <c r="AM177" i="1"/>
  <c r="AM185" i="1"/>
  <c r="AM193" i="1"/>
  <c r="AM201" i="1"/>
  <c r="AM209" i="1"/>
  <c r="AM217" i="1"/>
  <c r="AM225" i="1"/>
  <c r="AM233" i="1"/>
  <c r="AM241" i="1"/>
  <c r="AM249" i="1"/>
  <c r="AM257" i="1"/>
  <c r="AM265" i="1"/>
  <c r="AM273" i="1"/>
  <c r="AM281" i="1"/>
  <c r="AM289" i="1"/>
  <c r="AM297" i="1"/>
  <c r="AM305" i="1"/>
  <c r="AM313" i="1"/>
  <c r="AM321" i="1"/>
  <c r="AM329" i="1"/>
  <c r="AM337" i="1"/>
  <c r="AM345" i="1"/>
  <c r="AM353" i="1"/>
  <c r="AM361" i="1"/>
  <c r="AM369" i="1"/>
  <c r="AM377" i="1"/>
  <c r="AM385" i="1"/>
  <c r="AM393" i="1"/>
  <c r="AM401" i="1"/>
  <c r="AM409" i="1"/>
  <c r="AM417" i="1"/>
  <c r="AM425" i="1"/>
  <c r="AM433" i="1"/>
  <c r="AM441" i="1"/>
  <c r="AM449" i="1"/>
  <c r="AM457" i="1"/>
  <c r="AM465" i="1"/>
  <c r="AM473" i="1"/>
  <c r="AM481" i="1"/>
  <c r="AM489" i="1"/>
  <c r="AM497" i="1"/>
  <c r="AM505" i="1"/>
  <c r="AM513" i="1"/>
  <c r="AM521" i="1"/>
  <c r="AM529" i="1"/>
  <c r="AM537" i="1"/>
  <c r="AM545" i="1"/>
  <c r="AM553" i="1"/>
  <c r="AM561" i="1"/>
  <c r="AM569" i="1"/>
  <c r="AM577" i="1"/>
  <c r="AM585" i="1"/>
  <c r="AM593" i="1"/>
  <c r="AM601" i="1"/>
  <c r="AM609" i="1"/>
  <c r="AM617" i="1"/>
  <c r="AM625" i="1"/>
  <c r="AM633" i="1"/>
  <c r="AM641" i="1"/>
  <c r="AM649" i="1"/>
  <c r="AM657" i="1"/>
  <c r="AM665" i="1"/>
  <c r="AM673" i="1"/>
  <c r="AM681" i="1"/>
  <c r="AM2" i="1"/>
  <c r="AM10" i="1"/>
  <c r="AM18" i="1"/>
  <c r="AM26" i="1"/>
  <c r="AM34" i="1"/>
  <c r="AM42" i="1"/>
  <c r="AM50" i="1"/>
  <c r="AM58" i="1"/>
  <c r="AM66" i="1"/>
  <c r="AM74" i="1"/>
  <c r="AM82" i="1"/>
  <c r="AM90" i="1"/>
  <c r="AM98" i="1"/>
  <c r="AM106" i="1"/>
  <c r="AM114" i="1"/>
  <c r="AM122" i="1"/>
  <c r="AM130" i="1"/>
  <c r="AM138" i="1"/>
  <c r="AM146" i="1"/>
  <c r="AM154" i="1"/>
  <c r="AM162" i="1"/>
  <c r="AM170" i="1"/>
  <c r="AM178" i="1"/>
  <c r="AM186" i="1"/>
  <c r="AM194" i="1"/>
  <c r="AM202" i="1"/>
  <c r="AM210" i="1"/>
  <c r="AM218" i="1"/>
  <c r="AM226" i="1"/>
  <c r="AM234" i="1"/>
  <c r="AM242" i="1"/>
  <c r="AM250" i="1"/>
  <c r="AM258" i="1"/>
  <c r="AM266" i="1"/>
  <c r="AM274" i="1"/>
  <c r="AM282" i="1"/>
  <c r="AM290" i="1"/>
  <c r="AM298" i="1"/>
  <c r="AM306" i="1"/>
  <c r="AM314" i="1"/>
  <c r="AM322" i="1"/>
  <c r="AM330" i="1"/>
  <c r="AM338" i="1"/>
  <c r="AM346" i="1"/>
  <c r="AM354" i="1"/>
  <c r="AM362" i="1"/>
  <c r="AM370" i="1"/>
  <c r="AM378" i="1"/>
  <c r="AM386" i="1"/>
  <c r="AM394" i="1"/>
  <c r="AM402" i="1"/>
  <c r="AM410" i="1"/>
  <c r="AM418" i="1"/>
  <c r="AM426" i="1"/>
  <c r="AM434" i="1"/>
  <c r="AM442" i="1"/>
  <c r="AM450" i="1"/>
  <c r="AM458" i="1"/>
  <c r="AM466" i="1"/>
  <c r="AM474" i="1"/>
  <c r="AM482" i="1"/>
  <c r="AM490" i="1"/>
  <c r="AM498" i="1"/>
  <c r="AM506" i="1"/>
  <c r="AM514" i="1"/>
  <c r="AM522" i="1"/>
  <c r="AM530" i="1"/>
  <c r="AM538" i="1"/>
  <c r="AM546" i="1"/>
  <c r="AM554" i="1"/>
  <c r="AM562" i="1"/>
  <c r="AM570" i="1"/>
  <c r="AM578" i="1"/>
  <c r="AM586" i="1"/>
  <c r="AM594" i="1"/>
  <c r="AM602" i="1"/>
  <c r="AM610" i="1"/>
  <c r="AM618" i="1"/>
  <c r="AM626" i="1"/>
  <c r="AM634" i="1"/>
  <c r="AM642" i="1"/>
  <c r="AM650" i="1"/>
  <c r="AM658" i="1"/>
  <c r="AM666" i="1"/>
  <c r="AM3" i="1"/>
  <c r="AM11" i="1"/>
  <c r="AM19" i="1"/>
  <c r="AM27" i="1"/>
  <c r="AM35" i="1"/>
  <c r="AM43" i="1"/>
  <c r="AM51" i="1"/>
  <c r="AM59" i="1"/>
  <c r="AM67" i="1"/>
  <c r="AM75" i="1"/>
  <c r="AM83" i="1"/>
  <c r="AM91" i="1"/>
  <c r="AM99" i="1"/>
  <c r="AM107" i="1"/>
  <c r="AM115" i="1"/>
  <c r="AM123" i="1"/>
  <c r="AM131" i="1"/>
  <c r="AM139" i="1"/>
  <c r="AM147" i="1"/>
  <c r="AM155" i="1"/>
  <c r="AM163" i="1"/>
  <c r="AM171" i="1"/>
  <c r="AM179" i="1"/>
  <c r="AM187" i="1"/>
  <c r="AM195" i="1"/>
  <c r="AM203" i="1"/>
  <c r="AM211" i="1"/>
  <c r="AM219" i="1"/>
  <c r="AM227" i="1"/>
  <c r="AM235" i="1"/>
  <c r="AM243" i="1"/>
  <c r="AM251" i="1"/>
  <c r="AM259" i="1"/>
  <c r="AM267" i="1"/>
  <c r="AM275" i="1"/>
  <c r="AM283" i="1"/>
  <c r="AM291" i="1"/>
  <c r="AM299" i="1"/>
  <c r="AM307" i="1"/>
  <c r="AM315" i="1"/>
  <c r="AM323" i="1"/>
  <c r="AM331" i="1"/>
  <c r="AM339" i="1"/>
  <c r="AM347" i="1"/>
  <c r="AM355" i="1"/>
  <c r="AM363" i="1"/>
  <c r="AM371" i="1"/>
  <c r="AM379" i="1"/>
  <c r="AM387" i="1"/>
  <c r="AM395" i="1"/>
  <c r="AM403" i="1"/>
  <c r="AM411" i="1"/>
  <c r="AM419" i="1"/>
  <c r="AM427" i="1"/>
  <c r="AM435" i="1"/>
  <c r="AM443" i="1"/>
  <c r="AM451" i="1"/>
  <c r="AM459" i="1"/>
  <c r="AM467" i="1"/>
  <c r="AM475" i="1"/>
  <c r="AM483" i="1"/>
  <c r="AM491" i="1"/>
  <c r="AM499" i="1"/>
  <c r="AM507" i="1"/>
  <c r="AM515" i="1"/>
  <c r="AM523" i="1"/>
  <c r="AM531" i="1"/>
  <c r="AM539" i="1"/>
  <c r="AM547" i="1"/>
  <c r="AM555" i="1"/>
  <c r="AM563" i="1"/>
  <c r="AM571" i="1"/>
  <c r="AM579" i="1"/>
  <c r="AM587" i="1"/>
  <c r="AM595" i="1"/>
  <c r="AM603" i="1"/>
  <c r="AM611" i="1"/>
  <c r="AM4" i="1"/>
  <c r="AM12" i="1"/>
  <c r="AM20" i="1"/>
  <c r="AM28" i="1"/>
  <c r="AM36" i="1"/>
  <c r="AM44" i="1"/>
  <c r="AM52" i="1"/>
  <c r="AM60" i="1"/>
  <c r="AM68" i="1"/>
  <c r="AM76" i="1"/>
  <c r="AM84" i="1"/>
  <c r="AM92" i="1"/>
  <c r="AM100" i="1"/>
  <c r="AM108" i="1"/>
  <c r="AM116" i="1"/>
  <c r="AM124" i="1"/>
  <c r="AM132" i="1"/>
  <c r="AM140" i="1"/>
  <c r="AM148" i="1"/>
  <c r="AM156" i="1"/>
  <c r="AM164" i="1"/>
  <c r="AM172" i="1"/>
  <c r="AM180" i="1"/>
  <c r="AM188" i="1"/>
  <c r="AM196" i="1"/>
  <c r="AM204" i="1"/>
  <c r="AM212" i="1"/>
  <c r="AM220" i="1"/>
  <c r="AM228" i="1"/>
  <c r="AM236" i="1"/>
  <c r="AM244" i="1"/>
  <c r="AM252" i="1"/>
  <c r="AM260" i="1"/>
  <c r="AM268" i="1"/>
  <c r="AM276" i="1"/>
  <c r="AM284" i="1"/>
  <c r="AM292" i="1"/>
  <c r="AM300" i="1"/>
  <c r="AM308" i="1"/>
  <c r="AM316" i="1"/>
  <c r="AM324" i="1"/>
  <c r="AM332" i="1"/>
  <c r="AM340" i="1"/>
  <c r="AM348" i="1"/>
  <c r="AM356" i="1"/>
  <c r="AM364" i="1"/>
  <c r="AM372" i="1"/>
  <c r="AM380" i="1"/>
  <c r="AM388" i="1"/>
  <c r="AM396" i="1"/>
  <c r="AM404" i="1"/>
  <c r="AM412" i="1"/>
  <c r="AM420" i="1"/>
  <c r="AM428" i="1"/>
  <c r="AM436" i="1"/>
  <c r="AM444" i="1"/>
  <c r="AM452" i="1"/>
  <c r="AM460" i="1"/>
  <c r="AM468" i="1"/>
  <c r="AM476" i="1"/>
  <c r="AM484" i="1"/>
  <c r="AM492" i="1"/>
  <c r="AM500" i="1"/>
  <c r="AM508" i="1"/>
  <c r="AM516" i="1"/>
  <c r="AM524" i="1"/>
  <c r="AM532" i="1"/>
  <c r="AM540" i="1"/>
  <c r="AM548" i="1"/>
  <c r="AM556" i="1"/>
  <c r="AM564" i="1"/>
  <c r="AM572" i="1"/>
  <c r="AM580" i="1"/>
  <c r="AM588" i="1"/>
  <c r="AM596" i="1"/>
  <c r="AM604" i="1"/>
  <c r="AM612" i="1"/>
  <c r="AM620" i="1"/>
  <c r="AM628" i="1"/>
  <c r="AM636" i="1"/>
  <c r="AM644" i="1"/>
  <c r="AM652" i="1"/>
  <c r="AM660" i="1"/>
  <c r="AM6" i="1"/>
  <c r="AM14" i="1"/>
  <c r="AM23" i="1"/>
  <c r="AM46" i="1"/>
  <c r="AM69" i="1"/>
  <c r="AM87" i="1"/>
  <c r="AM110" i="1"/>
  <c r="AM133" i="1"/>
  <c r="AM151" i="1"/>
  <c r="AM174" i="1"/>
  <c r="AM197" i="1"/>
  <c r="AM215" i="1"/>
  <c r="AM238" i="1"/>
  <c r="AM261" i="1"/>
  <c r="AM279" i="1"/>
  <c r="AM302" i="1"/>
  <c r="AM325" i="1"/>
  <c r="AM343" i="1"/>
  <c r="AM366" i="1"/>
  <c r="AM389" i="1"/>
  <c r="AM407" i="1"/>
  <c r="AM430" i="1"/>
  <c r="AM453" i="1"/>
  <c r="AM471" i="1"/>
  <c r="AM494" i="1"/>
  <c r="AM517" i="1"/>
  <c r="AM535" i="1"/>
  <c r="AM558" i="1"/>
  <c r="AM581" i="1"/>
  <c r="AM599" i="1"/>
  <c r="AM619" i="1"/>
  <c r="AM631" i="1"/>
  <c r="AM645" i="1"/>
  <c r="AM656" i="1"/>
  <c r="AM669" i="1"/>
  <c r="AM678" i="1"/>
  <c r="AM687" i="1"/>
  <c r="AM695" i="1"/>
  <c r="AM703" i="1"/>
  <c r="AM711" i="1"/>
  <c r="AM719" i="1"/>
  <c r="AM727" i="1"/>
  <c r="AM735" i="1"/>
  <c r="AM743" i="1"/>
  <c r="AM751" i="1"/>
  <c r="AM759" i="1"/>
  <c r="AM767" i="1"/>
  <c r="AM775" i="1"/>
  <c r="AM783" i="1"/>
  <c r="AM791" i="1"/>
  <c r="AM799" i="1"/>
  <c r="AM807" i="1"/>
  <c r="AM815" i="1"/>
  <c r="AM823" i="1"/>
  <c r="AM831" i="1"/>
  <c r="AM839" i="1"/>
  <c r="AM847" i="1"/>
  <c r="AM855" i="1"/>
  <c r="AM863" i="1"/>
  <c r="AM871" i="1"/>
  <c r="AM879" i="1"/>
  <c r="AM887" i="1"/>
  <c r="AM895" i="1"/>
  <c r="AM903" i="1"/>
  <c r="AM911" i="1"/>
  <c r="AM919" i="1"/>
  <c r="AM927" i="1"/>
  <c r="AM935" i="1"/>
  <c r="AM943" i="1"/>
  <c r="AM951" i="1"/>
  <c r="AM959" i="1"/>
  <c r="AM967" i="1"/>
  <c r="AM975" i="1"/>
  <c r="AM983" i="1"/>
  <c r="AM29" i="1"/>
  <c r="AM47" i="1"/>
  <c r="AM70" i="1"/>
  <c r="AM93" i="1"/>
  <c r="AM111" i="1"/>
  <c r="AM134" i="1"/>
  <c r="AM157" i="1"/>
  <c r="AM175" i="1"/>
  <c r="AM198" i="1"/>
  <c r="AM221" i="1"/>
  <c r="AM239" i="1"/>
  <c r="AM262" i="1"/>
  <c r="AM285" i="1"/>
  <c r="AM303" i="1"/>
  <c r="AM326" i="1"/>
  <c r="AM349" i="1"/>
  <c r="AM367" i="1"/>
  <c r="AM390" i="1"/>
  <c r="AM413" i="1"/>
  <c r="AM431" i="1"/>
  <c r="AM454" i="1"/>
  <c r="AM477" i="1"/>
  <c r="AM495" i="1"/>
  <c r="AM518" i="1"/>
  <c r="AM541" i="1"/>
  <c r="AM559" i="1"/>
  <c r="AM582" i="1"/>
  <c r="AM605" i="1"/>
  <c r="AM621" i="1"/>
  <c r="AM632" i="1"/>
  <c r="AM646" i="1"/>
  <c r="AM659" i="1"/>
  <c r="AM670" i="1"/>
  <c r="AM679" i="1"/>
  <c r="AM688" i="1"/>
  <c r="AM696" i="1"/>
  <c r="AM704" i="1"/>
  <c r="AM712" i="1"/>
  <c r="AM720" i="1"/>
  <c r="AM728" i="1"/>
  <c r="AM736" i="1"/>
  <c r="AM744" i="1"/>
  <c r="AM752" i="1"/>
  <c r="AM760" i="1"/>
  <c r="AM768" i="1"/>
  <c r="AM776" i="1"/>
  <c r="AM784" i="1"/>
  <c r="AM792" i="1"/>
  <c r="AM800" i="1"/>
  <c r="AM808" i="1"/>
  <c r="AM816" i="1"/>
  <c r="AM824" i="1"/>
  <c r="AM832" i="1"/>
  <c r="AM840" i="1"/>
  <c r="AM848" i="1"/>
  <c r="AM856" i="1"/>
  <c r="AM864" i="1"/>
  <c r="AM872" i="1"/>
  <c r="AM880" i="1"/>
  <c r="AM888" i="1"/>
  <c r="AM896" i="1"/>
  <c r="AM904" i="1"/>
  <c r="AM912" i="1"/>
  <c r="AM920" i="1"/>
  <c r="AM928" i="1"/>
  <c r="AM936" i="1"/>
  <c r="AM944" i="1"/>
  <c r="AM952" i="1"/>
  <c r="AM960" i="1"/>
  <c r="AM968" i="1"/>
  <c r="AM976" i="1"/>
  <c r="AM984" i="1"/>
  <c r="AM992" i="1"/>
  <c r="AM1000" i="1"/>
  <c r="AI5" i="1"/>
  <c r="AI13" i="1"/>
  <c r="AI21" i="1"/>
  <c r="AI29" i="1"/>
  <c r="AI37" i="1"/>
  <c r="AI45" i="1"/>
  <c r="AI53" i="1"/>
  <c r="AI61" i="1"/>
  <c r="AI69" i="1"/>
  <c r="AI77" i="1"/>
  <c r="AM5" i="1"/>
  <c r="AM30" i="1"/>
  <c r="AM53" i="1"/>
  <c r="AM71" i="1"/>
  <c r="AM94" i="1"/>
  <c r="AM117" i="1"/>
  <c r="AM135" i="1"/>
  <c r="AM158" i="1"/>
  <c r="AM181" i="1"/>
  <c r="AM199" i="1"/>
  <c r="AM222" i="1"/>
  <c r="AM245" i="1"/>
  <c r="AM263" i="1"/>
  <c r="AM286" i="1"/>
  <c r="AM309" i="1"/>
  <c r="AM327" i="1"/>
  <c r="AM350" i="1"/>
  <c r="AM373" i="1"/>
  <c r="AM391" i="1"/>
  <c r="AM414" i="1"/>
  <c r="AM437" i="1"/>
  <c r="AM455" i="1"/>
  <c r="AM478" i="1"/>
  <c r="AM501" i="1"/>
  <c r="AM519" i="1"/>
  <c r="AM542" i="1"/>
  <c r="AM565" i="1"/>
  <c r="AM583" i="1"/>
  <c r="AM606" i="1"/>
  <c r="AM622" i="1"/>
  <c r="AM635" i="1"/>
  <c r="AM647" i="1"/>
  <c r="AM661" i="1"/>
  <c r="AM671" i="1"/>
  <c r="AM680" i="1"/>
  <c r="AM689" i="1"/>
  <c r="AM697" i="1"/>
  <c r="AM705" i="1"/>
  <c r="AM713" i="1"/>
  <c r="AM721" i="1"/>
  <c r="AM729" i="1"/>
  <c r="AM737" i="1"/>
  <c r="AM745" i="1"/>
  <c r="AM753" i="1"/>
  <c r="AM761" i="1"/>
  <c r="AM769" i="1"/>
  <c r="AM777" i="1"/>
  <c r="AM785" i="1"/>
  <c r="AM793" i="1"/>
  <c r="AM801" i="1"/>
  <c r="AM809" i="1"/>
  <c r="AM817" i="1"/>
  <c r="AM825" i="1"/>
  <c r="AM833" i="1"/>
  <c r="AM841" i="1"/>
  <c r="AM849" i="1"/>
  <c r="AM857" i="1"/>
  <c r="AM865" i="1"/>
  <c r="AM873" i="1"/>
  <c r="AM881" i="1"/>
  <c r="AM889" i="1"/>
  <c r="AM897" i="1"/>
  <c r="AM905" i="1"/>
  <c r="AM913" i="1"/>
  <c r="AM921" i="1"/>
  <c r="AM929" i="1"/>
  <c r="AM937" i="1"/>
  <c r="AM945" i="1"/>
  <c r="AM953" i="1"/>
  <c r="AM961" i="1"/>
  <c r="AM969" i="1"/>
  <c r="AM977" i="1"/>
  <c r="AM985" i="1"/>
  <c r="AM993" i="1"/>
  <c r="AM1001" i="1"/>
  <c r="AI6" i="1"/>
  <c r="AI14" i="1"/>
  <c r="AI22" i="1"/>
  <c r="AI30" i="1"/>
  <c r="AI38" i="1"/>
  <c r="AI46" i="1"/>
  <c r="AI54" i="1"/>
  <c r="AI62" i="1"/>
  <c r="AI70" i="1"/>
  <c r="AI78" i="1"/>
  <c r="AM7" i="1"/>
  <c r="AM31" i="1"/>
  <c r="AM54" i="1"/>
  <c r="AM77" i="1"/>
  <c r="AM95" i="1"/>
  <c r="AM118" i="1"/>
  <c r="AM141" i="1"/>
  <c r="AM159" i="1"/>
  <c r="AM182" i="1"/>
  <c r="AM205" i="1"/>
  <c r="AM223" i="1"/>
  <c r="AM246" i="1"/>
  <c r="AM269" i="1"/>
  <c r="AM287" i="1"/>
  <c r="AM310" i="1"/>
  <c r="AM333" i="1"/>
  <c r="AM351" i="1"/>
  <c r="AM374" i="1"/>
  <c r="AM397" i="1"/>
  <c r="AM415" i="1"/>
  <c r="AM438" i="1"/>
  <c r="AM461" i="1"/>
  <c r="AM479" i="1"/>
  <c r="AM502" i="1"/>
  <c r="AM525" i="1"/>
  <c r="AM543" i="1"/>
  <c r="AM566" i="1"/>
  <c r="AM589" i="1"/>
  <c r="AM607" i="1"/>
  <c r="AM623" i="1"/>
  <c r="AM637" i="1"/>
  <c r="AM648" i="1"/>
  <c r="AM662" i="1"/>
  <c r="AM672" i="1"/>
  <c r="AM682" i="1"/>
  <c r="AM690" i="1"/>
  <c r="AM698" i="1"/>
  <c r="AM706" i="1"/>
  <c r="AM714" i="1"/>
  <c r="AM722" i="1"/>
  <c r="AM730" i="1"/>
  <c r="AM738" i="1"/>
  <c r="AM746" i="1"/>
  <c r="AM754" i="1"/>
  <c r="AM762" i="1"/>
  <c r="AM770" i="1"/>
  <c r="AM778" i="1"/>
  <c r="AM786" i="1"/>
  <c r="AM794" i="1"/>
  <c r="AM802" i="1"/>
  <c r="AM810" i="1"/>
  <c r="AM818" i="1"/>
  <c r="AM826" i="1"/>
  <c r="AM834" i="1"/>
  <c r="AM842" i="1"/>
  <c r="AM850" i="1"/>
  <c r="AM858" i="1"/>
  <c r="AM866" i="1"/>
  <c r="AM874" i="1"/>
  <c r="AM882" i="1"/>
  <c r="AM890" i="1"/>
  <c r="AM898" i="1"/>
  <c r="AM906" i="1"/>
  <c r="AM914" i="1"/>
  <c r="AM922" i="1"/>
  <c r="AM930" i="1"/>
  <c r="AM938" i="1"/>
  <c r="AM946" i="1"/>
  <c r="AM954" i="1"/>
  <c r="AM962" i="1"/>
  <c r="AM970" i="1"/>
  <c r="AM978" i="1"/>
  <c r="AM986" i="1"/>
  <c r="AM994" i="1"/>
  <c r="AM1002" i="1"/>
  <c r="AI7" i="1"/>
  <c r="AI15" i="1"/>
  <c r="AI23" i="1"/>
  <c r="AM13" i="1"/>
  <c r="AM37" i="1"/>
  <c r="AM55" i="1"/>
  <c r="AM78" i="1"/>
  <c r="AM101" i="1"/>
  <c r="AM119" i="1"/>
  <c r="AM142" i="1"/>
  <c r="AM165" i="1"/>
  <c r="AM183" i="1"/>
  <c r="AM206" i="1"/>
  <c r="AM229" i="1"/>
  <c r="AM247" i="1"/>
  <c r="AM270" i="1"/>
  <c r="AM293" i="1"/>
  <c r="AM311" i="1"/>
  <c r="AM334" i="1"/>
  <c r="AM357" i="1"/>
  <c r="AM375" i="1"/>
  <c r="AM398" i="1"/>
  <c r="AM421" i="1"/>
  <c r="AM439" i="1"/>
  <c r="AM462" i="1"/>
  <c r="AM485" i="1"/>
  <c r="AM503" i="1"/>
  <c r="AM526" i="1"/>
  <c r="AM549" i="1"/>
  <c r="AM567" i="1"/>
  <c r="AM590" i="1"/>
  <c r="AM613" i="1"/>
  <c r="AM624" i="1"/>
  <c r="AM638" i="1"/>
  <c r="AM651" i="1"/>
  <c r="AM663" i="1"/>
  <c r="AM674" i="1"/>
  <c r="AM683" i="1"/>
  <c r="AM691" i="1"/>
  <c r="AM699" i="1"/>
  <c r="AM707" i="1"/>
  <c r="AM715" i="1"/>
  <c r="AM723" i="1"/>
  <c r="AM731" i="1"/>
  <c r="AM739" i="1"/>
  <c r="AM747" i="1"/>
  <c r="AM755" i="1"/>
  <c r="AM763" i="1"/>
  <c r="AM771" i="1"/>
  <c r="AM779" i="1"/>
  <c r="AM787" i="1"/>
  <c r="AM795" i="1"/>
  <c r="AM803" i="1"/>
  <c r="AM811" i="1"/>
  <c r="AM819" i="1"/>
  <c r="AM827" i="1"/>
  <c r="AM835" i="1"/>
  <c r="AM843" i="1"/>
  <c r="AM851" i="1"/>
  <c r="AM859" i="1"/>
  <c r="AM867" i="1"/>
  <c r="AM875" i="1"/>
  <c r="AM883" i="1"/>
  <c r="AM891" i="1"/>
  <c r="AM899" i="1"/>
  <c r="AM907" i="1"/>
  <c r="AM915" i="1"/>
  <c r="AM923" i="1"/>
  <c r="AM931" i="1"/>
  <c r="AM939" i="1"/>
  <c r="AM947" i="1"/>
  <c r="AM955" i="1"/>
  <c r="AM963" i="1"/>
  <c r="AM971" i="1"/>
  <c r="AM979" i="1"/>
  <c r="AM987" i="1"/>
  <c r="AM995" i="1"/>
  <c r="AM1003" i="1"/>
  <c r="AI8" i="1"/>
  <c r="AI16" i="1"/>
  <c r="AI24" i="1"/>
  <c r="AI32" i="1"/>
  <c r="AI40" i="1"/>
  <c r="AI48" i="1"/>
  <c r="AI56" i="1"/>
  <c r="AI64" i="1"/>
  <c r="AI72" i="1"/>
  <c r="AM15" i="1"/>
  <c r="AM38" i="1"/>
  <c r="AM61" i="1"/>
  <c r="AM79" i="1"/>
  <c r="AM102" i="1"/>
  <c r="AM125" i="1"/>
  <c r="AM143" i="1"/>
  <c r="AM166" i="1"/>
  <c r="AM189" i="1"/>
  <c r="AM207" i="1"/>
  <c r="AM230" i="1"/>
  <c r="AM253" i="1"/>
  <c r="AM271" i="1"/>
  <c r="AM294" i="1"/>
  <c r="AM317" i="1"/>
  <c r="AM335" i="1"/>
  <c r="AM358" i="1"/>
  <c r="AM381" i="1"/>
  <c r="AM399" i="1"/>
  <c r="AM422" i="1"/>
  <c r="AM445" i="1"/>
  <c r="AM463" i="1"/>
  <c r="AM486" i="1"/>
  <c r="AM509" i="1"/>
  <c r="AM527" i="1"/>
  <c r="AM550" i="1"/>
  <c r="AM573" i="1"/>
  <c r="AM591" i="1"/>
  <c r="AM614" i="1"/>
  <c r="AM627" i="1"/>
  <c r="AM639" i="1"/>
  <c r="AM653" i="1"/>
  <c r="AM664" i="1"/>
  <c r="AM675" i="1"/>
  <c r="AM684" i="1"/>
  <c r="AM692" i="1"/>
  <c r="AM700" i="1"/>
  <c r="AM708" i="1"/>
  <c r="AM716" i="1"/>
  <c r="AM724" i="1"/>
  <c r="AM732" i="1"/>
  <c r="AM740" i="1"/>
  <c r="AM748" i="1"/>
  <c r="AM756" i="1"/>
  <c r="AM764" i="1"/>
  <c r="AM772" i="1"/>
  <c r="AM780" i="1"/>
  <c r="AM788" i="1"/>
  <c r="AM796" i="1"/>
  <c r="AM804" i="1"/>
  <c r="AM812" i="1"/>
  <c r="AM820" i="1"/>
  <c r="AM828" i="1"/>
  <c r="AM836" i="1"/>
  <c r="AM844" i="1"/>
  <c r="AM852" i="1"/>
  <c r="AM860" i="1"/>
  <c r="AM868" i="1"/>
  <c r="AM876" i="1"/>
  <c r="AM884" i="1"/>
  <c r="AM892" i="1"/>
  <c r="AM900" i="1"/>
  <c r="AM908" i="1"/>
  <c r="AM916" i="1"/>
  <c r="AM924" i="1"/>
  <c r="AM932" i="1"/>
  <c r="AM940" i="1"/>
  <c r="AM948" i="1"/>
  <c r="AM956" i="1"/>
  <c r="AM964" i="1"/>
  <c r="AM972" i="1"/>
  <c r="AM980" i="1"/>
  <c r="AM988" i="1"/>
  <c r="AM996" i="1"/>
  <c r="AL257" i="1"/>
  <c r="AI9" i="1"/>
  <c r="AI17" i="1"/>
  <c r="AM21" i="1"/>
  <c r="AM39" i="1"/>
  <c r="AM62" i="1"/>
  <c r="AM85" i="1"/>
  <c r="AM103" i="1"/>
  <c r="AM126" i="1"/>
  <c r="AM149" i="1"/>
  <c r="AM167" i="1"/>
  <c r="AM190" i="1"/>
  <c r="AM213" i="1"/>
  <c r="AM231" i="1"/>
  <c r="AM254" i="1"/>
  <c r="AM277" i="1"/>
  <c r="AM295" i="1"/>
  <c r="AM318" i="1"/>
  <c r="AM341" i="1"/>
  <c r="AM359" i="1"/>
  <c r="AM382" i="1"/>
  <c r="AM405" i="1"/>
  <c r="AM423" i="1"/>
  <c r="AM446" i="1"/>
  <c r="AM469" i="1"/>
  <c r="AM487" i="1"/>
  <c r="AM510" i="1"/>
  <c r="AM533" i="1"/>
  <c r="AM551" i="1"/>
  <c r="AM574" i="1"/>
  <c r="AM597" i="1"/>
  <c r="AM615" i="1"/>
  <c r="AM629" i="1"/>
  <c r="AM640" i="1"/>
  <c r="AM654" i="1"/>
  <c r="AM667" i="1"/>
  <c r="AM676" i="1"/>
  <c r="AM685" i="1"/>
  <c r="AM693" i="1"/>
  <c r="AM701" i="1"/>
  <c r="AM709" i="1"/>
  <c r="AM717" i="1"/>
  <c r="AM725" i="1"/>
  <c r="AM733" i="1"/>
  <c r="AM741" i="1"/>
  <c r="AM749" i="1"/>
  <c r="AM757" i="1"/>
  <c r="AM150" i="1"/>
  <c r="AM319" i="1"/>
  <c r="AM493" i="1"/>
  <c r="AM643" i="1"/>
  <c r="AM718" i="1"/>
  <c r="AM773" i="1"/>
  <c r="AM805" i="1"/>
  <c r="AM837" i="1"/>
  <c r="AM869" i="1"/>
  <c r="AM901" i="1"/>
  <c r="AM933" i="1"/>
  <c r="AM965" i="1"/>
  <c r="AM991" i="1"/>
  <c r="AI11" i="1"/>
  <c r="AI28" i="1"/>
  <c r="AI42" i="1"/>
  <c r="AI55" i="1"/>
  <c r="AI67" i="1"/>
  <c r="AI80" i="1"/>
  <c r="AI88" i="1"/>
  <c r="AI96" i="1"/>
  <c r="AI104" i="1"/>
  <c r="AI112" i="1"/>
  <c r="AI120" i="1"/>
  <c r="AI128" i="1"/>
  <c r="AI136" i="1"/>
  <c r="AI144" i="1"/>
  <c r="AI152" i="1"/>
  <c r="AI160" i="1"/>
  <c r="AI168" i="1"/>
  <c r="AI176" i="1"/>
  <c r="AI184" i="1"/>
  <c r="AI192" i="1"/>
  <c r="AI200" i="1"/>
  <c r="AI208" i="1"/>
  <c r="AI216" i="1"/>
  <c r="AI224" i="1"/>
  <c r="AI232" i="1"/>
  <c r="AI240" i="1"/>
  <c r="AI248" i="1"/>
  <c r="AI256" i="1"/>
  <c r="AI264" i="1"/>
  <c r="AI272" i="1"/>
  <c r="AI280" i="1"/>
  <c r="AI288" i="1"/>
  <c r="AI296" i="1"/>
  <c r="AI304" i="1"/>
  <c r="AI312" i="1"/>
  <c r="AI320" i="1"/>
  <c r="AI328" i="1"/>
  <c r="AI336" i="1"/>
  <c r="AI344" i="1"/>
  <c r="AI352" i="1"/>
  <c r="AI360" i="1"/>
  <c r="AI368" i="1"/>
  <c r="AI376" i="1"/>
  <c r="AI384" i="1"/>
  <c r="AI392" i="1"/>
  <c r="AI400" i="1"/>
  <c r="AI408" i="1"/>
  <c r="AI416" i="1"/>
  <c r="AI424" i="1"/>
  <c r="AI432" i="1"/>
  <c r="AI440" i="1"/>
  <c r="AI448" i="1"/>
  <c r="AI456" i="1"/>
  <c r="AI464" i="1"/>
  <c r="AI472" i="1"/>
  <c r="AI480" i="1"/>
  <c r="AI488" i="1"/>
  <c r="AI496" i="1"/>
  <c r="AI504" i="1"/>
  <c r="AI512" i="1"/>
  <c r="AI520" i="1"/>
  <c r="AI528" i="1"/>
  <c r="AI536" i="1"/>
  <c r="AI544" i="1"/>
  <c r="AI552" i="1"/>
  <c r="AI560" i="1"/>
  <c r="AI568" i="1"/>
  <c r="AI576" i="1"/>
  <c r="AI584" i="1"/>
  <c r="AI592" i="1"/>
  <c r="AI600" i="1"/>
  <c r="AI608" i="1"/>
  <c r="AM173" i="1"/>
  <c r="AM342" i="1"/>
  <c r="AM511" i="1"/>
  <c r="AM655" i="1"/>
  <c r="AM726" i="1"/>
  <c r="AM774" i="1"/>
  <c r="AM806" i="1"/>
  <c r="AM838" i="1"/>
  <c r="AM870" i="1"/>
  <c r="AM902" i="1"/>
  <c r="AM934" i="1"/>
  <c r="AM966" i="1"/>
  <c r="AM997" i="1"/>
  <c r="AI12" i="1"/>
  <c r="AI31" i="1"/>
  <c r="AI43" i="1"/>
  <c r="AI57" i="1"/>
  <c r="AI68" i="1"/>
  <c r="AI81" i="1"/>
  <c r="AI89" i="1"/>
  <c r="AI97" i="1"/>
  <c r="AI105" i="1"/>
  <c r="AI113" i="1"/>
  <c r="AI121" i="1"/>
  <c r="AI129" i="1"/>
  <c r="AI137" i="1"/>
  <c r="AI145" i="1"/>
  <c r="AI153" i="1"/>
  <c r="AI161" i="1"/>
  <c r="AI169" i="1"/>
  <c r="AI177" i="1"/>
  <c r="AI185" i="1"/>
  <c r="AI193" i="1"/>
  <c r="AI201" i="1"/>
  <c r="AI209" i="1"/>
  <c r="AI217" i="1"/>
  <c r="AI225" i="1"/>
  <c r="AI233" i="1"/>
  <c r="AI241" i="1"/>
  <c r="AI249" i="1"/>
  <c r="AI257" i="1"/>
  <c r="AI265" i="1"/>
  <c r="AI273" i="1"/>
  <c r="AI281" i="1"/>
  <c r="AI289" i="1"/>
  <c r="AI297" i="1"/>
  <c r="AI305" i="1"/>
  <c r="AI313" i="1"/>
  <c r="AI321" i="1"/>
  <c r="AI329" i="1"/>
  <c r="AI337" i="1"/>
  <c r="AI345" i="1"/>
  <c r="AI353" i="1"/>
  <c r="AI361" i="1"/>
  <c r="AI369" i="1"/>
  <c r="AI377" i="1"/>
  <c r="AI385" i="1"/>
  <c r="AI393" i="1"/>
  <c r="AI401" i="1"/>
  <c r="AI409" i="1"/>
  <c r="AI417" i="1"/>
  <c r="AI425" i="1"/>
  <c r="AI433" i="1"/>
  <c r="AI441" i="1"/>
  <c r="AI449" i="1"/>
  <c r="AI457" i="1"/>
  <c r="AI465" i="1"/>
  <c r="AI473" i="1"/>
  <c r="AI481" i="1"/>
  <c r="AI489" i="1"/>
  <c r="AI497" i="1"/>
  <c r="AI505" i="1"/>
  <c r="AI513" i="1"/>
  <c r="AI521" i="1"/>
  <c r="AI529" i="1"/>
  <c r="AI537" i="1"/>
  <c r="AI545" i="1"/>
  <c r="AI553" i="1"/>
  <c r="AI561" i="1"/>
  <c r="AI569" i="1"/>
  <c r="AI577" i="1"/>
  <c r="AI585" i="1"/>
  <c r="AI593" i="1"/>
  <c r="AI601" i="1"/>
  <c r="AI609" i="1"/>
  <c r="AI617" i="1"/>
  <c r="AI625" i="1"/>
  <c r="AI633" i="1"/>
  <c r="AI641" i="1"/>
  <c r="AI649" i="1"/>
  <c r="AI657" i="1"/>
  <c r="AI665" i="1"/>
  <c r="AI673" i="1"/>
  <c r="AM22" i="1"/>
  <c r="AM191" i="1"/>
  <c r="AM365" i="1"/>
  <c r="AM534" i="1"/>
  <c r="AM668" i="1"/>
  <c r="AM734" i="1"/>
  <c r="AM781" i="1"/>
  <c r="AM813" i="1"/>
  <c r="AM845" i="1"/>
  <c r="AM877" i="1"/>
  <c r="AM909" i="1"/>
  <c r="AM941" i="1"/>
  <c r="AM973" i="1"/>
  <c r="AM998" i="1"/>
  <c r="AI18" i="1"/>
  <c r="AI33" i="1"/>
  <c r="AI44" i="1"/>
  <c r="AI58" i="1"/>
  <c r="AI71" i="1"/>
  <c r="AI82" i="1"/>
  <c r="AI90" i="1"/>
  <c r="AI98" i="1"/>
  <c r="AI106" i="1"/>
  <c r="AI114" i="1"/>
  <c r="AI122" i="1"/>
  <c r="AI130" i="1"/>
  <c r="AI138" i="1"/>
  <c r="AI146" i="1"/>
  <c r="AI154" i="1"/>
  <c r="AI162" i="1"/>
  <c r="AI170" i="1"/>
  <c r="AI178" i="1"/>
  <c r="AI186" i="1"/>
  <c r="AI194" i="1"/>
  <c r="AI202" i="1"/>
  <c r="AI210" i="1"/>
  <c r="AI218" i="1"/>
  <c r="AI226" i="1"/>
  <c r="AI234" i="1"/>
  <c r="AI242" i="1"/>
  <c r="AI250" i="1"/>
  <c r="AI258" i="1"/>
  <c r="AI266" i="1"/>
  <c r="AI274" i="1"/>
  <c r="AI282" i="1"/>
  <c r="AI290" i="1"/>
  <c r="AI298" i="1"/>
  <c r="AI306" i="1"/>
  <c r="AI314" i="1"/>
  <c r="AI322" i="1"/>
  <c r="AI330" i="1"/>
  <c r="AI338" i="1"/>
  <c r="AI346" i="1"/>
  <c r="AI354" i="1"/>
  <c r="AI362" i="1"/>
  <c r="AI370" i="1"/>
  <c r="AI378" i="1"/>
  <c r="AI386" i="1"/>
  <c r="AI394" i="1"/>
  <c r="AI402" i="1"/>
  <c r="AI410" i="1"/>
  <c r="AI418" i="1"/>
  <c r="AI426" i="1"/>
  <c r="AI434" i="1"/>
  <c r="AI442" i="1"/>
  <c r="AI450" i="1"/>
  <c r="AI458" i="1"/>
  <c r="AI466" i="1"/>
  <c r="AI474" i="1"/>
  <c r="AI482" i="1"/>
  <c r="AI490" i="1"/>
  <c r="AI498" i="1"/>
  <c r="AI506" i="1"/>
  <c r="AI514" i="1"/>
  <c r="AI522" i="1"/>
  <c r="AI530" i="1"/>
  <c r="AI538" i="1"/>
  <c r="AI546" i="1"/>
  <c r="AI554" i="1"/>
  <c r="AI562" i="1"/>
  <c r="AI570" i="1"/>
  <c r="AI578" i="1"/>
  <c r="AI586" i="1"/>
  <c r="AI594" i="1"/>
  <c r="AI602" i="1"/>
  <c r="AI610" i="1"/>
  <c r="AI618" i="1"/>
  <c r="AI626" i="1"/>
  <c r="AI634" i="1"/>
  <c r="AI642" i="1"/>
  <c r="AI650" i="1"/>
  <c r="AI658" i="1"/>
  <c r="AI666" i="1"/>
  <c r="AM45" i="1"/>
  <c r="AM214" i="1"/>
  <c r="AM383" i="1"/>
  <c r="AM557" i="1"/>
  <c r="AM677" i="1"/>
  <c r="AM742" i="1"/>
  <c r="AM782" i="1"/>
  <c r="AM814" i="1"/>
  <c r="AM846" i="1"/>
  <c r="AM878" i="1"/>
  <c r="AM910" i="1"/>
  <c r="AM942" i="1"/>
  <c r="AM974" i="1"/>
  <c r="AM999" i="1"/>
  <c r="AI19" i="1"/>
  <c r="AI34" i="1"/>
  <c r="AI47" i="1"/>
  <c r="AI59" i="1"/>
  <c r="AI73" i="1"/>
  <c r="AI83" i="1"/>
  <c r="AI91" i="1"/>
  <c r="AI99" i="1"/>
  <c r="AI107" i="1"/>
  <c r="AI115" i="1"/>
  <c r="AI123" i="1"/>
  <c r="AI131" i="1"/>
  <c r="AI139" i="1"/>
  <c r="AI147" i="1"/>
  <c r="AM63" i="1"/>
  <c r="AM237" i="1"/>
  <c r="AM406" i="1"/>
  <c r="AM575" i="1"/>
  <c r="AM686" i="1"/>
  <c r="AM750" i="1"/>
  <c r="AM789" i="1"/>
  <c r="AM821" i="1"/>
  <c r="AM853" i="1"/>
  <c r="AM885" i="1"/>
  <c r="AM917" i="1"/>
  <c r="AM949" i="1"/>
  <c r="AM981" i="1"/>
  <c r="AI2" i="1"/>
  <c r="AI20" i="1"/>
  <c r="AI35" i="1"/>
  <c r="AI49" i="1"/>
  <c r="AI60" i="1"/>
  <c r="AI74" i="1"/>
  <c r="AI84" i="1"/>
  <c r="AI92" i="1"/>
  <c r="AI100" i="1"/>
  <c r="AI108" i="1"/>
  <c r="AI116" i="1"/>
  <c r="AI124" i="1"/>
  <c r="AI132" i="1"/>
  <c r="AI140" i="1"/>
  <c r="AI148" i="1"/>
  <c r="AI156" i="1"/>
  <c r="AI164" i="1"/>
  <c r="AI172" i="1"/>
  <c r="AI180" i="1"/>
  <c r="AI188" i="1"/>
  <c r="AI196" i="1"/>
  <c r="AI204" i="1"/>
  <c r="AI212" i="1"/>
  <c r="AI220" i="1"/>
  <c r="AI228" i="1"/>
  <c r="AI236" i="1"/>
  <c r="AI244" i="1"/>
  <c r="AI252" i="1"/>
  <c r="AI260" i="1"/>
  <c r="AI268" i="1"/>
  <c r="AI276" i="1"/>
  <c r="AI284" i="1"/>
  <c r="AI292" i="1"/>
  <c r="AI300" i="1"/>
  <c r="AI308" i="1"/>
  <c r="AI316" i="1"/>
  <c r="AI324" i="1"/>
  <c r="AI332" i="1"/>
  <c r="AI340" i="1"/>
  <c r="AI348" i="1"/>
  <c r="AI356" i="1"/>
  <c r="AI364" i="1"/>
  <c r="AI372" i="1"/>
  <c r="AI380" i="1"/>
  <c r="AI388" i="1"/>
  <c r="AI396" i="1"/>
  <c r="AI404" i="1"/>
  <c r="AI412" i="1"/>
  <c r="AI420" i="1"/>
  <c r="AI428" i="1"/>
  <c r="AI436" i="1"/>
  <c r="AI444" i="1"/>
  <c r="AI452" i="1"/>
  <c r="AI460" i="1"/>
  <c r="AI468" i="1"/>
  <c r="AI476" i="1"/>
  <c r="AI484" i="1"/>
  <c r="AI492" i="1"/>
  <c r="AI500" i="1"/>
  <c r="AI508" i="1"/>
  <c r="AI516" i="1"/>
  <c r="AI524" i="1"/>
  <c r="AI532" i="1"/>
  <c r="AI540" i="1"/>
  <c r="AI548" i="1"/>
  <c r="AI556" i="1"/>
  <c r="AI564" i="1"/>
  <c r="AI572" i="1"/>
  <c r="AI580" i="1"/>
  <c r="AM109" i="1"/>
  <c r="AM278" i="1"/>
  <c r="AM447" i="1"/>
  <c r="AM616" i="1"/>
  <c r="AM702" i="1"/>
  <c r="AM765" i="1"/>
  <c r="AM598" i="1"/>
  <c r="AM798" i="1"/>
  <c r="AM893" i="1"/>
  <c r="AM982" i="1"/>
  <c r="AI27" i="1"/>
  <c r="AI65" i="1"/>
  <c r="AI93" i="1"/>
  <c r="AI111" i="1"/>
  <c r="AI134" i="1"/>
  <c r="AI155" i="1"/>
  <c r="AI171" i="1"/>
  <c r="AI187" i="1"/>
  <c r="AI203" i="1"/>
  <c r="AI219" i="1"/>
  <c r="AI235" i="1"/>
  <c r="AI251" i="1"/>
  <c r="AI267" i="1"/>
  <c r="AI283" i="1"/>
  <c r="AI299" i="1"/>
  <c r="AI315" i="1"/>
  <c r="AI331" i="1"/>
  <c r="AI347" i="1"/>
  <c r="AI363" i="1"/>
  <c r="AI379" i="1"/>
  <c r="AI395" i="1"/>
  <c r="AI411" i="1"/>
  <c r="AI427" i="1"/>
  <c r="AI443" i="1"/>
  <c r="AI459" i="1"/>
  <c r="AI475" i="1"/>
  <c r="AI491" i="1"/>
  <c r="AI507" i="1"/>
  <c r="AI523" i="1"/>
  <c r="AI539" i="1"/>
  <c r="AI555" i="1"/>
  <c r="AI571" i="1"/>
  <c r="AI587" i="1"/>
  <c r="AI598" i="1"/>
  <c r="AI612" i="1"/>
  <c r="AI622" i="1"/>
  <c r="AI632" i="1"/>
  <c r="AI644" i="1"/>
  <c r="AI654" i="1"/>
  <c r="AI664" i="1"/>
  <c r="AI675" i="1"/>
  <c r="AI683" i="1"/>
  <c r="AI691" i="1"/>
  <c r="AI699" i="1"/>
  <c r="AI707" i="1"/>
  <c r="AI715" i="1"/>
  <c r="AI723" i="1"/>
  <c r="AI731" i="1"/>
  <c r="AI739" i="1"/>
  <c r="AI747" i="1"/>
  <c r="AI755" i="1"/>
  <c r="AI763" i="1"/>
  <c r="AI771" i="1"/>
  <c r="AI779" i="1"/>
  <c r="AI787" i="1"/>
  <c r="AI795" i="1"/>
  <c r="AI803" i="1"/>
  <c r="AI811" i="1"/>
  <c r="AI819" i="1"/>
  <c r="AI827" i="1"/>
  <c r="AI835" i="1"/>
  <c r="AI843" i="1"/>
  <c r="AI851" i="1"/>
  <c r="AI859" i="1"/>
  <c r="AI867" i="1"/>
  <c r="AI875" i="1"/>
  <c r="AI883" i="1"/>
  <c r="AI891" i="1"/>
  <c r="AI899" i="1"/>
  <c r="AM630" i="1"/>
  <c r="AM822" i="1"/>
  <c r="AM894" i="1"/>
  <c r="AM989" i="1"/>
  <c r="AI36" i="1"/>
  <c r="AI66" i="1"/>
  <c r="AI94" i="1"/>
  <c r="AI117" i="1"/>
  <c r="AI135" i="1"/>
  <c r="AI157" i="1"/>
  <c r="AI173" i="1"/>
  <c r="AI189" i="1"/>
  <c r="AI205" i="1"/>
  <c r="AI221" i="1"/>
  <c r="AI237" i="1"/>
  <c r="AI253" i="1"/>
  <c r="AI269" i="1"/>
  <c r="AI285" i="1"/>
  <c r="AI301" i="1"/>
  <c r="AI317" i="1"/>
  <c r="AI333" i="1"/>
  <c r="AI349" i="1"/>
  <c r="AI365" i="1"/>
  <c r="AI381" i="1"/>
  <c r="AI397" i="1"/>
  <c r="AI413" i="1"/>
  <c r="AI429" i="1"/>
  <c r="AI445" i="1"/>
  <c r="AI461" i="1"/>
  <c r="AI477" i="1"/>
  <c r="AI493" i="1"/>
  <c r="AI509" i="1"/>
  <c r="AI525" i="1"/>
  <c r="AI541" i="1"/>
  <c r="AI557" i="1"/>
  <c r="AI573" i="1"/>
  <c r="AI588" i="1"/>
  <c r="AI599" i="1"/>
  <c r="AI613" i="1"/>
  <c r="AI623" i="1"/>
  <c r="AI635" i="1"/>
  <c r="AI645" i="1"/>
  <c r="AI655" i="1"/>
  <c r="AI667" i="1"/>
  <c r="AI676" i="1"/>
  <c r="AI684" i="1"/>
  <c r="AI692" i="1"/>
  <c r="AI700" i="1"/>
  <c r="AI708" i="1"/>
  <c r="AI716" i="1"/>
  <c r="AI724" i="1"/>
  <c r="AI732" i="1"/>
  <c r="AI740" i="1"/>
  <c r="AI748" i="1"/>
  <c r="AI756" i="1"/>
  <c r="AI764" i="1"/>
  <c r="AI772" i="1"/>
  <c r="AI780" i="1"/>
  <c r="AI788" i="1"/>
  <c r="AI796" i="1"/>
  <c r="AI804" i="1"/>
  <c r="AI812" i="1"/>
  <c r="AI820" i="1"/>
  <c r="AI828" i="1"/>
  <c r="AI836" i="1"/>
  <c r="AI844" i="1"/>
  <c r="AI852" i="1"/>
  <c r="AI860" i="1"/>
  <c r="AI868" i="1"/>
  <c r="AI876" i="1"/>
  <c r="AI884" i="1"/>
  <c r="AI892" i="1"/>
  <c r="AI900" i="1"/>
  <c r="AI908" i="1"/>
  <c r="AI916" i="1"/>
  <c r="AI924" i="1"/>
  <c r="AI932" i="1"/>
  <c r="AI940" i="1"/>
  <c r="AI948" i="1"/>
  <c r="AI956" i="1"/>
  <c r="AI964" i="1"/>
  <c r="AI972" i="1"/>
  <c r="AI980" i="1"/>
  <c r="AI988" i="1"/>
  <c r="AI996" i="1"/>
  <c r="AH257" i="1"/>
  <c r="AL9" i="1"/>
  <c r="AL17" i="1"/>
  <c r="AL25" i="1"/>
  <c r="AL33" i="1"/>
  <c r="AL41" i="1"/>
  <c r="AL49" i="1"/>
  <c r="AL57" i="1"/>
  <c r="AL65" i="1"/>
  <c r="AL73" i="1"/>
  <c r="AL81" i="1"/>
  <c r="AL89" i="1"/>
  <c r="AM86" i="1"/>
  <c r="AM694" i="1"/>
  <c r="AM829" i="1"/>
  <c r="AM918" i="1"/>
  <c r="AM990" i="1"/>
  <c r="AI39" i="1"/>
  <c r="AI75" i="1"/>
  <c r="AI95" i="1"/>
  <c r="AI118" i="1"/>
  <c r="AI141" i="1"/>
  <c r="AI158" i="1"/>
  <c r="AI174" i="1"/>
  <c r="AI190" i="1"/>
  <c r="AI206" i="1"/>
  <c r="AI222" i="1"/>
  <c r="AI238" i="1"/>
  <c r="AI254" i="1"/>
  <c r="AI270" i="1"/>
  <c r="AI286" i="1"/>
  <c r="AI302" i="1"/>
  <c r="AI318" i="1"/>
  <c r="AI334" i="1"/>
  <c r="AI350" i="1"/>
  <c r="AI366" i="1"/>
  <c r="AI382" i="1"/>
  <c r="AI398" i="1"/>
  <c r="AI414" i="1"/>
  <c r="AI430" i="1"/>
  <c r="AI446" i="1"/>
  <c r="AI462" i="1"/>
  <c r="AI478" i="1"/>
  <c r="AI494" i="1"/>
  <c r="AI510" i="1"/>
  <c r="AI526" i="1"/>
  <c r="AI542" i="1"/>
  <c r="AI558" i="1"/>
  <c r="AI574" i="1"/>
  <c r="AI589" i="1"/>
  <c r="AI603" i="1"/>
  <c r="AI614" i="1"/>
  <c r="AI624" i="1"/>
  <c r="AI636" i="1"/>
  <c r="AI646" i="1"/>
  <c r="AI656" i="1"/>
  <c r="AI668" i="1"/>
  <c r="AI677" i="1"/>
  <c r="AI685" i="1"/>
  <c r="AI693" i="1"/>
  <c r="AI701" i="1"/>
  <c r="AI709" i="1"/>
  <c r="AI717" i="1"/>
  <c r="AI725" i="1"/>
  <c r="AI733" i="1"/>
  <c r="AI741" i="1"/>
  <c r="AI749" i="1"/>
  <c r="AI757" i="1"/>
  <c r="AI765" i="1"/>
  <c r="AI773" i="1"/>
  <c r="AI781" i="1"/>
  <c r="AI789" i="1"/>
  <c r="AI797" i="1"/>
  <c r="AI805" i="1"/>
  <c r="AI813" i="1"/>
  <c r="AI821" i="1"/>
  <c r="AI829" i="1"/>
  <c r="AI837" i="1"/>
  <c r="AI845" i="1"/>
  <c r="AI853" i="1"/>
  <c r="AI861" i="1"/>
  <c r="AI869" i="1"/>
  <c r="AI877" i="1"/>
  <c r="AI885" i="1"/>
  <c r="AI893" i="1"/>
  <c r="AI901" i="1"/>
  <c r="AI909" i="1"/>
  <c r="AI917" i="1"/>
  <c r="AI925" i="1"/>
  <c r="AI933" i="1"/>
  <c r="AI941" i="1"/>
  <c r="AI949" i="1"/>
  <c r="AI957" i="1"/>
  <c r="AI965" i="1"/>
  <c r="AI973" i="1"/>
  <c r="AM127" i="1"/>
  <c r="AM710" i="1"/>
  <c r="AM830" i="1"/>
  <c r="AM925" i="1"/>
  <c r="AI3" i="1"/>
  <c r="AI41" i="1"/>
  <c r="AI76" i="1"/>
  <c r="AI101" i="1"/>
  <c r="AI119" i="1"/>
  <c r="AI142" i="1"/>
  <c r="AI159" i="1"/>
  <c r="AI175" i="1"/>
  <c r="AI191" i="1"/>
  <c r="AI207" i="1"/>
  <c r="AI223" i="1"/>
  <c r="AI239" i="1"/>
  <c r="AI255" i="1"/>
  <c r="AI271" i="1"/>
  <c r="AI287" i="1"/>
  <c r="AI303" i="1"/>
  <c r="AI319" i="1"/>
  <c r="AI335" i="1"/>
  <c r="AI351" i="1"/>
  <c r="AI367" i="1"/>
  <c r="AI383" i="1"/>
  <c r="AI399" i="1"/>
  <c r="AI415" i="1"/>
  <c r="AI431" i="1"/>
  <c r="AI447" i="1"/>
  <c r="AI463" i="1"/>
  <c r="AI479" i="1"/>
  <c r="AI495" i="1"/>
  <c r="AI511" i="1"/>
  <c r="AI527" i="1"/>
  <c r="AI543" i="1"/>
  <c r="AI559" i="1"/>
  <c r="AI575" i="1"/>
  <c r="AI590" i="1"/>
  <c r="AI604" i="1"/>
  <c r="AI615" i="1"/>
  <c r="AI627" i="1"/>
  <c r="AI637" i="1"/>
  <c r="AI647" i="1"/>
  <c r="AI659" i="1"/>
  <c r="AI669" i="1"/>
  <c r="AI678" i="1"/>
  <c r="AI686" i="1"/>
  <c r="AI694" i="1"/>
  <c r="AI702" i="1"/>
  <c r="AI710" i="1"/>
  <c r="AI718" i="1"/>
  <c r="AI726" i="1"/>
  <c r="AI734" i="1"/>
  <c r="AI742" i="1"/>
  <c r="AI750" i="1"/>
  <c r="AI758" i="1"/>
  <c r="AI766" i="1"/>
  <c r="AI774" i="1"/>
  <c r="AI782" i="1"/>
  <c r="AI790" i="1"/>
  <c r="AI798" i="1"/>
  <c r="AI806" i="1"/>
  <c r="AM255" i="1"/>
  <c r="AM758" i="1"/>
  <c r="AM854" i="1"/>
  <c r="AM926" i="1"/>
  <c r="AI4" i="1"/>
  <c r="AI50" i="1"/>
  <c r="AI79" i="1"/>
  <c r="AI102" i="1"/>
  <c r="AI125" i="1"/>
  <c r="AI143" i="1"/>
  <c r="AI163" i="1"/>
  <c r="AI179" i="1"/>
  <c r="AI195" i="1"/>
  <c r="AI211" i="1"/>
  <c r="AI227" i="1"/>
  <c r="AI243" i="1"/>
  <c r="AI259" i="1"/>
  <c r="AI275" i="1"/>
  <c r="AI291" i="1"/>
  <c r="AI307" i="1"/>
  <c r="AI323" i="1"/>
  <c r="AI339" i="1"/>
  <c r="AI355" i="1"/>
  <c r="AI371" i="1"/>
  <c r="AI387" i="1"/>
  <c r="AI403" i="1"/>
  <c r="AI419" i="1"/>
  <c r="AI435" i="1"/>
  <c r="AI451" i="1"/>
  <c r="AI467" i="1"/>
  <c r="AI483" i="1"/>
  <c r="AI499" i="1"/>
  <c r="AI515" i="1"/>
  <c r="AI531" i="1"/>
  <c r="AI547" i="1"/>
  <c r="AI563" i="1"/>
  <c r="AI579" i="1"/>
  <c r="AI591" i="1"/>
  <c r="AI605" i="1"/>
  <c r="AI616" i="1"/>
  <c r="AI628" i="1"/>
  <c r="AI638" i="1"/>
  <c r="AI648" i="1"/>
  <c r="AI660" i="1"/>
  <c r="AI670" i="1"/>
  <c r="AI679" i="1"/>
  <c r="AI687" i="1"/>
  <c r="AI695" i="1"/>
  <c r="AI703" i="1"/>
  <c r="AI711" i="1"/>
  <c r="AI719" i="1"/>
  <c r="AI727" i="1"/>
  <c r="AI735" i="1"/>
  <c r="AI743" i="1"/>
  <c r="AI751" i="1"/>
  <c r="AI759" i="1"/>
  <c r="AI767" i="1"/>
  <c r="AI775" i="1"/>
  <c r="AI783" i="1"/>
  <c r="AI791" i="1"/>
  <c r="AI799" i="1"/>
  <c r="AI807" i="1"/>
  <c r="AI815" i="1"/>
  <c r="AI823" i="1"/>
  <c r="AI831" i="1"/>
  <c r="AI839" i="1"/>
  <c r="AI847" i="1"/>
  <c r="AI855" i="1"/>
  <c r="AI863" i="1"/>
  <c r="AI871" i="1"/>
  <c r="AI879" i="1"/>
  <c r="AI887" i="1"/>
  <c r="AM301" i="1"/>
  <c r="AM766" i="1"/>
  <c r="AM861" i="1"/>
  <c r="AM950" i="1"/>
  <c r="AI10" i="1"/>
  <c r="AI51" i="1"/>
  <c r="AI85" i="1"/>
  <c r="AI103" i="1"/>
  <c r="AI126" i="1"/>
  <c r="AI149" i="1"/>
  <c r="AI165" i="1"/>
  <c r="AI181" i="1"/>
  <c r="AI197" i="1"/>
  <c r="AI213" i="1"/>
  <c r="AI229" i="1"/>
  <c r="AI245" i="1"/>
  <c r="AI261" i="1"/>
  <c r="AI277" i="1"/>
  <c r="AI293" i="1"/>
  <c r="AI309" i="1"/>
  <c r="AI325" i="1"/>
  <c r="AI341" i="1"/>
  <c r="AI357" i="1"/>
  <c r="AI373" i="1"/>
  <c r="AI389" i="1"/>
  <c r="AI405" i="1"/>
  <c r="AI421" i="1"/>
  <c r="AI437" i="1"/>
  <c r="AI453" i="1"/>
  <c r="AI469" i="1"/>
  <c r="AI485" i="1"/>
  <c r="AI501" i="1"/>
  <c r="AI517" i="1"/>
  <c r="AI533" i="1"/>
  <c r="AI549" i="1"/>
  <c r="AI565" i="1"/>
  <c r="AI581" i="1"/>
  <c r="AI595" i="1"/>
  <c r="AI606" i="1"/>
  <c r="AI619" i="1"/>
  <c r="AI629" i="1"/>
  <c r="AI639" i="1"/>
  <c r="AI651" i="1"/>
  <c r="AI661" i="1"/>
  <c r="AI671" i="1"/>
  <c r="AI680" i="1"/>
  <c r="AI688" i="1"/>
  <c r="AI696" i="1"/>
  <c r="AI704" i="1"/>
  <c r="AI712" i="1"/>
  <c r="AI720" i="1"/>
  <c r="AI728" i="1"/>
  <c r="AI736" i="1"/>
  <c r="AI744" i="1"/>
  <c r="AI752" i="1"/>
  <c r="AI760" i="1"/>
  <c r="AI768" i="1"/>
  <c r="AI776" i="1"/>
  <c r="AI784" i="1"/>
  <c r="AI792" i="1"/>
  <c r="AI800" i="1"/>
  <c r="AI808" i="1"/>
  <c r="AI816" i="1"/>
  <c r="AI824" i="1"/>
  <c r="AI832" i="1"/>
  <c r="AI840" i="1"/>
  <c r="AI848" i="1"/>
  <c r="AI856" i="1"/>
  <c r="AI864" i="1"/>
  <c r="AI872" i="1"/>
  <c r="AI880" i="1"/>
  <c r="AI888" i="1"/>
  <c r="AI896" i="1"/>
  <c r="AI904" i="1"/>
  <c r="AI912" i="1"/>
  <c r="AI920" i="1"/>
  <c r="AI928" i="1"/>
  <c r="AI936" i="1"/>
  <c r="AI944" i="1"/>
  <c r="AI952" i="1"/>
  <c r="AI960" i="1"/>
  <c r="AI968" i="1"/>
  <c r="AI976" i="1"/>
  <c r="AI984" i="1"/>
  <c r="AI992" i="1"/>
  <c r="AM957" i="1"/>
  <c r="AI109" i="1"/>
  <c r="AI182" i="1"/>
  <c r="AI246" i="1"/>
  <c r="AI310" i="1"/>
  <c r="AI374" i="1"/>
  <c r="AI438" i="1"/>
  <c r="AI502" i="1"/>
  <c r="AI566" i="1"/>
  <c r="AI620" i="1"/>
  <c r="AI662" i="1"/>
  <c r="AI697" i="1"/>
  <c r="AI729" i="1"/>
  <c r="AI761" i="1"/>
  <c r="AI793" i="1"/>
  <c r="AI818" i="1"/>
  <c r="AI841" i="1"/>
  <c r="AI862" i="1"/>
  <c r="AI882" i="1"/>
  <c r="AI902" i="1"/>
  <c r="AI914" i="1"/>
  <c r="AI927" i="1"/>
  <c r="AI939" i="1"/>
  <c r="AI953" i="1"/>
  <c r="AI966" i="1"/>
  <c r="AI978" i="1"/>
  <c r="AI989" i="1"/>
  <c r="AI999" i="1"/>
  <c r="AL5" i="1"/>
  <c r="AL14" i="1"/>
  <c r="AL23" i="1"/>
  <c r="AL32" i="1"/>
  <c r="AL42" i="1"/>
  <c r="AL51" i="1"/>
  <c r="AL60" i="1"/>
  <c r="AL69" i="1"/>
  <c r="AL78" i="1"/>
  <c r="AL87" i="1"/>
  <c r="AL96" i="1"/>
  <c r="AL104" i="1"/>
  <c r="AL112" i="1"/>
  <c r="AL120" i="1"/>
  <c r="AL128" i="1"/>
  <c r="AL136" i="1"/>
  <c r="AL144" i="1"/>
  <c r="AL152" i="1"/>
  <c r="AL160" i="1"/>
  <c r="AL168" i="1"/>
  <c r="AL176" i="1"/>
  <c r="AL184" i="1"/>
  <c r="AL192" i="1"/>
  <c r="AL200" i="1"/>
  <c r="AL208" i="1"/>
  <c r="AL216" i="1"/>
  <c r="AL224" i="1"/>
  <c r="AL232" i="1"/>
  <c r="AL240" i="1"/>
  <c r="AL248" i="1"/>
  <c r="AL256" i="1"/>
  <c r="AL265" i="1"/>
  <c r="AL273" i="1"/>
  <c r="AL281" i="1"/>
  <c r="AL289" i="1"/>
  <c r="AL297" i="1"/>
  <c r="AL305" i="1"/>
  <c r="AL313" i="1"/>
  <c r="AL321" i="1"/>
  <c r="AL329" i="1"/>
  <c r="AL337" i="1"/>
  <c r="AL345" i="1"/>
  <c r="AL353" i="1"/>
  <c r="AL361" i="1"/>
  <c r="AL369" i="1"/>
  <c r="AL377" i="1"/>
  <c r="AL385" i="1"/>
  <c r="AL393" i="1"/>
  <c r="AL401" i="1"/>
  <c r="AL409" i="1"/>
  <c r="AL417" i="1"/>
  <c r="AL425" i="1"/>
  <c r="AL433" i="1"/>
  <c r="AL441" i="1"/>
  <c r="AL449" i="1"/>
  <c r="AL457" i="1"/>
  <c r="AL465" i="1"/>
  <c r="AL473" i="1"/>
  <c r="AM958" i="1"/>
  <c r="AI110" i="1"/>
  <c r="AI183" i="1"/>
  <c r="AI247" i="1"/>
  <c r="AI311" i="1"/>
  <c r="AI375" i="1"/>
  <c r="AI439" i="1"/>
  <c r="AI503" i="1"/>
  <c r="AI567" i="1"/>
  <c r="AI621" i="1"/>
  <c r="AI663" i="1"/>
  <c r="AI698" i="1"/>
  <c r="AI730" i="1"/>
  <c r="AI762" i="1"/>
  <c r="AI794" i="1"/>
  <c r="AI822" i="1"/>
  <c r="AI842" i="1"/>
  <c r="AI865" i="1"/>
  <c r="AI886" i="1"/>
  <c r="AI903" i="1"/>
  <c r="AI915" i="1"/>
  <c r="AI929" i="1"/>
  <c r="AI942" i="1"/>
  <c r="AI954" i="1"/>
  <c r="AI967" i="1"/>
  <c r="AI979" i="1"/>
  <c r="AI990" i="1"/>
  <c r="AI1000" i="1"/>
  <c r="AL6" i="1"/>
  <c r="AL15" i="1"/>
  <c r="AL24" i="1"/>
  <c r="AL34" i="1"/>
  <c r="AL43" i="1"/>
  <c r="AL52" i="1"/>
  <c r="AL61" i="1"/>
  <c r="AL70" i="1"/>
  <c r="AL79" i="1"/>
  <c r="AL88" i="1"/>
  <c r="AL97" i="1"/>
  <c r="AL105" i="1"/>
  <c r="AL113" i="1"/>
  <c r="AL121" i="1"/>
  <c r="AL129" i="1"/>
  <c r="AL137" i="1"/>
  <c r="AL145" i="1"/>
  <c r="AL153" i="1"/>
  <c r="AL161" i="1"/>
  <c r="AL169" i="1"/>
  <c r="AL177" i="1"/>
  <c r="AL185" i="1"/>
  <c r="AL193" i="1"/>
  <c r="AL201" i="1"/>
  <c r="AL209" i="1"/>
  <c r="AL217" i="1"/>
  <c r="AL225" i="1"/>
  <c r="AL233" i="1"/>
  <c r="AL241" i="1"/>
  <c r="AL249" i="1"/>
  <c r="AL258" i="1"/>
  <c r="AL266" i="1"/>
  <c r="AL274" i="1"/>
  <c r="AL282" i="1"/>
  <c r="AL290" i="1"/>
  <c r="AM429" i="1"/>
  <c r="AI25" i="1"/>
  <c r="AI127" i="1"/>
  <c r="AI198" i="1"/>
  <c r="AI262" i="1"/>
  <c r="AI326" i="1"/>
  <c r="AI390" i="1"/>
  <c r="AI454" i="1"/>
  <c r="AI518" i="1"/>
  <c r="AI582" i="1"/>
  <c r="AI630" i="1"/>
  <c r="AI672" i="1"/>
  <c r="AI705" i="1"/>
  <c r="AI737" i="1"/>
  <c r="AI769" i="1"/>
  <c r="AI801" i="1"/>
  <c r="AI825" i="1"/>
  <c r="AI846" i="1"/>
  <c r="AI866" i="1"/>
  <c r="AI889" i="1"/>
  <c r="AI905" i="1"/>
  <c r="AI918" i="1"/>
  <c r="AI930" i="1"/>
  <c r="AI943" i="1"/>
  <c r="AI955" i="1"/>
  <c r="AI969" i="1"/>
  <c r="AI981" i="1"/>
  <c r="AI991" i="1"/>
  <c r="AI1001" i="1"/>
  <c r="AL7" i="1"/>
  <c r="AL16" i="1"/>
  <c r="AL26" i="1"/>
  <c r="AL35" i="1"/>
  <c r="AL44" i="1"/>
  <c r="AL53" i="1"/>
  <c r="AL62" i="1"/>
  <c r="AL71" i="1"/>
  <c r="AL80" i="1"/>
  <c r="AL90" i="1"/>
  <c r="AL98" i="1"/>
  <c r="AL106" i="1"/>
  <c r="AL114" i="1"/>
  <c r="AL122" i="1"/>
  <c r="AL130" i="1"/>
  <c r="AL138" i="1"/>
  <c r="AL146" i="1"/>
  <c r="AL154" i="1"/>
  <c r="AL162" i="1"/>
  <c r="AL170" i="1"/>
  <c r="AL178" i="1"/>
  <c r="AL186" i="1"/>
  <c r="AL194" i="1"/>
  <c r="AL202" i="1"/>
  <c r="AL210" i="1"/>
  <c r="AL218" i="1"/>
  <c r="AL226" i="1"/>
  <c r="AL234" i="1"/>
  <c r="AL242" i="1"/>
  <c r="AL250" i="1"/>
  <c r="AL259" i="1"/>
  <c r="AL267" i="1"/>
  <c r="AL275" i="1"/>
  <c r="AL283" i="1"/>
  <c r="AL291" i="1"/>
  <c r="AM470" i="1"/>
  <c r="AI26" i="1"/>
  <c r="AI133" i="1"/>
  <c r="AI199" i="1"/>
  <c r="AI263" i="1"/>
  <c r="AI327" i="1"/>
  <c r="AI391" i="1"/>
  <c r="AI455" i="1"/>
  <c r="AI519" i="1"/>
  <c r="AI583" i="1"/>
  <c r="AI631" i="1"/>
  <c r="AI674" i="1"/>
  <c r="AI706" i="1"/>
  <c r="AI738" i="1"/>
  <c r="AI770" i="1"/>
  <c r="AI802" i="1"/>
  <c r="AI826" i="1"/>
  <c r="AI849" i="1"/>
  <c r="AI870" i="1"/>
  <c r="AI890" i="1"/>
  <c r="AI906" i="1"/>
  <c r="AI919" i="1"/>
  <c r="AI931" i="1"/>
  <c r="AI945" i="1"/>
  <c r="AI958" i="1"/>
  <c r="AI970" i="1"/>
  <c r="AI982" i="1"/>
  <c r="AI993" i="1"/>
  <c r="AI1002" i="1"/>
  <c r="AL8" i="1"/>
  <c r="AL18" i="1"/>
  <c r="AL27" i="1"/>
  <c r="AL36" i="1"/>
  <c r="AL45" i="1"/>
  <c r="AL54" i="1"/>
  <c r="AL63" i="1"/>
  <c r="AL72" i="1"/>
  <c r="AL82" i="1"/>
  <c r="AL91" i="1"/>
  <c r="AL99" i="1"/>
  <c r="AL107" i="1"/>
  <c r="AL115" i="1"/>
  <c r="AL123" i="1"/>
  <c r="AL131" i="1"/>
  <c r="AL139" i="1"/>
  <c r="AL147" i="1"/>
  <c r="AL155" i="1"/>
  <c r="AL163" i="1"/>
  <c r="AL171" i="1"/>
  <c r="AL179" i="1"/>
  <c r="AL187" i="1"/>
  <c r="AL195" i="1"/>
  <c r="AL203" i="1"/>
  <c r="AL211" i="1"/>
  <c r="AL219" i="1"/>
  <c r="AL227" i="1"/>
  <c r="AL235" i="1"/>
  <c r="AL243" i="1"/>
  <c r="AL251" i="1"/>
  <c r="AL260" i="1"/>
  <c r="AL268" i="1"/>
  <c r="AL276" i="1"/>
  <c r="AL284" i="1"/>
  <c r="AL292" i="1"/>
  <c r="AL300" i="1"/>
  <c r="AL308" i="1"/>
  <c r="AL316" i="1"/>
  <c r="AL324" i="1"/>
  <c r="AL332" i="1"/>
  <c r="AL340" i="1"/>
  <c r="AL348" i="1"/>
  <c r="AL356" i="1"/>
  <c r="AL364" i="1"/>
  <c r="AL372" i="1"/>
  <c r="AL380" i="1"/>
  <c r="AL388" i="1"/>
  <c r="AL396" i="1"/>
  <c r="AL404" i="1"/>
  <c r="AL412" i="1"/>
  <c r="AL420" i="1"/>
  <c r="AL428" i="1"/>
  <c r="AL436" i="1"/>
  <c r="AL444" i="1"/>
  <c r="AL452" i="1"/>
  <c r="AL460" i="1"/>
  <c r="AM790" i="1"/>
  <c r="AI52" i="1"/>
  <c r="AI150" i="1"/>
  <c r="AI214" i="1"/>
  <c r="AI278" i="1"/>
  <c r="AI342" i="1"/>
  <c r="AI406" i="1"/>
  <c r="AI470" i="1"/>
  <c r="AI534" i="1"/>
  <c r="AI596" i="1"/>
  <c r="AI640" i="1"/>
  <c r="AI681" i="1"/>
  <c r="AI713" i="1"/>
  <c r="AI745" i="1"/>
  <c r="AI777" i="1"/>
  <c r="AI809" i="1"/>
  <c r="AI830" i="1"/>
  <c r="AI850" i="1"/>
  <c r="AI873" i="1"/>
  <c r="AI894" i="1"/>
  <c r="AI907" i="1"/>
  <c r="AI921" i="1"/>
  <c r="AI934" i="1"/>
  <c r="AI946" i="1"/>
  <c r="AI959" i="1"/>
  <c r="AI971" i="1"/>
  <c r="AI983" i="1"/>
  <c r="AI994" i="1"/>
  <c r="AI1003" i="1"/>
  <c r="AL10" i="1"/>
  <c r="AL19" i="1"/>
  <c r="AL28" i="1"/>
  <c r="AL37" i="1"/>
  <c r="AL46" i="1"/>
  <c r="AL55" i="1"/>
  <c r="AL64" i="1"/>
  <c r="AL74" i="1"/>
  <c r="AL83" i="1"/>
  <c r="AL92" i="1"/>
  <c r="AL100" i="1"/>
  <c r="AL108" i="1"/>
  <c r="AL116" i="1"/>
  <c r="AL124" i="1"/>
  <c r="AL132" i="1"/>
  <c r="AL140" i="1"/>
  <c r="AL148" i="1"/>
  <c r="AL156" i="1"/>
  <c r="AL164" i="1"/>
  <c r="AL172" i="1"/>
  <c r="AL180" i="1"/>
  <c r="AL188" i="1"/>
  <c r="AL196" i="1"/>
  <c r="AL204" i="1"/>
  <c r="AL212" i="1"/>
  <c r="AL220" i="1"/>
  <c r="AL228" i="1"/>
  <c r="AL236" i="1"/>
  <c r="AL244" i="1"/>
  <c r="AL252" i="1"/>
  <c r="AL261" i="1"/>
  <c r="AL269" i="1"/>
  <c r="AL277" i="1"/>
  <c r="AL285" i="1"/>
  <c r="AL293" i="1"/>
  <c r="AL301" i="1"/>
  <c r="AL309" i="1"/>
  <c r="AL317" i="1"/>
  <c r="AL325" i="1"/>
  <c r="AL333" i="1"/>
  <c r="AL341" i="1"/>
  <c r="AL349" i="1"/>
  <c r="AL357" i="1"/>
  <c r="AL365" i="1"/>
  <c r="AL373" i="1"/>
  <c r="AL381" i="1"/>
  <c r="AL389" i="1"/>
  <c r="AL397" i="1"/>
  <c r="AL405" i="1"/>
  <c r="AL413" i="1"/>
  <c r="AL421" i="1"/>
  <c r="AL429" i="1"/>
  <c r="AL437" i="1"/>
  <c r="AL445" i="1"/>
  <c r="AL453" i="1"/>
  <c r="AL461" i="1"/>
  <c r="AI151" i="1"/>
  <c r="AI295" i="1"/>
  <c r="AI486" i="1"/>
  <c r="AI643" i="1"/>
  <c r="AI722" i="1"/>
  <c r="AI814" i="1"/>
  <c r="AI874" i="1"/>
  <c r="AI913" i="1"/>
  <c r="AI950" i="1"/>
  <c r="AI985" i="1"/>
  <c r="AL4" i="1"/>
  <c r="AL30" i="1"/>
  <c r="AL56" i="1"/>
  <c r="AL77" i="1"/>
  <c r="AL102" i="1"/>
  <c r="AL125" i="1"/>
  <c r="AL143" i="1"/>
  <c r="AL166" i="1"/>
  <c r="AL189" i="1"/>
  <c r="AL207" i="1"/>
  <c r="AL230" i="1"/>
  <c r="AL253" i="1"/>
  <c r="AL272" i="1"/>
  <c r="AL295" i="1"/>
  <c r="AL307" i="1"/>
  <c r="AL320" i="1"/>
  <c r="AL334" i="1"/>
  <c r="AL346" i="1"/>
  <c r="AL359" i="1"/>
  <c r="AL371" i="1"/>
  <c r="AL384" i="1"/>
  <c r="AL398" i="1"/>
  <c r="AL410" i="1"/>
  <c r="AL423" i="1"/>
  <c r="AL435" i="1"/>
  <c r="AL448" i="1"/>
  <c r="AL462" i="1"/>
  <c r="AL471" i="1"/>
  <c r="AL480" i="1"/>
  <c r="AL488" i="1"/>
  <c r="AL496" i="1"/>
  <c r="AL504" i="1"/>
  <c r="AL512" i="1"/>
  <c r="AL520" i="1"/>
  <c r="AL528" i="1"/>
  <c r="AL536" i="1"/>
  <c r="AL544" i="1"/>
  <c r="AL552" i="1"/>
  <c r="AL560" i="1"/>
  <c r="AL568" i="1"/>
  <c r="AL576" i="1"/>
  <c r="AL584" i="1"/>
  <c r="AL592" i="1"/>
  <c r="AL600" i="1"/>
  <c r="AL608" i="1"/>
  <c r="AL616" i="1"/>
  <c r="AL624" i="1"/>
  <c r="AL632" i="1"/>
  <c r="AL640" i="1"/>
  <c r="AL648" i="1"/>
  <c r="AL656" i="1"/>
  <c r="AL664" i="1"/>
  <c r="AL672" i="1"/>
  <c r="AL680" i="1"/>
  <c r="AL688" i="1"/>
  <c r="AL696" i="1"/>
  <c r="AL704" i="1"/>
  <c r="AL712" i="1"/>
  <c r="AL720" i="1"/>
  <c r="AL728" i="1"/>
  <c r="AL736" i="1"/>
  <c r="AL744" i="1"/>
  <c r="AL752" i="1"/>
  <c r="AL760" i="1"/>
  <c r="AL768" i="1"/>
  <c r="AL776" i="1"/>
  <c r="AL784" i="1"/>
  <c r="AL792" i="1"/>
  <c r="AL800" i="1"/>
  <c r="AL808" i="1"/>
  <c r="AL816" i="1"/>
  <c r="AL824" i="1"/>
  <c r="AL832" i="1"/>
  <c r="AL840" i="1"/>
  <c r="AL848" i="1"/>
  <c r="AL856" i="1"/>
  <c r="AL864" i="1"/>
  <c r="AL872" i="1"/>
  <c r="AL880" i="1"/>
  <c r="AL888" i="1"/>
  <c r="AL896" i="1"/>
  <c r="AL904" i="1"/>
  <c r="AL912" i="1"/>
  <c r="AL920" i="1"/>
  <c r="AL928" i="1"/>
  <c r="AL936" i="1"/>
  <c r="AL944" i="1"/>
  <c r="AL952" i="1"/>
  <c r="AL960" i="1"/>
  <c r="AL968" i="1"/>
  <c r="AL976" i="1"/>
  <c r="AL984" i="1"/>
  <c r="AL992" i="1"/>
  <c r="AL1000" i="1"/>
  <c r="AK6" i="1"/>
  <c r="AK14" i="1"/>
  <c r="AK22" i="1"/>
  <c r="AK30" i="1"/>
  <c r="AK38" i="1"/>
  <c r="AK46" i="1"/>
  <c r="AK54" i="1"/>
  <c r="AK62" i="1"/>
  <c r="AK70" i="1"/>
  <c r="AK78" i="1"/>
  <c r="AI166" i="1"/>
  <c r="AI343" i="1"/>
  <c r="AI487" i="1"/>
  <c r="AI652" i="1"/>
  <c r="AI746" i="1"/>
  <c r="AI817" i="1"/>
  <c r="AI878" i="1"/>
  <c r="AI922" i="1"/>
  <c r="AI951" i="1"/>
  <c r="AI986" i="1"/>
  <c r="AL11" i="1"/>
  <c r="AL31" i="1"/>
  <c r="AL58" i="1"/>
  <c r="AL84" i="1"/>
  <c r="AL103" i="1"/>
  <c r="AL126" i="1"/>
  <c r="AL149" i="1"/>
  <c r="AL167" i="1"/>
  <c r="AL190" i="1"/>
  <c r="AL213" i="1"/>
  <c r="AL231" i="1"/>
  <c r="AL254" i="1"/>
  <c r="AL278" i="1"/>
  <c r="AL296" i="1"/>
  <c r="AL310" i="1"/>
  <c r="AL322" i="1"/>
  <c r="AL335" i="1"/>
  <c r="AL347" i="1"/>
  <c r="AL360" i="1"/>
  <c r="AL374" i="1"/>
  <c r="AL386" i="1"/>
  <c r="AL399" i="1"/>
  <c r="AL411" i="1"/>
  <c r="AL424" i="1"/>
  <c r="AL438" i="1"/>
  <c r="AL450" i="1"/>
  <c r="AL463" i="1"/>
  <c r="AL472" i="1"/>
  <c r="AL481" i="1"/>
  <c r="AL489" i="1"/>
  <c r="AL497" i="1"/>
  <c r="AL505" i="1"/>
  <c r="AL513" i="1"/>
  <c r="AL521" i="1"/>
  <c r="AL529" i="1"/>
  <c r="AL537" i="1"/>
  <c r="AL545" i="1"/>
  <c r="AL553" i="1"/>
  <c r="AL561" i="1"/>
  <c r="AL569" i="1"/>
  <c r="AL577" i="1"/>
  <c r="AL585" i="1"/>
  <c r="AL593" i="1"/>
  <c r="AL601" i="1"/>
  <c r="AL609" i="1"/>
  <c r="AL617" i="1"/>
  <c r="AL625" i="1"/>
  <c r="AL633" i="1"/>
  <c r="AL641" i="1"/>
  <c r="AL649" i="1"/>
  <c r="AL657" i="1"/>
  <c r="AL665" i="1"/>
  <c r="AL673" i="1"/>
  <c r="AL681" i="1"/>
  <c r="AL689" i="1"/>
  <c r="AL697" i="1"/>
  <c r="AL705" i="1"/>
  <c r="AL713" i="1"/>
  <c r="AL721" i="1"/>
  <c r="AL729" i="1"/>
  <c r="AL737" i="1"/>
  <c r="AL745" i="1"/>
  <c r="AL753" i="1"/>
  <c r="AL761" i="1"/>
  <c r="AL769" i="1"/>
  <c r="AL777" i="1"/>
  <c r="AL785" i="1"/>
  <c r="AL793" i="1"/>
  <c r="AL801" i="1"/>
  <c r="AL809" i="1"/>
  <c r="AL817" i="1"/>
  <c r="AL825" i="1"/>
  <c r="AL833" i="1"/>
  <c r="AL841" i="1"/>
  <c r="AL849" i="1"/>
  <c r="AL857" i="1"/>
  <c r="AL865" i="1"/>
  <c r="AL873" i="1"/>
  <c r="AL881" i="1"/>
  <c r="AL889" i="1"/>
  <c r="AL897" i="1"/>
  <c r="AL905" i="1"/>
  <c r="AL913" i="1"/>
  <c r="AL921" i="1"/>
  <c r="AL929" i="1"/>
  <c r="AL937" i="1"/>
  <c r="AL945" i="1"/>
  <c r="AM797" i="1"/>
  <c r="AI167" i="1"/>
  <c r="AI358" i="1"/>
  <c r="AI535" i="1"/>
  <c r="AI653" i="1"/>
  <c r="AI753" i="1"/>
  <c r="AI833" i="1"/>
  <c r="AI881" i="1"/>
  <c r="AI923" i="1"/>
  <c r="AI961" i="1"/>
  <c r="AI987" i="1"/>
  <c r="AL12" i="1"/>
  <c r="AL38" i="1"/>
  <c r="AL59" i="1"/>
  <c r="AL85" i="1"/>
  <c r="AL109" i="1"/>
  <c r="AL127" i="1"/>
  <c r="AL150" i="1"/>
  <c r="AL173" i="1"/>
  <c r="AL191" i="1"/>
  <c r="AL214" i="1"/>
  <c r="AL237" i="1"/>
  <c r="AL255" i="1"/>
  <c r="AL279" i="1"/>
  <c r="AL298" i="1"/>
  <c r="AL311" i="1"/>
  <c r="AL323" i="1"/>
  <c r="AL336" i="1"/>
  <c r="AL350" i="1"/>
  <c r="AL362" i="1"/>
  <c r="AL375" i="1"/>
  <c r="AL387" i="1"/>
  <c r="AL400" i="1"/>
  <c r="AL414" i="1"/>
  <c r="AL426" i="1"/>
  <c r="AL439" i="1"/>
  <c r="AL451" i="1"/>
  <c r="AL464" i="1"/>
  <c r="AL474" i="1"/>
  <c r="AL482" i="1"/>
  <c r="AL490" i="1"/>
  <c r="AL498" i="1"/>
  <c r="AL506" i="1"/>
  <c r="AL514" i="1"/>
  <c r="AL522" i="1"/>
  <c r="AL530" i="1"/>
  <c r="AL538" i="1"/>
  <c r="AL546" i="1"/>
  <c r="AL554" i="1"/>
  <c r="AL562" i="1"/>
  <c r="AL570" i="1"/>
  <c r="AL578" i="1"/>
  <c r="AL586" i="1"/>
  <c r="AL594" i="1"/>
  <c r="AL602" i="1"/>
  <c r="AL610" i="1"/>
  <c r="AL618" i="1"/>
  <c r="AL626" i="1"/>
  <c r="AL634" i="1"/>
  <c r="AL642" i="1"/>
  <c r="AL650" i="1"/>
  <c r="AL658" i="1"/>
  <c r="AL666" i="1"/>
  <c r="AL674" i="1"/>
  <c r="AL682" i="1"/>
  <c r="AL690" i="1"/>
  <c r="AL698" i="1"/>
  <c r="AL706" i="1"/>
  <c r="AL714" i="1"/>
  <c r="AL722" i="1"/>
  <c r="AL730" i="1"/>
  <c r="AL738" i="1"/>
  <c r="AL746" i="1"/>
  <c r="AL754" i="1"/>
  <c r="AL762" i="1"/>
  <c r="AL770" i="1"/>
  <c r="AL778" i="1"/>
  <c r="AL786" i="1"/>
  <c r="AL794" i="1"/>
  <c r="AL802" i="1"/>
  <c r="AL810" i="1"/>
  <c r="AL818" i="1"/>
  <c r="AL826" i="1"/>
  <c r="AL834" i="1"/>
  <c r="AL842" i="1"/>
  <c r="AL850" i="1"/>
  <c r="AM862" i="1"/>
  <c r="AI215" i="1"/>
  <c r="AI359" i="1"/>
  <c r="AI550" i="1"/>
  <c r="AI682" i="1"/>
  <c r="AI754" i="1"/>
  <c r="AI834" i="1"/>
  <c r="AI895" i="1"/>
  <c r="AI926" i="1"/>
  <c r="AI962" i="1"/>
  <c r="AI995" i="1"/>
  <c r="AL13" i="1"/>
  <c r="AL39" i="1"/>
  <c r="AL66" i="1"/>
  <c r="AL86" i="1"/>
  <c r="AL110" i="1"/>
  <c r="AL133" i="1"/>
  <c r="AL151" i="1"/>
  <c r="AL174" i="1"/>
  <c r="AL197" i="1"/>
  <c r="AL215" i="1"/>
  <c r="AL238" i="1"/>
  <c r="AL262" i="1"/>
  <c r="AL280" i="1"/>
  <c r="AL299" i="1"/>
  <c r="AL312" i="1"/>
  <c r="AL326" i="1"/>
  <c r="AL338" i="1"/>
  <c r="AL351" i="1"/>
  <c r="AL363" i="1"/>
  <c r="AL376" i="1"/>
  <c r="AL390" i="1"/>
  <c r="AL402" i="1"/>
  <c r="AL415" i="1"/>
  <c r="AL427" i="1"/>
  <c r="AL440" i="1"/>
  <c r="AL454" i="1"/>
  <c r="AL466" i="1"/>
  <c r="AL475" i="1"/>
  <c r="AL483" i="1"/>
  <c r="AL491" i="1"/>
  <c r="AL499" i="1"/>
  <c r="AL507" i="1"/>
  <c r="AL515" i="1"/>
  <c r="AL523" i="1"/>
  <c r="AL531" i="1"/>
  <c r="AL539" i="1"/>
  <c r="AL547" i="1"/>
  <c r="AL555" i="1"/>
  <c r="AL563" i="1"/>
  <c r="AL571" i="1"/>
  <c r="AL579" i="1"/>
  <c r="AL587" i="1"/>
  <c r="AL595" i="1"/>
  <c r="AL603" i="1"/>
  <c r="AL611" i="1"/>
  <c r="AL619" i="1"/>
  <c r="AL627" i="1"/>
  <c r="AL635" i="1"/>
  <c r="AL643" i="1"/>
  <c r="AL651" i="1"/>
  <c r="AL659" i="1"/>
  <c r="AL667" i="1"/>
  <c r="AL675" i="1"/>
  <c r="AL683" i="1"/>
  <c r="AL691" i="1"/>
  <c r="AL699" i="1"/>
  <c r="AL707" i="1"/>
  <c r="AL715" i="1"/>
  <c r="AL723" i="1"/>
  <c r="AL731" i="1"/>
  <c r="AL739" i="1"/>
  <c r="AL747" i="1"/>
  <c r="AL755" i="1"/>
  <c r="AL763" i="1"/>
  <c r="AL771" i="1"/>
  <c r="AL779" i="1"/>
  <c r="AL787" i="1"/>
  <c r="AL795" i="1"/>
  <c r="AL803" i="1"/>
  <c r="AL811" i="1"/>
  <c r="AL819" i="1"/>
  <c r="AL827" i="1"/>
  <c r="AL835" i="1"/>
  <c r="AL843" i="1"/>
  <c r="AL851" i="1"/>
  <c r="AL859" i="1"/>
  <c r="AL867" i="1"/>
  <c r="AL875" i="1"/>
  <c r="AL883" i="1"/>
  <c r="AL891" i="1"/>
  <c r="AL899" i="1"/>
  <c r="AL907" i="1"/>
  <c r="AL915" i="1"/>
  <c r="AL923" i="1"/>
  <c r="AL931" i="1"/>
  <c r="AL939" i="1"/>
  <c r="AL947" i="1"/>
  <c r="AL955" i="1"/>
  <c r="AL963" i="1"/>
  <c r="AL971" i="1"/>
  <c r="AL979" i="1"/>
  <c r="AL987" i="1"/>
  <c r="AL995" i="1"/>
  <c r="AL1003" i="1"/>
  <c r="AK9" i="1"/>
  <c r="AK17" i="1"/>
  <c r="AK25" i="1"/>
  <c r="AK33" i="1"/>
  <c r="AK41" i="1"/>
  <c r="AK49" i="1"/>
  <c r="AK57" i="1"/>
  <c r="AK65" i="1"/>
  <c r="AK73" i="1"/>
  <c r="AK81" i="1"/>
  <c r="AK89" i="1"/>
  <c r="AM886" i="1"/>
  <c r="AI230" i="1"/>
  <c r="AI407" i="1"/>
  <c r="AI551" i="1"/>
  <c r="AI689" i="1"/>
  <c r="AI778" i="1"/>
  <c r="AI838" i="1"/>
  <c r="AI897" i="1"/>
  <c r="AI935" i="1"/>
  <c r="AI963" i="1"/>
  <c r="AI997" i="1"/>
  <c r="AL20" i="1"/>
  <c r="AL40" i="1"/>
  <c r="AL67" i="1"/>
  <c r="AL93" i="1"/>
  <c r="AL111" i="1"/>
  <c r="AL134" i="1"/>
  <c r="AL157" i="1"/>
  <c r="AL175" i="1"/>
  <c r="AL198" i="1"/>
  <c r="AL221" i="1"/>
  <c r="AL239" i="1"/>
  <c r="AL263" i="1"/>
  <c r="AL286" i="1"/>
  <c r="AL302" i="1"/>
  <c r="AL314" i="1"/>
  <c r="AL327" i="1"/>
  <c r="AL339" i="1"/>
  <c r="AL352" i="1"/>
  <c r="AL366" i="1"/>
  <c r="AL378" i="1"/>
  <c r="AL391" i="1"/>
  <c r="AL403" i="1"/>
  <c r="AL416" i="1"/>
  <c r="AL430" i="1"/>
  <c r="AL442" i="1"/>
  <c r="AL455" i="1"/>
  <c r="AL467" i="1"/>
  <c r="AL476" i="1"/>
  <c r="AL484" i="1"/>
  <c r="AL492" i="1"/>
  <c r="AL500" i="1"/>
  <c r="AL508" i="1"/>
  <c r="AL516" i="1"/>
  <c r="AL524" i="1"/>
  <c r="AI86" i="1"/>
  <c r="AI279" i="1"/>
  <c r="AI423" i="1"/>
  <c r="AI607" i="1"/>
  <c r="AI714" i="1"/>
  <c r="AI786" i="1"/>
  <c r="AI857" i="1"/>
  <c r="AI910" i="1"/>
  <c r="AI938" i="1"/>
  <c r="AI975" i="1"/>
  <c r="AL2" i="1"/>
  <c r="AL22" i="1"/>
  <c r="AL48" i="1"/>
  <c r="AL75" i="1"/>
  <c r="AL95" i="1"/>
  <c r="AL118" i="1"/>
  <c r="AL141" i="1"/>
  <c r="AL159" i="1"/>
  <c r="AL182" i="1"/>
  <c r="AL205" i="1"/>
  <c r="AL223" i="1"/>
  <c r="AL246" i="1"/>
  <c r="AL270" i="1"/>
  <c r="AL288" i="1"/>
  <c r="AL304" i="1"/>
  <c r="AL318" i="1"/>
  <c r="AL330" i="1"/>
  <c r="AL343" i="1"/>
  <c r="AL355" i="1"/>
  <c r="AL368" i="1"/>
  <c r="AL382" i="1"/>
  <c r="AL394" i="1"/>
  <c r="AL407" i="1"/>
  <c r="AL419" i="1"/>
  <c r="AL432" i="1"/>
  <c r="AL446" i="1"/>
  <c r="AL458" i="1"/>
  <c r="AL469" i="1"/>
  <c r="AL478" i="1"/>
  <c r="AL486" i="1"/>
  <c r="AL494" i="1"/>
  <c r="AL502" i="1"/>
  <c r="AL510" i="1"/>
  <c r="AL518" i="1"/>
  <c r="AL526" i="1"/>
  <c r="AL534" i="1"/>
  <c r="AL542" i="1"/>
  <c r="AL550" i="1"/>
  <c r="AL558" i="1"/>
  <c r="AL566" i="1"/>
  <c r="AL574" i="1"/>
  <c r="AL582" i="1"/>
  <c r="AL590" i="1"/>
  <c r="AL598" i="1"/>
  <c r="AL606" i="1"/>
  <c r="AL614" i="1"/>
  <c r="AL622" i="1"/>
  <c r="AL630" i="1"/>
  <c r="AL638" i="1"/>
  <c r="AL646" i="1"/>
  <c r="AL654" i="1"/>
  <c r="AL662" i="1"/>
  <c r="AL670" i="1"/>
  <c r="AL678" i="1"/>
  <c r="AL686" i="1"/>
  <c r="AL694" i="1"/>
  <c r="AL702" i="1"/>
  <c r="AL710" i="1"/>
  <c r="AL718" i="1"/>
  <c r="AL726" i="1"/>
  <c r="AL734" i="1"/>
  <c r="AL742" i="1"/>
  <c r="AL750" i="1"/>
  <c r="AL758" i="1"/>
  <c r="AL766" i="1"/>
  <c r="AL774" i="1"/>
  <c r="AL782" i="1"/>
  <c r="AL790" i="1"/>
  <c r="AL798" i="1"/>
  <c r="AL806" i="1"/>
  <c r="AL814" i="1"/>
  <c r="AL822" i="1"/>
  <c r="AL830" i="1"/>
  <c r="AL838" i="1"/>
  <c r="AL846" i="1"/>
  <c r="AI597" i="1"/>
  <c r="AI898" i="1"/>
  <c r="AL21" i="1"/>
  <c r="AL117" i="1"/>
  <c r="AL199" i="1"/>
  <c r="AL287" i="1"/>
  <c r="AL342" i="1"/>
  <c r="AL392" i="1"/>
  <c r="AL443" i="1"/>
  <c r="AL485" i="1"/>
  <c r="AL517" i="1"/>
  <c r="AL541" i="1"/>
  <c r="AL564" i="1"/>
  <c r="AL583" i="1"/>
  <c r="AL605" i="1"/>
  <c r="AL628" i="1"/>
  <c r="AL647" i="1"/>
  <c r="AL669" i="1"/>
  <c r="AL692" i="1"/>
  <c r="AL711" i="1"/>
  <c r="AL733" i="1"/>
  <c r="AL756" i="1"/>
  <c r="AL775" i="1"/>
  <c r="AL797" i="1"/>
  <c r="AL820" i="1"/>
  <c r="AL839" i="1"/>
  <c r="AL858" i="1"/>
  <c r="AL870" i="1"/>
  <c r="AL884" i="1"/>
  <c r="AL895" i="1"/>
  <c r="AL909" i="1"/>
  <c r="AL922" i="1"/>
  <c r="AL934" i="1"/>
  <c r="AL948" i="1"/>
  <c r="AL958" i="1"/>
  <c r="AL969" i="1"/>
  <c r="AL980" i="1"/>
  <c r="AL990" i="1"/>
  <c r="AL1001" i="1"/>
  <c r="AK10" i="1"/>
  <c r="AK20" i="1"/>
  <c r="AK31" i="1"/>
  <c r="AK42" i="1"/>
  <c r="AK52" i="1"/>
  <c r="AK63" i="1"/>
  <c r="AK74" i="1"/>
  <c r="AK84" i="1"/>
  <c r="AK93" i="1"/>
  <c r="AK101" i="1"/>
  <c r="AK109" i="1"/>
  <c r="AK117" i="1"/>
  <c r="AK125" i="1"/>
  <c r="AK133" i="1"/>
  <c r="AK141" i="1"/>
  <c r="AK149" i="1"/>
  <c r="AK157" i="1"/>
  <c r="AK165" i="1"/>
  <c r="AK173" i="1"/>
  <c r="AK181" i="1"/>
  <c r="AK189" i="1"/>
  <c r="AK197" i="1"/>
  <c r="AK205" i="1"/>
  <c r="AK213" i="1"/>
  <c r="AK221" i="1"/>
  <c r="AK229" i="1"/>
  <c r="AK237" i="1"/>
  <c r="AK245" i="1"/>
  <c r="AK253" i="1"/>
  <c r="AK261" i="1"/>
  <c r="AK269" i="1"/>
  <c r="AK277" i="1"/>
  <c r="AK285" i="1"/>
  <c r="AK293" i="1"/>
  <c r="AK301" i="1"/>
  <c r="AK309" i="1"/>
  <c r="AK317" i="1"/>
  <c r="AK325" i="1"/>
  <c r="AK333" i="1"/>
  <c r="AK341" i="1"/>
  <c r="AK349" i="1"/>
  <c r="AK357" i="1"/>
  <c r="AK365" i="1"/>
  <c r="AK373" i="1"/>
  <c r="AK381" i="1"/>
  <c r="AK389" i="1"/>
  <c r="AK397" i="1"/>
  <c r="AK405" i="1"/>
  <c r="AK413" i="1"/>
  <c r="AK421" i="1"/>
  <c r="AK429" i="1"/>
  <c r="AK437" i="1"/>
  <c r="AK445" i="1"/>
  <c r="AK453" i="1"/>
  <c r="AK461" i="1"/>
  <c r="AK469" i="1"/>
  <c r="AK477" i="1"/>
  <c r="AK485" i="1"/>
  <c r="AK493" i="1"/>
  <c r="AK501" i="1"/>
  <c r="AK509" i="1"/>
  <c r="AK517" i="1"/>
  <c r="AK525" i="1"/>
  <c r="AK533" i="1"/>
  <c r="AK541" i="1"/>
  <c r="AK549" i="1"/>
  <c r="AK557" i="1"/>
  <c r="AK565" i="1"/>
  <c r="AK573" i="1"/>
  <c r="AK581" i="1"/>
  <c r="AK589" i="1"/>
  <c r="AK597" i="1"/>
  <c r="AK605" i="1"/>
  <c r="AK613" i="1"/>
  <c r="AK621" i="1"/>
  <c r="AK629" i="1"/>
  <c r="AK637" i="1"/>
  <c r="AK645" i="1"/>
  <c r="AK653" i="1"/>
  <c r="AK661" i="1"/>
  <c r="AK669" i="1"/>
  <c r="AK677" i="1"/>
  <c r="AK685" i="1"/>
  <c r="AK693" i="1"/>
  <c r="AK701" i="1"/>
  <c r="AK709" i="1"/>
  <c r="AK717" i="1"/>
  <c r="AK725" i="1"/>
  <c r="AK733" i="1"/>
  <c r="AK741" i="1"/>
  <c r="AK749" i="1"/>
  <c r="AK757" i="1"/>
  <c r="AK765" i="1"/>
  <c r="AK773" i="1"/>
  <c r="AK781" i="1"/>
  <c r="AK789" i="1"/>
  <c r="AK797" i="1"/>
  <c r="AK805" i="1"/>
  <c r="AK813" i="1"/>
  <c r="AK821" i="1"/>
  <c r="AK829" i="1"/>
  <c r="AK837" i="1"/>
  <c r="AK845" i="1"/>
  <c r="AK853" i="1"/>
  <c r="AK861" i="1"/>
  <c r="AK869" i="1"/>
  <c r="AK877" i="1"/>
  <c r="AK885" i="1"/>
  <c r="AK893" i="1"/>
  <c r="AK901" i="1"/>
  <c r="AK909" i="1"/>
  <c r="AK917" i="1"/>
  <c r="AK925" i="1"/>
  <c r="AK933" i="1"/>
  <c r="AK941" i="1"/>
  <c r="AK949" i="1"/>
  <c r="AK957" i="1"/>
  <c r="AI611" i="1"/>
  <c r="AI911" i="1"/>
  <c r="AL29" i="1"/>
  <c r="AL119" i="1"/>
  <c r="AL206" i="1"/>
  <c r="AL294" i="1"/>
  <c r="AL344" i="1"/>
  <c r="AL395" i="1"/>
  <c r="AL447" i="1"/>
  <c r="AL487" i="1"/>
  <c r="AL519" i="1"/>
  <c r="AL543" i="1"/>
  <c r="AL565" i="1"/>
  <c r="AL588" i="1"/>
  <c r="AL607" i="1"/>
  <c r="AL629" i="1"/>
  <c r="AL652" i="1"/>
  <c r="AL671" i="1"/>
  <c r="AL693" i="1"/>
  <c r="AL716" i="1"/>
  <c r="AL735" i="1"/>
  <c r="AL757" i="1"/>
  <c r="AL780" i="1"/>
  <c r="AL799" i="1"/>
  <c r="AL821" i="1"/>
  <c r="AL844" i="1"/>
  <c r="AL860" i="1"/>
  <c r="AL871" i="1"/>
  <c r="AL885" i="1"/>
  <c r="AL898" i="1"/>
  <c r="AL910" i="1"/>
  <c r="AL924" i="1"/>
  <c r="AL935" i="1"/>
  <c r="AL949" i="1"/>
  <c r="AL959" i="1"/>
  <c r="AL970" i="1"/>
  <c r="AL981" i="1"/>
  <c r="AL991" i="1"/>
  <c r="AL1002" i="1"/>
  <c r="AK11" i="1"/>
  <c r="AK21" i="1"/>
  <c r="AK32" i="1"/>
  <c r="AK43" i="1"/>
  <c r="AK53" i="1"/>
  <c r="AK64" i="1"/>
  <c r="AK75" i="1"/>
  <c r="AK85" i="1"/>
  <c r="AK94" i="1"/>
  <c r="AK102" i="1"/>
  <c r="AK110" i="1"/>
  <c r="AK118" i="1"/>
  <c r="AK126" i="1"/>
  <c r="AK134" i="1"/>
  <c r="AK142" i="1"/>
  <c r="AK150" i="1"/>
  <c r="AK158" i="1"/>
  <c r="AK166" i="1"/>
  <c r="AK174" i="1"/>
  <c r="AK182" i="1"/>
  <c r="AK190" i="1"/>
  <c r="AK198" i="1"/>
  <c r="AK206" i="1"/>
  <c r="AK214" i="1"/>
  <c r="AK222" i="1"/>
  <c r="AK230" i="1"/>
  <c r="AK238" i="1"/>
  <c r="AK246" i="1"/>
  <c r="AK254" i="1"/>
  <c r="AK262" i="1"/>
  <c r="AK270" i="1"/>
  <c r="AK278" i="1"/>
  <c r="AK286" i="1"/>
  <c r="AK294" i="1"/>
  <c r="AK302" i="1"/>
  <c r="AK310" i="1"/>
  <c r="AK318" i="1"/>
  <c r="AK326" i="1"/>
  <c r="AK334" i="1"/>
  <c r="AK342" i="1"/>
  <c r="AK350" i="1"/>
  <c r="AK358" i="1"/>
  <c r="AK366" i="1"/>
  <c r="AK374" i="1"/>
  <c r="AK382" i="1"/>
  <c r="AK390" i="1"/>
  <c r="AK398" i="1"/>
  <c r="AK406" i="1"/>
  <c r="AK414" i="1"/>
  <c r="AK422" i="1"/>
  <c r="AK430" i="1"/>
  <c r="AK438" i="1"/>
  <c r="AK446" i="1"/>
  <c r="AK454" i="1"/>
  <c r="AK462" i="1"/>
  <c r="AK470" i="1"/>
  <c r="AK478" i="1"/>
  <c r="AK486" i="1"/>
  <c r="AK494" i="1"/>
  <c r="AK502" i="1"/>
  <c r="AK510" i="1"/>
  <c r="AK518" i="1"/>
  <c r="AK526" i="1"/>
  <c r="AK534" i="1"/>
  <c r="AK542" i="1"/>
  <c r="AK550" i="1"/>
  <c r="AK558" i="1"/>
  <c r="AK566" i="1"/>
  <c r="AK574" i="1"/>
  <c r="AK582" i="1"/>
  <c r="AK590" i="1"/>
  <c r="AK598" i="1"/>
  <c r="AK606" i="1"/>
  <c r="AK614" i="1"/>
  <c r="AK622" i="1"/>
  <c r="AK630" i="1"/>
  <c r="AK638" i="1"/>
  <c r="AK646" i="1"/>
  <c r="AK654" i="1"/>
  <c r="AK662" i="1"/>
  <c r="AK670" i="1"/>
  <c r="AK678" i="1"/>
  <c r="AK686" i="1"/>
  <c r="AK694" i="1"/>
  <c r="AK702" i="1"/>
  <c r="AK710" i="1"/>
  <c r="AK718" i="1"/>
  <c r="AK726" i="1"/>
  <c r="AK734" i="1"/>
  <c r="AK742" i="1"/>
  <c r="AK750" i="1"/>
  <c r="AK758" i="1"/>
  <c r="AK766" i="1"/>
  <c r="AK774" i="1"/>
  <c r="AK782" i="1"/>
  <c r="AK790" i="1"/>
  <c r="AK798" i="1"/>
  <c r="AK806" i="1"/>
  <c r="AK814" i="1"/>
  <c r="AK822" i="1"/>
  <c r="AK830" i="1"/>
  <c r="AK838" i="1"/>
  <c r="AK846" i="1"/>
  <c r="AK854" i="1"/>
  <c r="AK862" i="1"/>
  <c r="AK870" i="1"/>
  <c r="AK878" i="1"/>
  <c r="AK886" i="1"/>
  <c r="AK894" i="1"/>
  <c r="AK902" i="1"/>
  <c r="AK910" i="1"/>
  <c r="AK918" i="1"/>
  <c r="AK926" i="1"/>
  <c r="AK934" i="1"/>
  <c r="AK942" i="1"/>
  <c r="AK950" i="1"/>
  <c r="AK958" i="1"/>
  <c r="AK966" i="1"/>
  <c r="AK974" i="1"/>
  <c r="AK982" i="1"/>
  <c r="AK990" i="1"/>
  <c r="AK998" i="1"/>
  <c r="AJ4" i="1"/>
  <c r="AJ12" i="1"/>
  <c r="AJ20" i="1"/>
  <c r="AJ28" i="1"/>
  <c r="AJ36" i="1"/>
  <c r="AJ44" i="1"/>
  <c r="AJ52" i="1"/>
  <c r="AJ60" i="1"/>
  <c r="AJ68" i="1"/>
  <c r="AI63" i="1"/>
  <c r="AI690" i="1"/>
  <c r="AI937" i="1"/>
  <c r="AL47" i="1"/>
  <c r="AL135" i="1"/>
  <c r="AL222" i="1"/>
  <c r="AL303" i="1"/>
  <c r="AL354" i="1"/>
  <c r="AL406" i="1"/>
  <c r="AL456" i="1"/>
  <c r="AL493" i="1"/>
  <c r="AL525" i="1"/>
  <c r="AL548" i="1"/>
  <c r="AL567" i="1"/>
  <c r="AL589" i="1"/>
  <c r="AL612" i="1"/>
  <c r="AL631" i="1"/>
  <c r="AL653" i="1"/>
  <c r="AL676" i="1"/>
  <c r="AL695" i="1"/>
  <c r="AL717" i="1"/>
  <c r="AL740" i="1"/>
  <c r="AL759" i="1"/>
  <c r="AL781" i="1"/>
  <c r="AL804" i="1"/>
  <c r="AL823" i="1"/>
  <c r="AL845" i="1"/>
  <c r="AL861" i="1"/>
  <c r="AL874" i="1"/>
  <c r="AL886" i="1"/>
  <c r="AL900" i="1"/>
  <c r="AL911" i="1"/>
  <c r="AL925" i="1"/>
  <c r="AL938" i="1"/>
  <c r="AL950" i="1"/>
  <c r="AL961" i="1"/>
  <c r="AL972" i="1"/>
  <c r="AL982" i="1"/>
  <c r="AL993" i="1"/>
  <c r="AK2" i="1"/>
  <c r="AK12" i="1"/>
  <c r="AK23" i="1"/>
  <c r="AK34" i="1"/>
  <c r="AK44" i="1"/>
  <c r="AK55" i="1"/>
  <c r="AK66" i="1"/>
  <c r="AK76" i="1"/>
  <c r="AK86" i="1"/>
  <c r="AK95" i="1"/>
  <c r="AK103" i="1"/>
  <c r="AK111" i="1"/>
  <c r="AK119" i="1"/>
  <c r="AK127" i="1"/>
  <c r="AK135" i="1"/>
  <c r="AK143" i="1"/>
  <c r="AK151" i="1"/>
  <c r="AK159" i="1"/>
  <c r="AK167" i="1"/>
  <c r="AK175" i="1"/>
  <c r="AK183" i="1"/>
  <c r="AK191" i="1"/>
  <c r="AK199" i="1"/>
  <c r="AK207" i="1"/>
  <c r="AK215" i="1"/>
  <c r="AK223" i="1"/>
  <c r="AK231" i="1"/>
  <c r="AK239" i="1"/>
  <c r="AK247" i="1"/>
  <c r="AK255" i="1"/>
  <c r="AK263" i="1"/>
  <c r="AK271" i="1"/>
  <c r="AK279" i="1"/>
  <c r="AK287" i="1"/>
  <c r="AK295" i="1"/>
  <c r="AK303" i="1"/>
  <c r="AK311" i="1"/>
  <c r="AK319" i="1"/>
  <c r="AK327" i="1"/>
  <c r="AK335" i="1"/>
  <c r="AK343" i="1"/>
  <c r="AK351" i="1"/>
  <c r="AK359" i="1"/>
  <c r="AK367" i="1"/>
  <c r="AK375" i="1"/>
  <c r="AK383" i="1"/>
  <c r="AK391" i="1"/>
  <c r="AK399" i="1"/>
  <c r="AK407" i="1"/>
  <c r="AK415" i="1"/>
  <c r="AK423" i="1"/>
  <c r="AK431" i="1"/>
  <c r="AK439" i="1"/>
  <c r="AK447" i="1"/>
  <c r="AK455" i="1"/>
  <c r="AK463" i="1"/>
  <c r="AK471" i="1"/>
  <c r="AK479" i="1"/>
  <c r="AK487" i="1"/>
  <c r="AK495" i="1"/>
  <c r="AK503" i="1"/>
  <c r="AK511" i="1"/>
  <c r="AK519" i="1"/>
  <c r="AK527" i="1"/>
  <c r="AK535" i="1"/>
  <c r="AK543" i="1"/>
  <c r="AK551" i="1"/>
  <c r="AK559" i="1"/>
  <c r="AK567" i="1"/>
  <c r="AK575" i="1"/>
  <c r="AK583" i="1"/>
  <c r="AK591" i="1"/>
  <c r="AK599" i="1"/>
  <c r="AK607" i="1"/>
  <c r="AK615" i="1"/>
  <c r="AK623" i="1"/>
  <c r="AK631" i="1"/>
  <c r="AK639" i="1"/>
  <c r="AK647" i="1"/>
  <c r="AK655" i="1"/>
  <c r="AK663" i="1"/>
  <c r="AK671" i="1"/>
  <c r="AK679" i="1"/>
  <c r="AK687" i="1"/>
  <c r="AK695" i="1"/>
  <c r="AK703" i="1"/>
  <c r="AK711" i="1"/>
  <c r="AK719" i="1"/>
  <c r="AK727" i="1"/>
  <c r="AK735" i="1"/>
  <c r="AK743" i="1"/>
  <c r="AK751" i="1"/>
  <c r="AK759" i="1"/>
  <c r="AK767" i="1"/>
  <c r="AK775" i="1"/>
  <c r="AK783" i="1"/>
  <c r="AK791" i="1"/>
  <c r="AK799" i="1"/>
  <c r="AK807" i="1"/>
  <c r="AK815" i="1"/>
  <c r="AK823" i="1"/>
  <c r="AK831" i="1"/>
  <c r="AK839" i="1"/>
  <c r="AK847" i="1"/>
  <c r="AK855" i="1"/>
  <c r="AK863" i="1"/>
  <c r="AK871" i="1"/>
  <c r="AK879" i="1"/>
  <c r="AK887" i="1"/>
  <c r="AK895" i="1"/>
  <c r="AK903" i="1"/>
  <c r="AK911" i="1"/>
  <c r="AK919" i="1"/>
  <c r="AK927" i="1"/>
  <c r="AK935" i="1"/>
  <c r="AK943" i="1"/>
  <c r="AK951" i="1"/>
  <c r="AI87" i="1"/>
  <c r="AI721" i="1"/>
  <c r="AI947" i="1"/>
  <c r="AL50" i="1"/>
  <c r="AL142" i="1"/>
  <c r="AL229" i="1"/>
  <c r="AL306" i="1"/>
  <c r="AL358" i="1"/>
  <c r="AL408" i="1"/>
  <c r="AL459" i="1"/>
  <c r="AL495" i="1"/>
  <c r="AL527" i="1"/>
  <c r="AL549" i="1"/>
  <c r="AL572" i="1"/>
  <c r="AL591" i="1"/>
  <c r="AL613" i="1"/>
  <c r="AL636" i="1"/>
  <c r="AL655" i="1"/>
  <c r="AL677" i="1"/>
  <c r="AL700" i="1"/>
  <c r="AL719" i="1"/>
  <c r="AL741" i="1"/>
  <c r="AL764" i="1"/>
  <c r="AL783" i="1"/>
  <c r="AL805" i="1"/>
  <c r="AL828" i="1"/>
  <c r="AL847" i="1"/>
  <c r="AL862" i="1"/>
  <c r="AL876" i="1"/>
  <c r="AL887" i="1"/>
  <c r="AL901" i="1"/>
  <c r="AL914" i="1"/>
  <c r="AL926" i="1"/>
  <c r="AL940" i="1"/>
  <c r="AL951" i="1"/>
  <c r="AL962" i="1"/>
  <c r="AL973" i="1"/>
  <c r="AL983" i="1"/>
  <c r="AL994" i="1"/>
  <c r="AK3" i="1"/>
  <c r="AK13" i="1"/>
  <c r="AK24" i="1"/>
  <c r="AK35" i="1"/>
  <c r="AK45" i="1"/>
  <c r="AK56" i="1"/>
  <c r="AK67" i="1"/>
  <c r="AK77" i="1"/>
  <c r="AK87" i="1"/>
  <c r="AK96" i="1"/>
  <c r="AK104" i="1"/>
  <c r="AK112" i="1"/>
  <c r="AK120" i="1"/>
  <c r="AI231" i="1"/>
  <c r="AI785" i="1"/>
  <c r="AI974" i="1"/>
  <c r="AL68" i="1"/>
  <c r="AL158" i="1"/>
  <c r="AL245" i="1"/>
  <c r="AL315" i="1"/>
  <c r="AL367" i="1"/>
  <c r="AL418" i="1"/>
  <c r="AL468" i="1"/>
  <c r="AL501" i="1"/>
  <c r="AL532" i="1"/>
  <c r="AL551" i="1"/>
  <c r="AL573" i="1"/>
  <c r="AL596" i="1"/>
  <c r="AL615" i="1"/>
  <c r="AL637" i="1"/>
  <c r="AL660" i="1"/>
  <c r="AL679" i="1"/>
  <c r="AL701" i="1"/>
  <c r="AL724" i="1"/>
  <c r="AL743" i="1"/>
  <c r="AL765" i="1"/>
  <c r="AL788" i="1"/>
  <c r="AL807" i="1"/>
  <c r="AL829" i="1"/>
  <c r="AL852" i="1"/>
  <c r="AL863" i="1"/>
  <c r="AL877" i="1"/>
  <c r="AL890" i="1"/>
  <c r="AL902" i="1"/>
  <c r="AL916" i="1"/>
  <c r="AL927" i="1"/>
  <c r="AL941" i="1"/>
  <c r="AL953" i="1"/>
  <c r="AL964" i="1"/>
  <c r="AL974" i="1"/>
  <c r="AL985" i="1"/>
  <c r="AL996" i="1"/>
  <c r="AK4" i="1"/>
  <c r="AK15" i="1"/>
  <c r="AK26" i="1"/>
  <c r="AK36" i="1"/>
  <c r="AK47" i="1"/>
  <c r="AK58" i="1"/>
  <c r="AK68" i="1"/>
  <c r="AK79" i="1"/>
  <c r="AK88" i="1"/>
  <c r="AK97" i="1"/>
  <c r="AK105" i="1"/>
  <c r="AK113" i="1"/>
  <c r="AK121" i="1"/>
  <c r="AK129" i="1"/>
  <c r="AK137" i="1"/>
  <c r="AK145" i="1"/>
  <c r="AK153" i="1"/>
  <c r="AK161" i="1"/>
  <c r="AK169" i="1"/>
  <c r="AK177" i="1"/>
  <c r="AK185" i="1"/>
  <c r="AK193" i="1"/>
  <c r="AK201" i="1"/>
  <c r="AK209" i="1"/>
  <c r="AK217" i="1"/>
  <c r="AK225" i="1"/>
  <c r="AK233" i="1"/>
  <c r="AK241" i="1"/>
  <c r="AK249" i="1"/>
  <c r="AK257" i="1"/>
  <c r="AK265" i="1"/>
  <c r="AK273" i="1"/>
  <c r="AK281" i="1"/>
  <c r="AK289" i="1"/>
  <c r="AK297" i="1"/>
  <c r="AK305" i="1"/>
  <c r="AK313" i="1"/>
  <c r="AK321" i="1"/>
  <c r="AK329" i="1"/>
  <c r="AK337" i="1"/>
  <c r="AK345" i="1"/>
  <c r="AK353" i="1"/>
  <c r="AK361" i="1"/>
  <c r="AK369" i="1"/>
  <c r="AK377" i="1"/>
  <c r="AK385" i="1"/>
  <c r="AK393" i="1"/>
  <c r="AK401" i="1"/>
  <c r="AK409" i="1"/>
  <c r="AK417" i="1"/>
  <c r="AK425" i="1"/>
  <c r="AK433" i="1"/>
  <c r="AK441" i="1"/>
  <c r="AK449" i="1"/>
  <c r="AK457" i="1"/>
  <c r="AK465" i="1"/>
  <c r="AK473" i="1"/>
  <c r="AK481" i="1"/>
  <c r="AK489" i="1"/>
  <c r="AK497" i="1"/>
  <c r="AK505" i="1"/>
  <c r="AK513" i="1"/>
  <c r="AK521" i="1"/>
  <c r="AK529" i="1"/>
  <c r="AK537" i="1"/>
  <c r="AK545" i="1"/>
  <c r="AK553" i="1"/>
  <c r="AK561" i="1"/>
  <c r="AK569" i="1"/>
  <c r="AK577" i="1"/>
  <c r="AK585" i="1"/>
  <c r="AK593" i="1"/>
  <c r="AK601" i="1"/>
  <c r="AK609" i="1"/>
  <c r="AK617" i="1"/>
  <c r="AK625" i="1"/>
  <c r="AK633" i="1"/>
  <c r="AK641" i="1"/>
  <c r="AK649" i="1"/>
  <c r="AK657" i="1"/>
  <c r="AK665" i="1"/>
  <c r="AK673" i="1"/>
  <c r="AK681" i="1"/>
  <c r="AK689" i="1"/>
  <c r="AK697" i="1"/>
  <c r="AK705" i="1"/>
  <c r="AK713" i="1"/>
  <c r="AK721" i="1"/>
  <c r="AK729" i="1"/>
  <c r="AK737" i="1"/>
  <c r="AK745" i="1"/>
  <c r="AK753" i="1"/>
  <c r="AK761" i="1"/>
  <c r="AK769" i="1"/>
  <c r="AI294" i="1"/>
  <c r="AI810" i="1"/>
  <c r="AI977" i="1"/>
  <c r="AL76" i="1"/>
  <c r="AL165" i="1"/>
  <c r="AL247" i="1"/>
  <c r="AL319" i="1"/>
  <c r="AL370" i="1"/>
  <c r="AL422" i="1"/>
  <c r="AL470" i="1"/>
  <c r="AL503" i="1"/>
  <c r="AL533" i="1"/>
  <c r="AL556" i="1"/>
  <c r="AL575" i="1"/>
  <c r="AL597" i="1"/>
  <c r="AL620" i="1"/>
  <c r="AL639" i="1"/>
  <c r="AL661" i="1"/>
  <c r="AL684" i="1"/>
  <c r="AL703" i="1"/>
  <c r="AL725" i="1"/>
  <c r="AL748" i="1"/>
  <c r="AL767" i="1"/>
  <c r="AL789" i="1"/>
  <c r="AL812" i="1"/>
  <c r="AL831" i="1"/>
  <c r="AL853" i="1"/>
  <c r="AL866" i="1"/>
  <c r="AL878" i="1"/>
  <c r="AL892" i="1"/>
  <c r="AL903" i="1"/>
  <c r="AL917" i="1"/>
  <c r="AL930" i="1"/>
  <c r="AL942" i="1"/>
  <c r="AL954" i="1"/>
  <c r="AL965" i="1"/>
  <c r="AL975" i="1"/>
  <c r="AL986" i="1"/>
  <c r="AL997" i="1"/>
  <c r="AK5" i="1"/>
  <c r="AK16" i="1"/>
  <c r="AK27" i="1"/>
  <c r="AK37" i="1"/>
  <c r="AK48" i="1"/>
  <c r="AK59" i="1"/>
  <c r="AK69" i="1"/>
  <c r="AK80" i="1"/>
  <c r="AK90" i="1"/>
  <c r="AK98" i="1"/>
  <c r="AK106" i="1"/>
  <c r="AK114" i="1"/>
  <c r="AK122" i="1"/>
  <c r="AK130" i="1"/>
  <c r="AK138" i="1"/>
  <c r="AK146" i="1"/>
  <c r="AK154" i="1"/>
  <c r="AK162" i="1"/>
  <c r="AK170" i="1"/>
  <c r="AK178" i="1"/>
  <c r="AK186" i="1"/>
  <c r="AK194" i="1"/>
  <c r="AK202" i="1"/>
  <c r="AK210" i="1"/>
  <c r="AK218" i="1"/>
  <c r="AK226" i="1"/>
  <c r="AK234" i="1"/>
  <c r="AK242" i="1"/>
  <c r="AK250" i="1"/>
  <c r="AK258" i="1"/>
  <c r="AK266" i="1"/>
  <c r="AK274" i="1"/>
  <c r="AK282" i="1"/>
  <c r="AK290" i="1"/>
  <c r="AK298" i="1"/>
  <c r="AK306" i="1"/>
  <c r="AK314" i="1"/>
  <c r="AK322" i="1"/>
  <c r="AK330" i="1"/>
  <c r="AK338" i="1"/>
  <c r="AK346" i="1"/>
  <c r="AK354" i="1"/>
  <c r="AK362" i="1"/>
  <c r="AK370" i="1"/>
  <c r="AK378" i="1"/>
  <c r="AK386" i="1"/>
  <c r="AK394" i="1"/>
  <c r="AK402" i="1"/>
  <c r="AK410" i="1"/>
  <c r="AK418" i="1"/>
  <c r="AK426" i="1"/>
  <c r="AK434" i="1"/>
  <c r="AK442" i="1"/>
  <c r="AK450" i="1"/>
  <c r="AK458" i="1"/>
  <c r="AK466" i="1"/>
  <c r="AK474" i="1"/>
  <c r="AK482" i="1"/>
  <c r="AK490" i="1"/>
  <c r="AK498" i="1"/>
  <c r="AK506" i="1"/>
  <c r="AK514" i="1"/>
  <c r="AK522" i="1"/>
  <c r="AK530" i="1"/>
  <c r="AK538" i="1"/>
  <c r="AK546" i="1"/>
  <c r="AK554" i="1"/>
  <c r="AK562" i="1"/>
  <c r="AK570" i="1"/>
  <c r="AK578" i="1"/>
  <c r="AK586" i="1"/>
  <c r="AK594" i="1"/>
  <c r="AK602" i="1"/>
  <c r="AK610" i="1"/>
  <c r="AK618" i="1"/>
  <c r="AK626" i="1"/>
  <c r="AK634" i="1"/>
  <c r="AK642" i="1"/>
  <c r="AK650" i="1"/>
  <c r="AK658" i="1"/>
  <c r="AK666" i="1"/>
  <c r="AK674" i="1"/>
  <c r="AK682" i="1"/>
  <c r="AK690" i="1"/>
  <c r="AK698" i="1"/>
  <c r="AK706" i="1"/>
  <c r="AK714" i="1"/>
  <c r="AK722" i="1"/>
  <c r="AK730" i="1"/>
  <c r="AK738" i="1"/>
  <c r="AK746" i="1"/>
  <c r="AK754" i="1"/>
  <c r="AK762" i="1"/>
  <c r="AK770" i="1"/>
  <c r="AK778" i="1"/>
  <c r="AK786" i="1"/>
  <c r="AK794" i="1"/>
  <c r="AK802" i="1"/>
  <c r="AK810" i="1"/>
  <c r="AK818" i="1"/>
  <c r="AK826" i="1"/>
  <c r="AL94" i="1"/>
  <c r="AL379" i="1"/>
  <c r="AL535" i="1"/>
  <c r="AL621" i="1"/>
  <c r="AL708" i="1"/>
  <c r="AL791" i="1"/>
  <c r="AL868" i="1"/>
  <c r="AL918" i="1"/>
  <c r="AL966" i="1"/>
  <c r="AK7" i="1"/>
  <c r="AK50" i="1"/>
  <c r="AK91" i="1"/>
  <c r="AK123" i="1"/>
  <c r="AK144" i="1"/>
  <c r="AK164" i="1"/>
  <c r="AK187" i="1"/>
  <c r="AK208" i="1"/>
  <c r="AK228" i="1"/>
  <c r="AK251" i="1"/>
  <c r="AK272" i="1"/>
  <c r="AK292" i="1"/>
  <c r="AK315" i="1"/>
  <c r="AK336" i="1"/>
  <c r="AK356" i="1"/>
  <c r="AK379" i="1"/>
  <c r="AK400" i="1"/>
  <c r="AK420" i="1"/>
  <c r="AK443" i="1"/>
  <c r="AK464" i="1"/>
  <c r="AK484" i="1"/>
  <c r="AK507" i="1"/>
  <c r="AK528" i="1"/>
  <c r="AK548" i="1"/>
  <c r="AK571" i="1"/>
  <c r="AK592" i="1"/>
  <c r="AK612" i="1"/>
  <c r="AK635" i="1"/>
  <c r="AK656" i="1"/>
  <c r="AK676" i="1"/>
  <c r="AK699" i="1"/>
  <c r="AK720" i="1"/>
  <c r="AK740" i="1"/>
  <c r="AK763" i="1"/>
  <c r="AK780" i="1"/>
  <c r="AK796" i="1"/>
  <c r="AK812" i="1"/>
  <c r="AK828" i="1"/>
  <c r="AK842" i="1"/>
  <c r="AK856" i="1"/>
  <c r="AK867" i="1"/>
  <c r="AK881" i="1"/>
  <c r="AK892" i="1"/>
  <c r="AK906" i="1"/>
  <c r="AK920" i="1"/>
  <c r="AK931" i="1"/>
  <c r="AK945" i="1"/>
  <c r="AK956" i="1"/>
  <c r="AK967" i="1"/>
  <c r="AK976" i="1"/>
  <c r="AK985" i="1"/>
  <c r="AK994" i="1"/>
  <c r="AK1003" i="1"/>
  <c r="AJ10" i="1"/>
  <c r="AJ19" i="1"/>
  <c r="AJ29" i="1"/>
  <c r="AJ38" i="1"/>
  <c r="AJ47" i="1"/>
  <c r="AJ56" i="1"/>
  <c r="AJ65" i="1"/>
  <c r="AJ74" i="1"/>
  <c r="AJ82" i="1"/>
  <c r="AJ90" i="1"/>
  <c r="AJ98" i="1"/>
  <c r="AJ106" i="1"/>
  <c r="AJ114" i="1"/>
  <c r="AJ122" i="1"/>
  <c r="AJ130" i="1"/>
  <c r="AJ138" i="1"/>
  <c r="AJ146" i="1"/>
  <c r="AJ154" i="1"/>
  <c r="AJ162" i="1"/>
  <c r="AJ170" i="1"/>
  <c r="AJ178" i="1"/>
  <c r="AJ186" i="1"/>
  <c r="AJ194" i="1"/>
  <c r="AJ202" i="1"/>
  <c r="AJ210" i="1"/>
  <c r="AJ218" i="1"/>
  <c r="AJ226" i="1"/>
  <c r="AJ234" i="1"/>
  <c r="AJ242" i="1"/>
  <c r="AJ250" i="1"/>
  <c r="AJ258" i="1"/>
  <c r="AJ266" i="1"/>
  <c r="AJ274" i="1"/>
  <c r="AJ282" i="1"/>
  <c r="AJ290" i="1"/>
  <c r="AJ298" i="1"/>
  <c r="AJ306" i="1"/>
  <c r="AJ314" i="1"/>
  <c r="AJ322" i="1"/>
  <c r="AJ330" i="1"/>
  <c r="AJ338" i="1"/>
  <c r="AJ346" i="1"/>
  <c r="AJ354" i="1"/>
  <c r="AJ362" i="1"/>
  <c r="AJ370" i="1"/>
  <c r="AJ378" i="1"/>
  <c r="AJ386" i="1"/>
  <c r="AJ394" i="1"/>
  <c r="AJ402" i="1"/>
  <c r="AJ410" i="1"/>
  <c r="AJ418" i="1"/>
  <c r="AJ426" i="1"/>
  <c r="AJ434" i="1"/>
  <c r="AJ442" i="1"/>
  <c r="AJ450" i="1"/>
  <c r="AJ458" i="1"/>
  <c r="AJ466" i="1"/>
  <c r="AJ474" i="1"/>
  <c r="AJ482" i="1"/>
  <c r="AJ490" i="1"/>
  <c r="AJ498" i="1"/>
  <c r="AJ506" i="1"/>
  <c r="AJ514" i="1"/>
  <c r="AL101" i="1"/>
  <c r="AL383" i="1"/>
  <c r="AL540" i="1"/>
  <c r="AL623" i="1"/>
  <c r="AL709" i="1"/>
  <c r="AL796" i="1"/>
  <c r="AL869" i="1"/>
  <c r="AL919" i="1"/>
  <c r="AL967" i="1"/>
  <c r="AK8" i="1"/>
  <c r="AK51" i="1"/>
  <c r="AK92" i="1"/>
  <c r="AK124" i="1"/>
  <c r="AK147" i="1"/>
  <c r="AK168" i="1"/>
  <c r="AK188" i="1"/>
  <c r="AK211" i="1"/>
  <c r="AK232" i="1"/>
  <c r="AK252" i="1"/>
  <c r="AK275" i="1"/>
  <c r="AK296" i="1"/>
  <c r="AK316" i="1"/>
  <c r="AK339" i="1"/>
  <c r="AK360" i="1"/>
  <c r="AK380" i="1"/>
  <c r="AK403" i="1"/>
  <c r="AK424" i="1"/>
  <c r="AK444" i="1"/>
  <c r="AK467" i="1"/>
  <c r="AK488" i="1"/>
  <c r="AK508" i="1"/>
  <c r="AK531" i="1"/>
  <c r="AK552" i="1"/>
  <c r="AK572" i="1"/>
  <c r="AK595" i="1"/>
  <c r="AK616" i="1"/>
  <c r="AK636" i="1"/>
  <c r="AK659" i="1"/>
  <c r="AK680" i="1"/>
  <c r="AK700" i="1"/>
  <c r="AK723" i="1"/>
  <c r="AK744" i="1"/>
  <c r="AK764" i="1"/>
  <c r="AK784" i="1"/>
  <c r="AK800" i="1"/>
  <c r="AK816" i="1"/>
  <c r="AK832" i="1"/>
  <c r="AK843" i="1"/>
  <c r="AK857" i="1"/>
  <c r="AK868" i="1"/>
  <c r="AK882" i="1"/>
  <c r="AK896" i="1"/>
  <c r="AK907" i="1"/>
  <c r="AK921" i="1"/>
  <c r="AK932" i="1"/>
  <c r="AK946" i="1"/>
  <c r="AK959" i="1"/>
  <c r="AK968" i="1"/>
  <c r="AK977" i="1"/>
  <c r="AK986" i="1"/>
  <c r="AK995" i="1"/>
  <c r="AJ2" i="1"/>
  <c r="AJ11" i="1"/>
  <c r="AJ21" i="1"/>
  <c r="AJ30" i="1"/>
  <c r="AJ39" i="1"/>
  <c r="AJ48" i="1"/>
  <c r="AJ57" i="1"/>
  <c r="AJ66" i="1"/>
  <c r="AJ75" i="1"/>
  <c r="AJ83" i="1"/>
  <c r="AJ91" i="1"/>
  <c r="AJ99" i="1"/>
  <c r="AJ107" i="1"/>
  <c r="AJ115" i="1"/>
  <c r="AJ123" i="1"/>
  <c r="AJ131" i="1"/>
  <c r="AJ139" i="1"/>
  <c r="AJ147" i="1"/>
  <c r="AJ155" i="1"/>
  <c r="AJ163" i="1"/>
  <c r="AJ171" i="1"/>
  <c r="AJ179" i="1"/>
  <c r="AJ187" i="1"/>
  <c r="AJ195" i="1"/>
  <c r="AJ203" i="1"/>
  <c r="AJ211" i="1"/>
  <c r="AJ219" i="1"/>
  <c r="AJ227" i="1"/>
  <c r="AJ235" i="1"/>
  <c r="AJ243" i="1"/>
  <c r="AJ251" i="1"/>
  <c r="AJ259" i="1"/>
  <c r="AJ267" i="1"/>
  <c r="AJ275" i="1"/>
  <c r="AJ283" i="1"/>
  <c r="AJ291" i="1"/>
  <c r="AJ299" i="1"/>
  <c r="AJ307" i="1"/>
  <c r="AJ315" i="1"/>
  <c r="AJ323" i="1"/>
  <c r="AJ331" i="1"/>
  <c r="AJ339" i="1"/>
  <c r="AJ347" i="1"/>
  <c r="AJ355" i="1"/>
  <c r="AJ363" i="1"/>
  <c r="AJ371" i="1"/>
  <c r="AJ379" i="1"/>
  <c r="AJ387" i="1"/>
  <c r="AJ395" i="1"/>
  <c r="AJ403" i="1"/>
  <c r="AJ411" i="1"/>
  <c r="AJ419" i="1"/>
  <c r="AJ427" i="1"/>
  <c r="AJ435" i="1"/>
  <c r="AJ443" i="1"/>
  <c r="AJ451" i="1"/>
  <c r="AJ459" i="1"/>
  <c r="AJ467" i="1"/>
  <c r="AJ475" i="1"/>
  <c r="AJ483" i="1"/>
  <c r="AJ491" i="1"/>
  <c r="AJ499" i="1"/>
  <c r="AJ507" i="1"/>
  <c r="AJ515" i="1"/>
  <c r="AJ523" i="1"/>
  <c r="AJ531" i="1"/>
  <c r="AJ539" i="1"/>
  <c r="AJ547" i="1"/>
  <c r="AJ555" i="1"/>
  <c r="AJ563" i="1"/>
  <c r="AJ571" i="1"/>
  <c r="AJ579" i="1"/>
  <c r="AJ587" i="1"/>
  <c r="AJ595" i="1"/>
  <c r="AJ603" i="1"/>
  <c r="AJ611" i="1"/>
  <c r="AJ619" i="1"/>
  <c r="AJ627" i="1"/>
  <c r="AJ635" i="1"/>
  <c r="AJ643" i="1"/>
  <c r="AJ651" i="1"/>
  <c r="AJ659" i="1"/>
  <c r="AJ667" i="1"/>
  <c r="AJ675" i="1"/>
  <c r="AJ683" i="1"/>
  <c r="AJ691" i="1"/>
  <c r="AJ699" i="1"/>
  <c r="AI422" i="1"/>
  <c r="AL181" i="1"/>
  <c r="AL431" i="1"/>
  <c r="AL557" i="1"/>
  <c r="AL644" i="1"/>
  <c r="AL727" i="1"/>
  <c r="AL813" i="1"/>
  <c r="AL879" i="1"/>
  <c r="AL932" i="1"/>
  <c r="AL977" i="1"/>
  <c r="AK18" i="1"/>
  <c r="AK60" i="1"/>
  <c r="AK99" i="1"/>
  <c r="AK128" i="1"/>
  <c r="AK148" i="1"/>
  <c r="AK171" i="1"/>
  <c r="AK192" i="1"/>
  <c r="AK212" i="1"/>
  <c r="AK235" i="1"/>
  <c r="AK256" i="1"/>
  <c r="AK276" i="1"/>
  <c r="AK299" i="1"/>
  <c r="AK320" i="1"/>
  <c r="AK340" i="1"/>
  <c r="AK363" i="1"/>
  <c r="AK384" i="1"/>
  <c r="AK404" i="1"/>
  <c r="AK427" i="1"/>
  <c r="AK448" i="1"/>
  <c r="AK468" i="1"/>
  <c r="AK491" i="1"/>
  <c r="AK512" i="1"/>
  <c r="AK532" i="1"/>
  <c r="AK555" i="1"/>
  <c r="AK576" i="1"/>
  <c r="AK596" i="1"/>
  <c r="AK619" i="1"/>
  <c r="AK640" i="1"/>
  <c r="AK660" i="1"/>
  <c r="AK683" i="1"/>
  <c r="AK704" i="1"/>
  <c r="AK724" i="1"/>
  <c r="AK747" i="1"/>
  <c r="AK768" i="1"/>
  <c r="AK785" i="1"/>
  <c r="AK801" i="1"/>
  <c r="AK817" i="1"/>
  <c r="AK833" i="1"/>
  <c r="AK844" i="1"/>
  <c r="AK858" i="1"/>
  <c r="AK872" i="1"/>
  <c r="AK883" i="1"/>
  <c r="AK897" i="1"/>
  <c r="AK908" i="1"/>
  <c r="AK922" i="1"/>
  <c r="AK936" i="1"/>
  <c r="AK947" i="1"/>
  <c r="AK960" i="1"/>
  <c r="AK969" i="1"/>
  <c r="AK978" i="1"/>
  <c r="AK987" i="1"/>
  <c r="AK996" i="1"/>
  <c r="AJ3" i="1"/>
  <c r="AJ13" i="1"/>
  <c r="AJ22" i="1"/>
  <c r="AJ31" i="1"/>
  <c r="AJ40" i="1"/>
  <c r="AJ49" i="1"/>
  <c r="AJ58" i="1"/>
  <c r="AJ67" i="1"/>
  <c r="AJ76" i="1"/>
  <c r="AJ84" i="1"/>
  <c r="AJ92" i="1"/>
  <c r="AJ100" i="1"/>
  <c r="AJ108" i="1"/>
  <c r="AJ116" i="1"/>
  <c r="AJ124" i="1"/>
  <c r="AJ132" i="1"/>
  <c r="AJ140" i="1"/>
  <c r="AJ148" i="1"/>
  <c r="AJ156" i="1"/>
  <c r="AJ164" i="1"/>
  <c r="AJ172" i="1"/>
  <c r="AJ180" i="1"/>
  <c r="AJ188" i="1"/>
  <c r="AJ196" i="1"/>
  <c r="AJ204" i="1"/>
  <c r="AJ212" i="1"/>
  <c r="AJ220" i="1"/>
  <c r="AJ228" i="1"/>
  <c r="AJ236" i="1"/>
  <c r="AJ244" i="1"/>
  <c r="AJ252" i="1"/>
  <c r="AJ260" i="1"/>
  <c r="AJ268" i="1"/>
  <c r="AJ276" i="1"/>
  <c r="AJ284" i="1"/>
  <c r="AJ292" i="1"/>
  <c r="AJ300" i="1"/>
  <c r="AJ308" i="1"/>
  <c r="AJ316" i="1"/>
  <c r="AJ324" i="1"/>
  <c r="AJ332" i="1"/>
  <c r="AJ340" i="1"/>
  <c r="AJ348" i="1"/>
  <c r="AJ356" i="1"/>
  <c r="AJ364" i="1"/>
  <c r="AJ372" i="1"/>
  <c r="AJ380" i="1"/>
  <c r="AJ388" i="1"/>
  <c r="AJ396" i="1"/>
  <c r="AJ404" i="1"/>
  <c r="AJ412" i="1"/>
  <c r="AJ420" i="1"/>
  <c r="AJ428" i="1"/>
  <c r="AJ436" i="1"/>
  <c r="AJ444" i="1"/>
  <c r="AJ452" i="1"/>
  <c r="AJ460" i="1"/>
  <c r="AJ468" i="1"/>
  <c r="AJ476" i="1"/>
  <c r="AJ484" i="1"/>
  <c r="AJ492" i="1"/>
  <c r="AJ500" i="1"/>
  <c r="AJ508" i="1"/>
  <c r="AJ516" i="1"/>
  <c r="AJ524" i="1"/>
  <c r="AJ532" i="1"/>
  <c r="AJ540" i="1"/>
  <c r="AJ548" i="1"/>
  <c r="AJ556" i="1"/>
  <c r="AJ564" i="1"/>
  <c r="AJ572" i="1"/>
  <c r="AJ580" i="1"/>
  <c r="AJ588" i="1"/>
  <c r="AJ596" i="1"/>
  <c r="AJ604" i="1"/>
  <c r="AJ612" i="1"/>
  <c r="AJ620" i="1"/>
  <c r="AJ628" i="1"/>
  <c r="AJ636" i="1"/>
  <c r="AJ644" i="1"/>
  <c r="AJ652" i="1"/>
  <c r="AJ660" i="1"/>
  <c r="AJ668" i="1"/>
  <c r="AJ676" i="1"/>
  <c r="AI471" i="1"/>
  <c r="AL183" i="1"/>
  <c r="AL434" i="1"/>
  <c r="AL559" i="1"/>
  <c r="AL645" i="1"/>
  <c r="AL732" i="1"/>
  <c r="AL815" i="1"/>
  <c r="AL882" i="1"/>
  <c r="AL933" i="1"/>
  <c r="AL978" i="1"/>
  <c r="AK19" i="1"/>
  <c r="AK61" i="1"/>
  <c r="AK100" i="1"/>
  <c r="AK131" i="1"/>
  <c r="AK152" i="1"/>
  <c r="AK172" i="1"/>
  <c r="AK195" i="1"/>
  <c r="AK216" i="1"/>
  <c r="AK236" i="1"/>
  <c r="AK259" i="1"/>
  <c r="AK280" i="1"/>
  <c r="AK300" i="1"/>
  <c r="AK323" i="1"/>
  <c r="AK344" i="1"/>
  <c r="AK364" i="1"/>
  <c r="AK387" i="1"/>
  <c r="AK408" i="1"/>
  <c r="AK428" i="1"/>
  <c r="AK451" i="1"/>
  <c r="AK472" i="1"/>
  <c r="AK492" i="1"/>
  <c r="AK515" i="1"/>
  <c r="AK536" i="1"/>
  <c r="AK556" i="1"/>
  <c r="AK579" i="1"/>
  <c r="AK600" i="1"/>
  <c r="AK620" i="1"/>
  <c r="AK643" i="1"/>
  <c r="AK664" i="1"/>
  <c r="AK684" i="1"/>
  <c r="AK707" i="1"/>
  <c r="AK728" i="1"/>
  <c r="AK748" i="1"/>
  <c r="AK771" i="1"/>
  <c r="AK787" i="1"/>
  <c r="AK803" i="1"/>
  <c r="AK819" i="1"/>
  <c r="AK834" i="1"/>
  <c r="AK848" i="1"/>
  <c r="AK859" i="1"/>
  <c r="AK873" i="1"/>
  <c r="AK884" i="1"/>
  <c r="AK898" i="1"/>
  <c r="AK912" i="1"/>
  <c r="AK923" i="1"/>
  <c r="AK937" i="1"/>
  <c r="AK948" i="1"/>
  <c r="AK961" i="1"/>
  <c r="AK970" i="1"/>
  <c r="AK979" i="1"/>
  <c r="AK988" i="1"/>
  <c r="AK997" i="1"/>
  <c r="AJ5" i="1"/>
  <c r="AJ14" i="1"/>
  <c r="AJ23" i="1"/>
  <c r="AJ32" i="1"/>
  <c r="AJ41" i="1"/>
  <c r="AJ50" i="1"/>
  <c r="AJ59" i="1"/>
  <c r="AJ69" i="1"/>
  <c r="AJ77" i="1"/>
  <c r="AJ85" i="1"/>
  <c r="AJ93" i="1"/>
  <c r="AJ101" i="1"/>
  <c r="AJ109" i="1"/>
  <c r="AJ117" i="1"/>
  <c r="AJ125" i="1"/>
  <c r="AJ133" i="1"/>
  <c r="AJ141" i="1"/>
  <c r="AJ149" i="1"/>
  <c r="AJ157" i="1"/>
  <c r="AJ165" i="1"/>
  <c r="AJ173" i="1"/>
  <c r="AJ181" i="1"/>
  <c r="AJ189" i="1"/>
  <c r="AJ197" i="1"/>
  <c r="AJ205" i="1"/>
  <c r="AJ213" i="1"/>
  <c r="AJ221" i="1"/>
  <c r="AJ229" i="1"/>
  <c r="AJ237" i="1"/>
  <c r="AJ245" i="1"/>
  <c r="AJ253" i="1"/>
  <c r="AJ261" i="1"/>
  <c r="AJ269" i="1"/>
  <c r="AJ277" i="1"/>
  <c r="AJ285" i="1"/>
  <c r="AJ293" i="1"/>
  <c r="AJ301" i="1"/>
  <c r="AJ309" i="1"/>
  <c r="AJ317" i="1"/>
  <c r="AJ325" i="1"/>
  <c r="AJ333" i="1"/>
  <c r="AJ341" i="1"/>
  <c r="AJ349" i="1"/>
  <c r="AJ357" i="1"/>
  <c r="AJ365" i="1"/>
  <c r="AJ373" i="1"/>
  <c r="AJ381" i="1"/>
  <c r="AJ389" i="1"/>
  <c r="AJ397" i="1"/>
  <c r="AJ405" i="1"/>
  <c r="AJ413" i="1"/>
  <c r="AJ421" i="1"/>
  <c r="AJ429" i="1"/>
  <c r="AJ437" i="1"/>
  <c r="AJ445" i="1"/>
  <c r="AJ453" i="1"/>
  <c r="AJ461" i="1"/>
  <c r="AJ469" i="1"/>
  <c r="AJ477" i="1"/>
  <c r="AJ485" i="1"/>
  <c r="AJ493" i="1"/>
  <c r="AJ501" i="1"/>
  <c r="AJ509" i="1"/>
  <c r="AJ517" i="1"/>
  <c r="AJ525" i="1"/>
  <c r="AJ533" i="1"/>
  <c r="AJ541" i="1"/>
  <c r="AJ549" i="1"/>
  <c r="AJ557" i="1"/>
  <c r="AJ565" i="1"/>
  <c r="AJ573" i="1"/>
  <c r="AJ581" i="1"/>
  <c r="AJ589" i="1"/>
  <c r="AJ597" i="1"/>
  <c r="AJ605" i="1"/>
  <c r="AJ613" i="1"/>
  <c r="AJ621" i="1"/>
  <c r="AJ629" i="1"/>
  <c r="AJ637" i="1"/>
  <c r="AJ645" i="1"/>
  <c r="AJ653" i="1"/>
  <c r="AJ661" i="1"/>
  <c r="AJ669" i="1"/>
  <c r="AJ677" i="1"/>
  <c r="AJ685" i="1"/>
  <c r="AJ693" i="1"/>
  <c r="AJ701" i="1"/>
  <c r="AJ709" i="1"/>
  <c r="AJ717" i="1"/>
  <c r="AJ725" i="1"/>
  <c r="AJ733" i="1"/>
  <c r="AJ741" i="1"/>
  <c r="AJ749" i="1"/>
  <c r="AJ757" i="1"/>
  <c r="AJ765" i="1"/>
  <c r="AJ773" i="1"/>
  <c r="AJ781" i="1"/>
  <c r="AI854" i="1"/>
  <c r="AL264" i="1"/>
  <c r="AL477" i="1"/>
  <c r="AL580" i="1"/>
  <c r="AL663" i="1"/>
  <c r="AL749" i="1"/>
  <c r="AL836" i="1"/>
  <c r="AL893" i="1"/>
  <c r="AL943" i="1"/>
  <c r="AL988" i="1"/>
  <c r="AK28" i="1"/>
  <c r="AK71" i="1"/>
  <c r="AK107" i="1"/>
  <c r="AK132" i="1"/>
  <c r="AK155" i="1"/>
  <c r="AK176" i="1"/>
  <c r="AK196" i="1"/>
  <c r="AK219" i="1"/>
  <c r="AK240" i="1"/>
  <c r="AK260" i="1"/>
  <c r="AK283" i="1"/>
  <c r="AK304" i="1"/>
  <c r="AK324" i="1"/>
  <c r="AK347" i="1"/>
  <c r="AK368" i="1"/>
  <c r="AK388" i="1"/>
  <c r="AK411" i="1"/>
  <c r="AK432" i="1"/>
  <c r="AK452" i="1"/>
  <c r="AK475" i="1"/>
  <c r="AK496" i="1"/>
  <c r="AK516" i="1"/>
  <c r="AK539" i="1"/>
  <c r="AK560" i="1"/>
  <c r="AK580" i="1"/>
  <c r="AK603" i="1"/>
  <c r="AK624" i="1"/>
  <c r="AK644" i="1"/>
  <c r="AK667" i="1"/>
  <c r="AK688" i="1"/>
  <c r="AK708" i="1"/>
  <c r="AK731" i="1"/>
  <c r="AK752" i="1"/>
  <c r="AK772" i="1"/>
  <c r="AK788" i="1"/>
  <c r="AK804" i="1"/>
  <c r="AK820" i="1"/>
  <c r="AK835" i="1"/>
  <c r="AK849" i="1"/>
  <c r="AK860" i="1"/>
  <c r="AK874" i="1"/>
  <c r="AK888" i="1"/>
  <c r="AK899" i="1"/>
  <c r="AK913" i="1"/>
  <c r="AK924" i="1"/>
  <c r="AK938" i="1"/>
  <c r="AK952" i="1"/>
  <c r="AK962" i="1"/>
  <c r="AK971" i="1"/>
  <c r="AK980" i="1"/>
  <c r="AK989" i="1"/>
  <c r="AK999" i="1"/>
  <c r="AJ6" i="1"/>
  <c r="AJ15" i="1"/>
  <c r="AJ24" i="1"/>
  <c r="AJ33" i="1"/>
  <c r="AJ42" i="1"/>
  <c r="AJ51" i="1"/>
  <c r="AJ61" i="1"/>
  <c r="AJ70" i="1"/>
  <c r="AJ78" i="1"/>
  <c r="AJ86" i="1"/>
  <c r="AJ94" i="1"/>
  <c r="AJ102" i="1"/>
  <c r="AJ110" i="1"/>
  <c r="AJ118" i="1"/>
  <c r="AJ126" i="1"/>
  <c r="AJ134" i="1"/>
  <c r="AJ142" i="1"/>
  <c r="AJ150" i="1"/>
  <c r="AJ158" i="1"/>
  <c r="AJ166" i="1"/>
  <c r="AJ174" i="1"/>
  <c r="AJ182" i="1"/>
  <c r="AJ190" i="1"/>
  <c r="AJ198" i="1"/>
  <c r="AJ206" i="1"/>
  <c r="AJ214" i="1"/>
  <c r="AJ222" i="1"/>
  <c r="AJ230" i="1"/>
  <c r="AJ238" i="1"/>
  <c r="AJ246" i="1"/>
  <c r="AJ254" i="1"/>
  <c r="AJ262" i="1"/>
  <c r="AJ270" i="1"/>
  <c r="AJ278" i="1"/>
  <c r="AJ286" i="1"/>
  <c r="AJ294" i="1"/>
  <c r="AJ302" i="1"/>
  <c r="AJ310" i="1"/>
  <c r="AJ318" i="1"/>
  <c r="AJ326" i="1"/>
  <c r="AJ334" i="1"/>
  <c r="AJ342" i="1"/>
  <c r="AJ350" i="1"/>
  <c r="AJ358" i="1"/>
  <c r="AJ366" i="1"/>
  <c r="AJ374" i="1"/>
  <c r="AJ382" i="1"/>
  <c r="AJ390" i="1"/>
  <c r="AJ398" i="1"/>
  <c r="AJ406" i="1"/>
  <c r="AJ414" i="1"/>
  <c r="AJ422" i="1"/>
  <c r="AJ430" i="1"/>
  <c r="AJ438" i="1"/>
  <c r="AJ446" i="1"/>
  <c r="AJ454" i="1"/>
  <c r="AJ462" i="1"/>
  <c r="AJ470" i="1"/>
  <c r="AJ478" i="1"/>
  <c r="AJ486" i="1"/>
  <c r="AJ494" i="1"/>
  <c r="AJ502" i="1"/>
  <c r="AJ510" i="1"/>
  <c r="AI998" i="1"/>
  <c r="AL328" i="1"/>
  <c r="AL509" i="1"/>
  <c r="AL599" i="1"/>
  <c r="AL685" i="1"/>
  <c r="AL772" i="1"/>
  <c r="AL854" i="1"/>
  <c r="AL906" i="1"/>
  <c r="AL956" i="1"/>
  <c r="AL998" i="1"/>
  <c r="AK39" i="1"/>
  <c r="AK82" i="1"/>
  <c r="AK115" i="1"/>
  <c r="AK139" i="1"/>
  <c r="AK160" i="1"/>
  <c r="AK180" i="1"/>
  <c r="AK203" i="1"/>
  <c r="AK224" i="1"/>
  <c r="AK244" i="1"/>
  <c r="AK267" i="1"/>
  <c r="AK288" i="1"/>
  <c r="AK308" i="1"/>
  <c r="AK331" i="1"/>
  <c r="AK352" i="1"/>
  <c r="AK372" i="1"/>
  <c r="AK395" i="1"/>
  <c r="AK416" i="1"/>
  <c r="AK436" i="1"/>
  <c r="AK459" i="1"/>
  <c r="AK480" i="1"/>
  <c r="AK500" i="1"/>
  <c r="AK523" i="1"/>
  <c r="AK544" i="1"/>
  <c r="AK564" i="1"/>
  <c r="AK587" i="1"/>
  <c r="AK608" i="1"/>
  <c r="AK628" i="1"/>
  <c r="AK651" i="1"/>
  <c r="AK672" i="1"/>
  <c r="AK692" i="1"/>
  <c r="AK715" i="1"/>
  <c r="AK736" i="1"/>
  <c r="AK756" i="1"/>
  <c r="AK777" i="1"/>
  <c r="AK793" i="1"/>
  <c r="AK809" i="1"/>
  <c r="AK825" i="1"/>
  <c r="AK840" i="1"/>
  <c r="AK851" i="1"/>
  <c r="AK865" i="1"/>
  <c r="AK876" i="1"/>
  <c r="AK890" i="1"/>
  <c r="AK904" i="1"/>
  <c r="AK915" i="1"/>
  <c r="AK929" i="1"/>
  <c r="AK940" i="1"/>
  <c r="AK954" i="1"/>
  <c r="AK964" i="1"/>
  <c r="AK973" i="1"/>
  <c r="AK983" i="1"/>
  <c r="AK992" i="1"/>
  <c r="AK1001" i="1"/>
  <c r="AJ8" i="1"/>
  <c r="AJ17" i="1"/>
  <c r="AJ26" i="1"/>
  <c r="AJ35" i="1"/>
  <c r="AJ45" i="1"/>
  <c r="AJ54" i="1"/>
  <c r="AJ63" i="1"/>
  <c r="AJ72" i="1"/>
  <c r="AJ80" i="1"/>
  <c r="AJ88" i="1"/>
  <c r="AJ96" i="1"/>
  <c r="AJ104" i="1"/>
  <c r="AJ112" i="1"/>
  <c r="AJ120" i="1"/>
  <c r="AJ128" i="1"/>
  <c r="AJ136" i="1"/>
  <c r="AJ144" i="1"/>
  <c r="AJ152" i="1"/>
  <c r="AJ160" i="1"/>
  <c r="AJ168" i="1"/>
  <c r="AJ176" i="1"/>
  <c r="AJ184" i="1"/>
  <c r="AJ192" i="1"/>
  <c r="AJ200" i="1"/>
  <c r="AJ208" i="1"/>
  <c r="AJ216" i="1"/>
  <c r="AJ224" i="1"/>
  <c r="AJ232" i="1"/>
  <c r="AJ240" i="1"/>
  <c r="AJ248" i="1"/>
  <c r="AJ256" i="1"/>
  <c r="AJ264" i="1"/>
  <c r="AJ272" i="1"/>
  <c r="AJ280" i="1"/>
  <c r="AJ288" i="1"/>
  <c r="AJ296" i="1"/>
  <c r="AJ304" i="1"/>
  <c r="AJ312" i="1"/>
  <c r="AJ320" i="1"/>
  <c r="AJ328" i="1"/>
  <c r="AJ336" i="1"/>
  <c r="AJ344" i="1"/>
  <c r="AJ352" i="1"/>
  <c r="AJ360" i="1"/>
  <c r="AJ368" i="1"/>
  <c r="AJ376" i="1"/>
  <c r="AJ384" i="1"/>
  <c r="AJ392" i="1"/>
  <c r="AJ400" i="1"/>
  <c r="AJ408" i="1"/>
  <c r="AJ416" i="1"/>
  <c r="AJ424" i="1"/>
  <c r="AJ432" i="1"/>
  <c r="AJ440" i="1"/>
  <c r="AJ448" i="1"/>
  <c r="AJ456" i="1"/>
  <c r="AJ464" i="1"/>
  <c r="AJ472" i="1"/>
  <c r="AJ480" i="1"/>
  <c r="AJ488" i="1"/>
  <c r="AJ496" i="1"/>
  <c r="AJ504" i="1"/>
  <c r="AJ512" i="1"/>
  <c r="AJ520" i="1"/>
  <c r="AJ528" i="1"/>
  <c r="AJ536" i="1"/>
  <c r="AJ544" i="1"/>
  <c r="AJ552" i="1"/>
  <c r="AJ560" i="1"/>
  <c r="AJ568" i="1"/>
  <c r="AJ576" i="1"/>
  <c r="AJ584" i="1"/>
  <c r="AJ592" i="1"/>
  <c r="AJ600" i="1"/>
  <c r="AJ608" i="1"/>
  <c r="AJ616" i="1"/>
  <c r="AJ624" i="1"/>
  <c r="AJ632" i="1"/>
  <c r="AJ640" i="1"/>
  <c r="AJ648" i="1"/>
  <c r="AJ656" i="1"/>
  <c r="AJ664" i="1"/>
  <c r="AJ672" i="1"/>
  <c r="AJ680" i="1"/>
  <c r="AJ688" i="1"/>
  <c r="AJ696" i="1"/>
  <c r="AJ704" i="1"/>
  <c r="AJ712" i="1"/>
  <c r="AJ720" i="1"/>
  <c r="AJ728" i="1"/>
  <c r="AJ736" i="1"/>
  <c r="AJ744" i="1"/>
  <c r="AJ752" i="1"/>
  <c r="AJ760" i="1"/>
  <c r="AJ768" i="1"/>
  <c r="AJ776" i="1"/>
  <c r="AJ784" i="1"/>
  <c r="AJ792" i="1"/>
  <c r="AJ800" i="1"/>
  <c r="AJ808" i="1"/>
  <c r="AJ816" i="1"/>
  <c r="AJ824" i="1"/>
  <c r="AJ832" i="1"/>
  <c r="AJ840" i="1"/>
  <c r="AJ848" i="1"/>
  <c r="AJ856" i="1"/>
  <c r="AJ864" i="1"/>
  <c r="AJ872" i="1"/>
  <c r="AL581" i="1"/>
  <c r="AL894" i="1"/>
  <c r="AK72" i="1"/>
  <c r="AK179" i="1"/>
  <c r="AK264" i="1"/>
  <c r="AK348" i="1"/>
  <c r="AK435" i="1"/>
  <c r="AK520" i="1"/>
  <c r="AK604" i="1"/>
  <c r="AK691" i="1"/>
  <c r="AK776" i="1"/>
  <c r="AK836" i="1"/>
  <c r="AK889" i="1"/>
  <c r="AK939" i="1"/>
  <c r="AK981" i="1"/>
  <c r="AJ16" i="1"/>
  <c r="AJ53" i="1"/>
  <c r="AJ87" i="1"/>
  <c r="AJ119" i="1"/>
  <c r="AJ151" i="1"/>
  <c r="AJ183" i="1"/>
  <c r="AJ215" i="1"/>
  <c r="AJ247" i="1"/>
  <c r="AJ279" i="1"/>
  <c r="AJ311" i="1"/>
  <c r="AJ343" i="1"/>
  <c r="AJ375" i="1"/>
  <c r="AJ407" i="1"/>
  <c r="AJ439" i="1"/>
  <c r="AJ471" i="1"/>
  <c r="AJ503" i="1"/>
  <c r="AJ526" i="1"/>
  <c r="AJ542" i="1"/>
  <c r="AJ558" i="1"/>
  <c r="AJ574" i="1"/>
  <c r="AJ590" i="1"/>
  <c r="AJ606" i="1"/>
  <c r="AJ622" i="1"/>
  <c r="AJ638" i="1"/>
  <c r="AJ654" i="1"/>
  <c r="AJ670" i="1"/>
  <c r="AJ684" i="1"/>
  <c r="AJ697" i="1"/>
  <c r="AJ708" i="1"/>
  <c r="AJ719" i="1"/>
  <c r="AJ730" i="1"/>
  <c r="AJ740" i="1"/>
  <c r="AJ751" i="1"/>
  <c r="AJ762" i="1"/>
  <c r="AJ772" i="1"/>
  <c r="AJ783" i="1"/>
  <c r="AJ793" i="1"/>
  <c r="AJ802" i="1"/>
  <c r="AJ811" i="1"/>
  <c r="AJ820" i="1"/>
  <c r="AJ829" i="1"/>
  <c r="AJ838" i="1"/>
  <c r="AJ847" i="1"/>
  <c r="AJ857" i="1"/>
  <c r="AJ866" i="1"/>
  <c r="AJ875" i="1"/>
  <c r="AJ883" i="1"/>
  <c r="AJ891" i="1"/>
  <c r="AJ899" i="1"/>
  <c r="AJ907" i="1"/>
  <c r="AJ915" i="1"/>
  <c r="AJ923" i="1"/>
  <c r="AJ931" i="1"/>
  <c r="AJ939" i="1"/>
  <c r="AJ947" i="1"/>
  <c r="AJ955" i="1"/>
  <c r="AJ963" i="1"/>
  <c r="AJ971" i="1"/>
  <c r="AJ979" i="1"/>
  <c r="AJ987" i="1"/>
  <c r="AJ995" i="1"/>
  <c r="AJ1003" i="1"/>
  <c r="AH9" i="1"/>
  <c r="AH17" i="1"/>
  <c r="AH25" i="1"/>
  <c r="AH33" i="1"/>
  <c r="AH41" i="1"/>
  <c r="AH49" i="1"/>
  <c r="AH57" i="1"/>
  <c r="AH65" i="1"/>
  <c r="AL604" i="1"/>
  <c r="AL908" i="1"/>
  <c r="AK83" i="1"/>
  <c r="AK184" i="1"/>
  <c r="AK268" i="1"/>
  <c r="AK355" i="1"/>
  <c r="AK440" i="1"/>
  <c r="AK524" i="1"/>
  <c r="AK611" i="1"/>
  <c r="AK696" i="1"/>
  <c r="AK779" i="1"/>
  <c r="AK841" i="1"/>
  <c r="AK891" i="1"/>
  <c r="AK944" i="1"/>
  <c r="AK984" i="1"/>
  <c r="AJ18" i="1"/>
  <c r="AJ55" i="1"/>
  <c r="AJ89" i="1"/>
  <c r="AJ121" i="1"/>
  <c r="AJ153" i="1"/>
  <c r="AJ185" i="1"/>
  <c r="AJ217" i="1"/>
  <c r="AJ249" i="1"/>
  <c r="AJ281" i="1"/>
  <c r="AJ313" i="1"/>
  <c r="AJ345" i="1"/>
  <c r="AJ377" i="1"/>
  <c r="AJ409" i="1"/>
  <c r="AJ441" i="1"/>
  <c r="AJ473" i="1"/>
  <c r="AJ505" i="1"/>
  <c r="AJ527" i="1"/>
  <c r="AJ543" i="1"/>
  <c r="AJ559" i="1"/>
  <c r="AJ575" i="1"/>
  <c r="AJ591" i="1"/>
  <c r="AJ607" i="1"/>
  <c r="AJ623" i="1"/>
  <c r="AJ639" i="1"/>
  <c r="AJ655" i="1"/>
  <c r="AJ671" i="1"/>
  <c r="AJ686" i="1"/>
  <c r="AJ698" i="1"/>
  <c r="AJ710" i="1"/>
  <c r="AJ721" i="1"/>
  <c r="AJ731" i="1"/>
  <c r="AJ742" i="1"/>
  <c r="AJ753" i="1"/>
  <c r="AJ763" i="1"/>
  <c r="AJ774" i="1"/>
  <c r="AJ785" i="1"/>
  <c r="AJ794" i="1"/>
  <c r="AJ803" i="1"/>
  <c r="AJ812" i="1"/>
  <c r="AJ821" i="1"/>
  <c r="AJ830" i="1"/>
  <c r="AJ839" i="1"/>
  <c r="AJ849" i="1"/>
  <c r="AJ858" i="1"/>
  <c r="AJ867" i="1"/>
  <c r="AJ876" i="1"/>
  <c r="AJ884" i="1"/>
  <c r="AJ892" i="1"/>
  <c r="AJ900" i="1"/>
  <c r="AJ908" i="1"/>
  <c r="AJ916" i="1"/>
  <c r="AJ924" i="1"/>
  <c r="AJ932" i="1"/>
  <c r="AJ940" i="1"/>
  <c r="AJ948" i="1"/>
  <c r="AJ956" i="1"/>
  <c r="AJ964" i="1"/>
  <c r="AJ972" i="1"/>
  <c r="AJ980" i="1"/>
  <c r="AJ988" i="1"/>
  <c r="AJ996" i="1"/>
  <c r="AH2" i="1"/>
  <c r="AH10" i="1"/>
  <c r="AH18" i="1"/>
  <c r="AH26" i="1"/>
  <c r="AH34" i="1"/>
  <c r="AH42" i="1"/>
  <c r="AH50" i="1"/>
  <c r="AH58" i="1"/>
  <c r="AH66" i="1"/>
  <c r="AH74" i="1"/>
  <c r="AH82" i="1"/>
  <c r="AH90" i="1"/>
  <c r="AH98" i="1"/>
  <c r="AH106" i="1"/>
  <c r="AH114" i="1"/>
  <c r="AH122" i="1"/>
  <c r="AH130" i="1"/>
  <c r="AH138" i="1"/>
  <c r="AH146" i="1"/>
  <c r="AH154" i="1"/>
  <c r="AH162" i="1"/>
  <c r="AH170" i="1"/>
  <c r="AH178" i="1"/>
  <c r="AH186" i="1"/>
  <c r="AH194" i="1"/>
  <c r="AH202" i="1"/>
  <c r="AH210" i="1"/>
  <c r="AH218" i="1"/>
  <c r="AH226" i="1"/>
  <c r="AH234" i="1"/>
  <c r="AH242" i="1"/>
  <c r="AH250" i="1"/>
  <c r="AH259" i="1"/>
  <c r="AH267" i="1"/>
  <c r="AH275" i="1"/>
  <c r="AH283" i="1"/>
  <c r="AH291" i="1"/>
  <c r="AH299" i="1"/>
  <c r="AH307" i="1"/>
  <c r="AH315" i="1"/>
  <c r="AH323" i="1"/>
  <c r="AH331" i="1"/>
  <c r="AH339" i="1"/>
  <c r="AH347" i="1"/>
  <c r="AH355" i="1"/>
  <c r="AH363" i="1"/>
  <c r="AH371" i="1"/>
  <c r="AH379" i="1"/>
  <c r="AH387" i="1"/>
  <c r="AH395" i="1"/>
  <c r="AH403" i="1"/>
  <c r="AH411" i="1"/>
  <c r="AH419" i="1"/>
  <c r="AH427" i="1"/>
  <c r="AH435" i="1"/>
  <c r="AH443" i="1"/>
  <c r="AH451" i="1"/>
  <c r="AH459" i="1"/>
  <c r="AH467" i="1"/>
  <c r="AH475" i="1"/>
  <c r="AH483" i="1"/>
  <c r="AH491" i="1"/>
  <c r="AH499" i="1"/>
  <c r="AH507" i="1"/>
  <c r="AH515" i="1"/>
  <c r="AH523" i="1"/>
  <c r="AH531" i="1"/>
  <c r="AH539" i="1"/>
  <c r="AH547" i="1"/>
  <c r="AH555" i="1"/>
  <c r="AH563" i="1"/>
  <c r="AH571" i="1"/>
  <c r="AH579" i="1"/>
  <c r="AH587" i="1"/>
  <c r="AH595" i="1"/>
  <c r="AH603" i="1"/>
  <c r="AH611" i="1"/>
  <c r="AH619" i="1"/>
  <c r="AH627" i="1"/>
  <c r="AH635" i="1"/>
  <c r="AH643" i="1"/>
  <c r="AH651" i="1"/>
  <c r="AH659" i="1"/>
  <c r="AH667" i="1"/>
  <c r="AH675" i="1"/>
  <c r="AH683" i="1"/>
  <c r="AH691" i="1"/>
  <c r="AH699" i="1"/>
  <c r="AI858" i="1"/>
  <c r="AL668" i="1"/>
  <c r="AL946" i="1"/>
  <c r="AK108" i="1"/>
  <c r="AK200" i="1"/>
  <c r="AK284" i="1"/>
  <c r="AK371" i="1"/>
  <c r="AK456" i="1"/>
  <c r="AK540" i="1"/>
  <c r="AK627" i="1"/>
  <c r="AK712" i="1"/>
  <c r="AK792" i="1"/>
  <c r="AK850" i="1"/>
  <c r="AK900" i="1"/>
  <c r="AK953" i="1"/>
  <c r="AK991" i="1"/>
  <c r="AJ25" i="1"/>
  <c r="AJ62" i="1"/>
  <c r="AJ95" i="1"/>
  <c r="AJ127" i="1"/>
  <c r="AJ159" i="1"/>
  <c r="AJ191" i="1"/>
  <c r="AJ223" i="1"/>
  <c r="AJ255" i="1"/>
  <c r="AJ287" i="1"/>
  <c r="AJ319" i="1"/>
  <c r="AJ351" i="1"/>
  <c r="AJ383" i="1"/>
  <c r="AJ415" i="1"/>
  <c r="AJ447" i="1"/>
  <c r="AJ479" i="1"/>
  <c r="AJ511" i="1"/>
  <c r="AJ529" i="1"/>
  <c r="AJ545" i="1"/>
  <c r="AJ561" i="1"/>
  <c r="AJ577" i="1"/>
  <c r="AJ593" i="1"/>
  <c r="AJ609" i="1"/>
  <c r="AJ625" i="1"/>
  <c r="AJ641" i="1"/>
  <c r="AJ657" i="1"/>
  <c r="AJ673" i="1"/>
  <c r="AJ687" i="1"/>
  <c r="AJ700" i="1"/>
  <c r="AJ711" i="1"/>
  <c r="AJ722" i="1"/>
  <c r="AJ732" i="1"/>
  <c r="AJ743" i="1"/>
  <c r="AJ754" i="1"/>
  <c r="AJ764" i="1"/>
  <c r="AJ775" i="1"/>
  <c r="AJ786" i="1"/>
  <c r="AJ795" i="1"/>
  <c r="AJ804" i="1"/>
  <c r="AJ813" i="1"/>
  <c r="AJ822" i="1"/>
  <c r="AJ831" i="1"/>
  <c r="AJ841" i="1"/>
  <c r="AJ850" i="1"/>
  <c r="AJ859" i="1"/>
  <c r="AJ868" i="1"/>
  <c r="AJ877" i="1"/>
  <c r="AJ885" i="1"/>
  <c r="AJ893" i="1"/>
  <c r="AJ901" i="1"/>
  <c r="AJ909" i="1"/>
  <c r="AJ917" i="1"/>
  <c r="AJ925" i="1"/>
  <c r="AJ933" i="1"/>
  <c r="AJ941" i="1"/>
  <c r="AJ949" i="1"/>
  <c r="AJ957" i="1"/>
  <c r="AJ965" i="1"/>
  <c r="AJ973" i="1"/>
  <c r="AJ981" i="1"/>
  <c r="AJ989" i="1"/>
  <c r="AJ997" i="1"/>
  <c r="AH3" i="1"/>
  <c r="AH11" i="1"/>
  <c r="AH19" i="1"/>
  <c r="AH27" i="1"/>
  <c r="AH35" i="1"/>
  <c r="AH43" i="1"/>
  <c r="AH51" i="1"/>
  <c r="AH59" i="1"/>
  <c r="AH67" i="1"/>
  <c r="AH75" i="1"/>
  <c r="AH83" i="1"/>
  <c r="AH91" i="1"/>
  <c r="AH99" i="1"/>
  <c r="AH107" i="1"/>
  <c r="AH115" i="1"/>
  <c r="AH123" i="1"/>
  <c r="AH131" i="1"/>
  <c r="AH139" i="1"/>
  <c r="AH147" i="1"/>
  <c r="AH155" i="1"/>
  <c r="AH163" i="1"/>
  <c r="AH171" i="1"/>
  <c r="AH179" i="1"/>
  <c r="AH187" i="1"/>
  <c r="AL3" i="1"/>
  <c r="AL687" i="1"/>
  <c r="AL957" i="1"/>
  <c r="AK116" i="1"/>
  <c r="AK204" i="1"/>
  <c r="AK291" i="1"/>
  <c r="AK376" i="1"/>
  <c r="AK460" i="1"/>
  <c r="AK547" i="1"/>
  <c r="AK632" i="1"/>
  <c r="AK716" i="1"/>
  <c r="AK795" i="1"/>
  <c r="AK852" i="1"/>
  <c r="AK905" i="1"/>
  <c r="AK955" i="1"/>
  <c r="AK993" i="1"/>
  <c r="AJ27" i="1"/>
  <c r="AJ64" i="1"/>
  <c r="AJ97" i="1"/>
  <c r="AJ129" i="1"/>
  <c r="AJ161" i="1"/>
  <c r="AJ193" i="1"/>
  <c r="AJ225" i="1"/>
  <c r="AJ257" i="1"/>
  <c r="AJ289" i="1"/>
  <c r="AJ321" i="1"/>
  <c r="AJ353" i="1"/>
  <c r="AJ385" i="1"/>
  <c r="AJ417" i="1"/>
  <c r="AJ449" i="1"/>
  <c r="AJ481" i="1"/>
  <c r="AJ513" i="1"/>
  <c r="AJ530" i="1"/>
  <c r="AJ546" i="1"/>
  <c r="AJ562" i="1"/>
  <c r="AJ578" i="1"/>
  <c r="AJ594" i="1"/>
  <c r="AJ610" i="1"/>
  <c r="AJ626" i="1"/>
  <c r="AJ642" i="1"/>
  <c r="AJ658" i="1"/>
  <c r="AJ674" i="1"/>
  <c r="AJ689" i="1"/>
  <c r="AJ702" i="1"/>
  <c r="AJ713" i="1"/>
  <c r="AJ723" i="1"/>
  <c r="AJ734" i="1"/>
  <c r="AJ745" i="1"/>
  <c r="AJ755" i="1"/>
  <c r="AJ766" i="1"/>
  <c r="AJ777" i="1"/>
  <c r="AJ787" i="1"/>
  <c r="AJ796" i="1"/>
  <c r="AJ805" i="1"/>
  <c r="AJ814" i="1"/>
  <c r="AJ823" i="1"/>
  <c r="AJ833" i="1"/>
  <c r="AJ842" i="1"/>
  <c r="AJ851" i="1"/>
  <c r="AJ860" i="1"/>
  <c r="AJ869" i="1"/>
  <c r="AJ878" i="1"/>
  <c r="AJ886" i="1"/>
  <c r="AJ894" i="1"/>
  <c r="AJ902" i="1"/>
  <c r="AJ910" i="1"/>
  <c r="AJ918" i="1"/>
  <c r="AJ926" i="1"/>
  <c r="AJ934" i="1"/>
  <c r="AJ942" i="1"/>
  <c r="AJ950" i="1"/>
  <c r="AJ958" i="1"/>
  <c r="AJ966" i="1"/>
  <c r="AJ974" i="1"/>
  <c r="AJ982" i="1"/>
  <c r="AJ990" i="1"/>
  <c r="AJ998" i="1"/>
  <c r="AH4" i="1"/>
  <c r="AH12" i="1"/>
  <c r="AH20" i="1"/>
  <c r="AH28" i="1"/>
  <c r="AH36" i="1"/>
  <c r="AH44" i="1"/>
  <c r="AH52" i="1"/>
  <c r="AH60" i="1"/>
  <c r="AH68" i="1"/>
  <c r="AH76" i="1"/>
  <c r="AH84" i="1"/>
  <c r="AH92" i="1"/>
  <c r="AH100" i="1"/>
  <c r="AH108" i="1"/>
  <c r="AH116" i="1"/>
  <c r="AH124" i="1"/>
  <c r="AH132" i="1"/>
  <c r="AH140" i="1"/>
  <c r="AH148" i="1"/>
  <c r="AH156" i="1"/>
  <c r="AH164" i="1"/>
  <c r="AH172" i="1"/>
  <c r="AH180" i="1"/>
  <c r="AH188" i="1"/>
  <c r="AH196" i="1"/>
  <c r="AH204" i="1"/>
  <c r="AH212" i="1"/>
  <c r="AH220" i="1"/>
  <c r="AH228" i="1"/>
  <c r="AH236" i="1"/>
  <c r="AH244" i="1"/>
  <c r="AH252" i="1"/>
  <c r="AH261" i="1"/>
  <c r="AH269" i="1"/>
  <c r="AH277" i="1"/>
  <c r="AH285" i="1"/>
  <c r="AH293" i="1"/>
  <c r="AH301" i="1"/>
  <c r="AH309" i="1"/>
  <c r="AH317" i="1"/>
  <c r="AH325" i="1"/>
  <c r="AH333" i="1"/>
  <c r="AH341" i="1"/>
  <c r="AH349" i="1"/>
  <c r="AH357" i="1"/>
  <c r="AH365" i="1"/>
  <c r="AH373" i="1"/>
  <c r="AH381" i="1"/>
  <c r="AH389" i="1"/>
  <c r="AH397" i="1"/>
  <c r="AH405" i="1"/>
  <c r="AH413" i="1"/>
  <c r="AH421" i="1"/>
  <c r="AH429" i="1"/>
  <c r="AH437" i="1"/>
  <c r="AH445" i="1"/>
  <c r="AH453" i="1"/>
  <c r="AH461" i="1"/>
  <c r="AH469" i="1"/>
  <c r="AH477" i="1"/>
  <c r="AH485" i="1"/>
  <c r="AH493" i="1"/>
  <c r="AH501" i="1"/>
  <c r="AH509" i="1"/>
  <c r="AH517" i="1"/>
  <c r="AH525" i="1"/>
  <c r="AH533" i="1"/>
  <c r="AH541" i="1"/>
  <c r="AH549" i="1"/>
  <c r="AH557" i="1"/>
  <c r="AH565" i="1"/>
  <c r="AH573" i="1"/>
  <c r="AH581" i="1"/>
  <c r="AH589" i="1"/>
  <c r="AH597" i="1"/>
  <c r="AH605" i="1"/>
  <c r="AH613" i="1"/>
  <c r="AH621" i="1"/>
  <c r="AH629" i="1"/>
  <c r="AH637" i="1"/>
  <c r="AH645" i="1"/>
  <c r="AH653" i="1"/>
  <c r="AH661" i="1"/>
  <c r="AH669" i="1"/>
  <c r="AH677" i="1"/>
  <c r="AH685" i="1"/>
  <c r="AH693" i="1"/>
  <c r="AH701" i="1"/>
  <c r="AH709" i="1"/>
  <c r="AH717" i="1"/>
  <c r="AH725" i="1"/>
  <c r="AH733" i="1"/>
  <c r="AH741" i="1"/>
  <c r="AL271" i="1"/>
  <c r="AL751" i="1"/>
  <c r="AL989" i="1"/>
  <c r="AK136" i="1"/>
  <c r="AK220" i="1"/>
  <c r="AK307" i="1"/>
  <c r="AK392" i="1"/>
  <c r="AK476" i="1"/>
  <c r="AK563" i="1"/>
  <c r="AK648" i="1"/>
  <c r="AK732" i="1"/>
  <c r="AK808" i="1"/>
  <c r="AK864" i="1"/>
  <c r="AK914" i="1"/>
  <c r="AK963" i="1"/>
  <c r="AK1000" i="1"/>
  <c r="AJ34" i="1"/>
  <c r="AJ71" i="1"/>
  <c r="AJ103" i="1"/>
  <c r="AJ135" i="1"/>
  <c r="AJ167" i="1"/>
  <c r="AJ199" i="1"/>
  <c r="AJ231" i="1"/>
  <c r="AJ263" i="1"/>
  <c r="AJ295" i="1"/>
  <c r="AJ327" i="1"/>
  <c r="AJ359" i="1"/>
  <c r="AJ391" i="1"/>
  <c r="AJ423" i="1"/>
  <c r="AJ455" i="1"/>
  <c r="AJ487" i="1"/>
  <c r="AJ518" i="1"/>
  <c r="AJ534" i="1"/>
  <c r="AJ550" i="1"/>
  <c r="AJ566" i="1"/>
  <c r="AJ582" i="1"/>
  <c r="AJ598" i="1"/>
  <c r="AJ614" i="1"/>
  <c r="AJ630" i="1"/>
  <c r="AJ646" i="1"/>
  <c r="AJ662" i="1"/>
  <c r="AJ678" i="1"/>
  <c r="AJ690" i="1"/>
  <c r="AJ703" i="1"/>
  <c r="AJ714" i="1"/>
  <c r="AJ724" i="1"/>
  <c r="AJ735" i="1"/>
  <c r="AJ746" i="1"/>
  <c r="AJ756" i="1"/>
  <c r="AJ767" i="1"/>
  <c r="AJ778" i="1"/>
  <c r="AJ788" i="1"/>
  <c r="AJ797" i="1"/>
  <c r="AJ806" i="1"/>
  <c r="AJ815" i="1"/>
  <c r="AJ825" i="1"/>
  <c r="AJ834" i="1"/>
  <c r="AJ843" i="1"/>
  <c r="AJ852" i="1"/>
  <c r="AJ861" i="1"/>
  <c r="AJ870" i="1"/>
  <c r="AJ879" i="1"/>
  <c r="AJ887" i="1"/>
  <c r="AJ895" i="1"/>
  <c r="AJ903" i="1"/>
  <c r="AJ911" i="1"/>
  <c r="AJ919" i="1"/>
  <c r="AJ927" i="1"/>
  <c r="AJ935" i="1"/>
  <c r="AJ943" i="1"/>
  <c r="AJ951" i="1"/>
  <c r="AJ959" i="1"/>
  <c r="AJ967" i="1"/>
  <c r="AJ975" i="1"/>
  <c r="AJ983" i="1"/>
  <c r="AJ991" i="1"/>
  <c r="AJ999" i="1"/>
  <c r="AH5" i="1"/>
  <c r="AH13" i="1"/>
  <c r="AH21" i="1"/>
  <c r="AH29" i="1"/>
  <c r="AH37" i="1"/>
  <c r="AH45" i="1"/>
  <c r="AH53" i="1"/>
  <c r="AH61" i="1"/>
  <c r="AH69" i="1"/>
  <c r="AH77" i="1"/>
  <c r="AH85" i="1"/>
  <c r="AH93" i="1"/>
  <c r="AH101" i="1"/>
  <c r="AH109" i="1"/>
  <c r="AH117" i="1"/>
  <c r="AH125" i="1"/>
  <c r="AH133" i="1"/>
  <c r="AH141" i="1"/>
  <c r="AH149" i="1"/>
  <c r="AH157" i="1"/>
  <c r="AH165" i="1"/>
  <c r="AH173" i="1"/>
  <c r="AH181" i="1"/>
  <c r="AH189" i="1"/>
  <c r="AH197" i="1"/>
  <c r="AH205" i="1"/>
  <c r="AH213" i="1"/>
  <c r="AH221" i="1"/>
  <c r="AH229" i="1"/>
  <c r="AH237" i="1"/>
  <c r="AH245" i="1"/>
  <c r="AH253" i="1"/>
  <c r="AH262" i="1"/>
  <c r="AH270" i="1"/>
  <c r="AH278" i="1"/>
  <c r="AH286" i="1"/>
  <c r="AH294" i="1"/>
  <c r="AH302" i="1"/>
  <c r="AH310" i="1"/>
  <c r="AH318" i="1"/>
  <c r="AH326" i="1"/>
  <c r="AH334" i="1"/>
  <c r="AH342" i="1"/>
  <c r="AH350" i="1"/>
  <c r="AH358" i="1"/>
  <c r="AH366" i="1"/>
  <c r="AH374" i="1"/>
  <c r="AH382" i="1"/>
  <c r="AH390" i="1"/>
  <c r="AH398" i="1"/>
  <c r="AH406" i="1"/>
  <c r="AH414" i="1"/>
  <c r="AH422" i="1"/>
  <c r="AH430" i="1"/>
  <c r="AH438" i="1"/>
  <c r="AH446" i="1"/>
  <c r="AH454" i="1"/>
  <c r="AH462" i="1"/>
  <c r="AH470" i="1"/>
  <c r="AH478" i="1"/>
  <c r="AH486" i="1"/>
  <c r="AH494" i="1"/>
  <c r="AH502" i="1"/>
  <c r="AH510" i="1"/>
  <c r="AH518" i="1"/>
  <c r="AH526" i="1"/>
  <c r="AH534" i="1"/>
  <c r="AH542" i="1"/>
  <c r="AH550" i="1"/>
  <c r="AH558" i="1"/>
  <c r="AH566" i="1"/>
  <c r="AH574" i="1"/>
  <c r="AL479" i="1"/>
  <c r="AL837" i="1"/>
  <c r="AK29" i="1"/>
  <c r="AK156" i="1"/>
  <c r="AK243" i="1"/>
  <c r="AK140" i="1"/>
  <c r="AK412" i="1"/>
  <c r="AK652" i="1"/>
  <c r="AK827" i="1"/>
  <c r="AK972" i="1"/>
  <c r="AJ73" i="1"/>
  <c r="AJ145" i="1"/>
  <c r="AJ239" i="1"/>
  <c r="AJ329" i="1"/>
  <c r="AJ401" i="1"/>
  <c r="AJ495" i="1"/>
  <c r="AJ551" i="1"/>
  <c r="AJ586" i="1"/>
  <c r="AJ633" i="1"/>
  <c r="AJ679" i="1"/>
  <c r="AJ707" i="1"/>
  <c r="AJ738" i="1"/>
  <c r="AJ769" i="1"/>
  <c r="AJ791" i="1"/>
  <c r="AJ818" i="1"/>
  <c r="AJ844" i="1"/>
  <c r="AJ865" i="1"/>
  <c r="AJ889" i="1"/>
  <c r="AJ912" i="1"/>
  <c r="AJ930" i="1"/>
  <c r="AJ953" i="1"/>
  <c r="AJ976" i="1"/>
  <c r="AJ994" i="1"/>
  <c r="AH15" i="1"/>
  <c r="AH38" i="1"/>
  <c r="AH56" i="1"/>
  <c r="AH78" i="1"/>
  <c r="AH94" i="1"/>
  <c r="AH110" i="1"/>
  <c r="AH126" i="1"/>
  <c r="AH142" i="1"/>
  <c r="AH158" i="1"/>
  <c r="AH174" i="1"/>
  <c r="AH190" i="1"/>
  <c r="AH201" i="1"/>
  <c r="AH215" i="1"/>
  <c r="AH227" i="1"/>
  <c r="AH240" i="1"/>
  <c r="AH254" i="1"/>
  <c r="AH266" i="1"/>
  <c r="AH280" i="1"/>
  <c r="AH292" i="1"/>
  <c r="AH305" i="1"/>
  <c r="AH319" i="1"/>
  <c r="AH330" i="1"/>
  <c r="AH344" i="1"/>
  <c r="AH356" i="1"/>
  <c r="AH369" i="1"/>
  <c r="AH383" i="1"/>
  <c r="AH394" i="1"/>
  <c r="AH408" i="1"/>
  <c r="AH420" i="1"/>
  <c r="AH433" i="1"/>
  <c r="AH447" i="1"/>
  <c r="AH458" i="1"/>
  <c r="AH472" i="1"/>
  <c r="AH484" i="1"/>
  <c r="AH497" i="1"/>
  <c r="AH511" i="1"/>
  <c r="AH522" i="1"/>
  <c r="AH536" i="1"/>
  <c r="AH548" i="1"/>
  <c r="AH561" i="1"/>
  <c r="AH575" i="1"/>
  <c r="AH585" i="1"/>
  <c r="AH596" i="1"/>
  <c r="AH607" i="1"/>
  <c r="AH617" i="1"/>
  <c r="AH628" i="1"/>
  <c r="AH639" i="1"/>
  <c r="AH649" i="1"/>
  <c r="AH660" i="1"/>
  <c r="AH671" i="1"/>
  <c r="AH681" i="1"/>
  <c r="AH692" i="1"/>
  <c r="AH703" i="1"/>
  <c r="AH712" i="1"/>
  <c r="AH721" i="1"/>
  <c r="AH730" i="1"/>
  <c r="AH739" i="1"/>
  <c r="AH748" i="1"/>
  <c r="AH756" i="1"/>
  <c r="AH764" i="1"/>
  <c r="AH772" i="1"/>
  <c r="AH780" i="1"/>
  <c r="AH788" i="1"/>
  <c r="AH796" i="1"/>
  <c r="AH804" i="1"/>
  <c r="AH812" i="1"/>
  <c r="AH820" i="1"/>
  <c r="AH828" i="1"/>
  <c r="AH836" i="1"/>
  <c r="AH844" i="1"/>
  <c r="AH852" i="1"/>
  <c r="AH860" i="1"/>
  <c r="AH868" i="1"/>
  <c r="AH876" i="1"/>
  <c r="AH884" i="1"/>
  <c r="AH892" i="1"/>
  <c r="AH900" i="1"/>
  <c r="AH908" i="1"/>
  <c r="AH916" i="1"/>
  <c r="AH924" i="1"/>
  <c r="AH932" i="1"/>
  <c r="AH940" i="1"/>
  <c r="AH948" i="1"/>
  <c r="AH956" i="1"/>
  <c r="AH964" i="1"/>
  <c r="AH972" i="1"/>
  <c r="AH980" i="1"/>
  <c r="AH988" i="1"/>
  <c r="AH996" i="1"/>
  <c r="AG2" i="1"/>
  <c r="AG10" i="1"/>
  <c r="AG18" i="1"/>
  <c r="AG26" i="1"/>
  <c r="AG34" i="1"/>
  <c r="AG42" i="1"/>
  <c r="AG50" i="1"/>
  <c r="AG58" i="1"/>
  <c r="AG66" i="1"/>
  <c r="AG74" i="1"/>
  <c r="AG82" i="1"/>
  <c r="AG90" i="1"/>
  <c r="AG98" i="1"/>
  <c r="AG106" i="1"/>
  <c r="AG114" i="1"/>
  <c r="AG122" i="1"/>
  <c r="AG130" i="1"/>
  <c r="AG138" i="1"/>
  <c r="AG146" i="1"/>
  <c r="AG154" i="1"/>
  <c r="AG162" i="1"/>
  <c r="AG170" i="1"/>
  <c r="AG178" i="1"/>
  <c r="AG186" i="1"/>
  <c r="AG194" i="1"/>
  <c r="AG202" i="1"/>
  <c r="AG210" i="1"/>
  <c r="AG218" i="1"/>
  <c r="AG226" i="1"/>
  <c r="AG234" i="1"/>
  <c r="AG242" i="1"/>
  <c r="AG250" i="1"/>
  <c r="AG258" i="1"/>
  <c r="AG266" i="1"/>
  <c r="AG274" i="1"/>
  <c r="AG282" i="1"/>
  <c r="AG290" i="1"/>
  <c r="AG298" i="1"/>
  <c r="AG306" i="1"/>
  <c r="AG314" i="1"/>
  <c r="AG322" i="1"/>
  <c r="AK163" i="1"/>
  <c r="AK419" i="1"/>
  <c r="AK668" i="1"/>
  <c r="AK866" i="1"/>
  <c r="AK975" i="1"/>
  <c r="AJ79" i="1"/>
  <c r="AJ169" i="1"/>
  <c r="AJ241" i="1"/>
  <c r="AJ335" i="1"/>
  <c r="AJ425" i="1"/>
  <c r="AJ497" i="1"/>
  <c r="AJ553" i="1"/>
  <c r="AJ599" i="1"/>
  <c r="AJ634" i="1"/>
  <c r="AJ681" i="1"/>
  <c r="AJ715" i="1"/>
  <c r="AJ739" i="1"/>
  <c r="AJ770" i="1"/>
  <c r="AJ798" i="1"/>
  <c r="AJ819" i="1"/>
  <c r="AJ845" i="1"/>
  <c r="AJ871" i="1"/>
  <c r="AJ890" i="1"/>
  <c r="AJ913" i="1"/>
  <c r="AJ936" i="1"/>
  <c r="AJ954" i="1"/>
  <c r="AJ977" i="1"/>
  <c r="AJ1000" i="1"/>
  <c r="AH16" i="1"/>
  <c r="AH39" i="1"/>
  <c r="AH62" i="1"/>
  <c r="AH79" i="1"/>
  <c r="AH95" i="1"/>
  <c r="AH111" i="1"/>
  <c r="AH127" i="1"/>
  <c r="AH143" i="1"/>
  <c r="AH159" i="1"/>
  <c r="AH175" i="1"/>
  <c r="AH191" i="1"/>
  <c r="AH203" i="1"/>
  <c r="AH216" i="1"/>
  <c r="AH230" i="1"/>
  <c r="AH241" i="1"/>
  <c r="AH255" i="1"/>
  <c r="AH268" i="1"/>
  <c r="AH281" i="1"/>
  <c r="AH295" i="1"/>
  <c r="AH306" i="1"/>
  <c r="AH320" i="1"/>
  <c r="AH332" i="1"/>
  <c r="AH345" i="1"/>
  <c r="AH359" i="1"/>
  <c r="AH370" i="1"/>
  <c r="AH384" i="1"/>
  <c r="AH396" i="1"/>
  <c r="AH409" i="1"/>
  <c r="AH423" i="1"/>
  <c r="AH434" i="1"/>
  <c r="AH448" i="1"/>
  <c r="AH460" i="1"/>
  <c r="AH473" i="1"/>
  <c r="AH487" i="1"/>
  <c r="AH498" i="1"/>
  <c r="AH512" i="1"/>
  <c r="AH524" i="1"/>
  <c r="AH537" i="1"/>
  <c r="AH551" i="1"/>
  <c r="AH562" i="1"/>
  <c r="AH576" i="1"/>
  <c r="AH586" i="1"/>
  <c r="AH598" i="1"/>
  <c r="AH608" i="1"/>
  <c r="AH618" i="1"/>
  <c r="AH630" i="1"/>
  <c r="AH640" i="1"/>
  <c r="AH650" i="1"/>
  <c r="AH662" i="1"/>
  <c r="AH672" i="1"/>
  <c r="AH682" i="1"/>
  <c r="AH694" i="1"/>
  <c r="AH704" i="1"/>
  <c r="AH713" i="1"/>
  <c r="AH722" i="1"/>
  <c r="AH731" i="1"/>
  <c r="AH740" i="1"/>
  <c r="AH749" i="1"/>
  <c r="AH757" i="1"/>
  <c r="AH765" i="1"/>
  <c r="AH773" i="1"/>
  <c r="AH781" i="1"/>
  <c r="AH789" i="1"/>
  <c r="AH797" i="1"/>
  <c r="AH805" i="1"/>
  <c r="AH813" i="1"/>
  <c r="AH821" i="1"/>
  <c r="AH829" i="1"/>
  <c r="AH837" i="1"/>
  <c r="AH845" i="1"/>
  <c r="AH853" i="1"/>
  <c r="AH861" i="1"/>
  <c r="AH869" i="1"/>
  <c r="AH877" i="1"/>
  <c r="AH885" i="1"/>
  <c r="AH893" i="1"/>
  <c r="AH901" i="1"/>
  <c r="AH909" i="1"/>
  <c r="AH917" i="1"/>
  <c r="AH925" i="1"/>
  <c r="AH933" i="1"/>
  <c r="AH941" i="1"/>
  <c r="AH949" i="1"/>
  <c r="AH957" i="1"/>
  <c r="AH965" i="1"/>
  <c r="AH973" i="1"/>
  <c r="AH981" i="1"/>
  <c r="AH989" i="1"/>
  <c r="AH997" i="1"/>
  <c r="AG3" i="1"/>
  <c r="AG11" i="1"/>
  <c r="AG19" i="1"/>
  <c r="AG27" i="1"/>
  <c r="AG35" i="1"/>
  <c r="AG43" i="1"/>
  <c r="AG51" i="1"/>
  <c r="AG59" i="1"/>
  <c r="AG67" i="1"/>
  <c r="AG75" i="1"/>
  <c r="AG83" i="1"/>
  <c r="AG91" i="1"/>
  <c r="AG99" i="1"/>
  <c r="AG107" i="1"/>
  <c r="AG115" i="1"/>
  <c r="AG123" i="1"/>
  <c r="AG131" i="1"/>
  <c r="AG139" i="1"/>
  <c r="AG147" i="1"/>
  <c r="AG155" i="1"/>
  <c r="AG163" i="1"/>
  <c r="AG171" i="1"/>
  <c r="AG179" i="1"/>
  <c r="AG187" i="1"/>
  <c r="AG195" i="1"/>
  <c r="AG203" i="1"/>
  <c r="AG211" i="1"/>
  <c r="AG219" i="1"/>
  <c r="AG227" i="1"/>
  <c r="AG235" i="1"/>
  <c r="AG243" i="1"/>
  <c r="AG251" i="1"/>
  <c r="AG259" i="1"/>
  <c r="AG267" i="1"/>
  <c r="AG275" i="1"/>
  <c r="AG283" i="1"/>
  <c r="AG291" i="1"/>
  <c r="AG299" i="1"/>
  <c r="AG307" i="1"/>
  <c r="AG315" i="1"/>
  <c r="AG323" i="1"/>
  <c r="AL331" i="1"/>
  <c r="AK227" i="1"/>
  <c r="AK483" i="1"/>
  <c r="AK675" i="1"/>
  <c r="AK875" i="1"/>
  <c r="AK1002" i="1"/>
  <c r="AJ81" i="1"/>
  <c r="AJ175" i="1"/>
  <c r="AJ265" i="1"/>
  <c r="AJ337" i="1"/>
  <c r="AJ431" i="1"/>
  <c r="AJ519" i="1"/>
  <c r="AJ554" i="1"/>
  <c r="AJ601" i="1"/>
  <c r="AJ647" i="1"/>
  <c r="AJ682" i="1"/>
  <c r="AJ716" i="1"/>
  <c r="AJ747" i="1"/>
  <c r="AJ771" i="1"/>
  <c r="AJ799" i="1"/>
  <c r="AJ826" i="1"/>
  <c r="AJ846" i="1"/>
  <c r="AJ873" i="1"/>
  <c r="AJ896" i="1"/>
  <c r="AJ914" i="1"/>
  <c r="AJ937" i="1"/>
  <c r="AJ960" i="1"/>
  <c r="AJ978" i="1"/>
  <c r="AJ1001" i="1"/>
  <c r="AH22" i="1"/>
  <c r="AH40" i="1"/>
  <c r="AH63" i="1"/>
  <c r="AH80" i="1"/>
  <c r="AH96" i="1"/>
  <c r="AH112" i="1"/>
  <c r="AH128" i="1"/>
  <c r="AH144" i="1"/>
  <c r="AH160" i="1"/>
  <c r="AH176" i="1"/>
  <c r="AH192" i="1"/>
  <c r="AH206" i="1"/>
  <c r="AH217" i="1"/>
  <c r="AH231" i="1"/>
  <c r="AH243" i="1"/>
  <c r="AH256" i="1"/>
  <c r="AH271" i="1"/>
  <c r="AH282" i="1"/>
  <c r="AH296" i="1"/>
  <c r="AH308" i="1"/>
  <c r="AH321" i="1"/>
  <c r="AH335" i="1"/>
  <c r="AH346" i="1"/>
  <c r="AH360" i="1"/>
  <c r="AH372" i="1"/>
  <c r="AH385" i="1"/>
  <c r="AH399" i="1"/>
  <c r="AH410" i="1"/>
  <c r="AH424" i="1"/>
  <c r="AH436" i="1"/>
  <c r="AH449" i="1"/>
  <c r="AH463" i="1"/>
  <c r="AH474" i="1"/>
  <c r="AH488" i="1"/>
  <c r="AH500" i="1"/>
  <c r="AH513" i="1"/>
  <c r="AH527" i="1"/>
  <c r="AH538" i="1"/>
  <c r="AH552" i="1"/>
  <c r="AH564" i="1"/>
  <c r="AH577" i="1"/>
  <c r="AH588" i="1"/>
  <c r="AH599" i="1"/>
  <c r="AH609" i="1"/>
  <c r="AH620" i="1"/>
  <c r="AH631" i="1"/>
  <c r="AH641" i="1"/>
  <c r="AH652" i="1"/>
  <c r="AH663" i="1"/>
  <c r="AH673" i="1"/>
  <c r="AH684" i="1"/>
  <c r="AH695" i="1"/>
  <c r="AH705" i="1"/>
  <c r="AH714" i="1"/>
  <c r="AH723" i="1"/>
  <c r="AH732" i="1"/>
  <c r="AH742" i="1"/>
  <c r="AH750" i="1"/>
  <c r="AH758" i="1"/>
  <c r="AH766" i="1"/>
  <c r="AH774" i="1"/>
  <c r="AH782" i="1"/>
  <c r="AH790" i="1"/>
  <c r="AH798" i="1"/>
  <c r="AH806" i="1"/>
  <c r="AH814" i="1"/>
  <c r="AH822" i="1"/>
  <c r="AH830" i="1"/>
  <c r="AH838" i="1"/>
  <c r="AH846" i="1"/>
  <c r="AH854" i="1"/>
  <c r="AH862" i="1"/>
  <c r="AH870" i="1"/>
  <c r="AH878" i="1"/>
  <c r="AH886" i="1"/>
  <c r="AH894" i="1"/>
  <c r="AH902" i="1"/>
  <c r="AH910" i="1"/>
  <c r="AH918" i="1"/>
  <c r="AH926" i="1"/>
  <c r="AH934" i="1"/>
  <c r="AH942" i="1"/>
  <c r="AH950" i="1"/>
  <c r="AH958" i="1"/>
  <c r="AH966" i="1"/>
  <c r="AH974" i="1"/>
  <c r="AH982" i="1"/>
  <c r="AH990" i="1"/>
  <c r="AH998" i="1"/>
  <c r="AG4" i="1"/>
  <c r="AG12" i="1"/>
  <c r="AG20" i="1"/>
  <c r="AG28" i="1"/>
  <c r="AG36" i="1"/>
  <c r="AG44" i="1"/>
  <c r="AG52" i="1"/>
  <c r="AG60" i="1"/>
  <c r="AG68" i="1"/>
  <c r="AG76" i="1"/>
  <c r="AG84" i="1"/>
  <c r="AG92" i="1"/>
  <c r="AG100" i="1"/>
  <c r="AG108" i="1"/>
  <c r="AG116" i="1"/>
  <c r="AG124" i="1"/>
  <c r="AG132" i="1"/>
  <c r="AG140" i="1"/>
  <c r="AG148" i="1"/>
  <c r="AG156" i="1"/>
  <c r="AG164" i="1"/>
  <c r="AG172" i="1"/>
  <c r="AG180" i="1"/>
  <c r="AG188" i="1"/>
  <c r="AG196" i="1"/>
  <c r="AG204" i="1"/>
  <c r="AG212" i="1"/>
  <c r="AG220" i="1"/>
  <c r="AG228" i="1"/>
  <c r="AG236" i="1"/>
  <c r="AG244" i="1"/>
  <c r="AG252" i="1"/>
  <c r="AG260" i="1"/>
  <c r="AG268" i="1"/>
  <c r="AG276" i="1"/>
  <c r="AG284" i="1"/>
  <c r="AG292" i="1"/>
  <c r="AG300" i="1"/>
  <c r="AG308" i="1"/>
  <c r="AG316" i="1"/>
  <c r="AG324" i="1"/>
  <c r="AG332" i="1"/>
  <c r="AG340" i="1"/>
  <c r="AG348" i="1"/>
  <c r="AG356" i="1"/>
  <c r="AG364" i="1"/>
  <c r="AG372" i="1"/>
  <c r="AG380" i="1"/>
  <c r="AG388" i="1"/>
  <c r="AG396" i="1"/>
  <c r="AG404" i="1"/>
  <c r="AG412" i="1"/>
  <c r="AL511" i="1"/>
  <c r="AK248" i="1"/>
  <c r="AK499" i="1"/>
  <c r="AK739" i="1"/>
  <c r="AK880" i="1"/>
  <c r="AJ7" i="1"/>
  <c r="AJ105" i="1"/>
  <c r="AJ177" i="1"/>
  <c r="AJ271" i="1"/>
  <c r="AJ361" i="1"/>
  <c r="AJ433" i="1"/>
  <c r="AJ521" i="1"/>
  <c r="AJ567" i="1"/>
  <c r="AJ602" i="1"/>
  <c r="AJ649" i="1"/>
  <c r="AJ692" i="1"/>
  <c r="AJ718" i="1"/>
  <c r="AJ748" i="1"/>
  <c r="AJ779" i="1"/>
  <c r="AJ801" i="1"/>
  <c r="AJ827" i="1"/>
  <c r="AJ853" i="1"/>
  <c r="AJ874" i="1"/>
  <c r="AJ897" i="1"/>
  <c r="AJ920" i="1"/>
  <c r="AJ938" i="1"/>
  <c r="AJ961" i="1"/>
  <c r="AJ984" i="1"/>
  <c r="AJ1002" i="1"/>
  <c r="AH23" i="1"/>
  <c r="AH46" i="1"/>
  <c r="AH64" i="1"/>
  <c r="AH81" i="1"/>
  <c r="AH97" i="1"/>
  <c r="AH113" i="1"/>
  <c r="AH129" i="1"/>
  <c r="AH145" i="1"/>
  <c r="AH161" i="1"/>
  <c r="AH177" i="1"/>
  <c r="AH193" i="1"/>
  <c r="AH207" i="1"/>
  <c r="AH219" i="1"/>
  <c r="AH232" i="1"/>
  <c r="AH246" i="1"/>
  <c r="AH258" i="1"/>
  <c r="AH272" i="1"/>
  <c r="AH284" i="1"/>
  <c r="AL773" i="1"/>
  <c r="AK312" i="1"/>
  <c r="AK504" i="1"/>
  <c r="AK755" i="1"/>
  <c r="AK916" i="1"/>
  <c r="AJ9" i="1"/>
  <c r="AJ111" i="1"/>
  <c r="AJ201" i="1"/>
  <c r="AJ273" i="1"/>
  <c r="AJ367" i="1"/>
  <c r="AJ457" i="1"/>
  <c r="AJ522" i="1"/>
  <c r="AJ569" i="1"/>
  <c r="AJ615" i="1"/>
  <c r="AJ650" i="1"/>
  <c r="AJ694" i="1"/>
  <c r="AJ726" i="1"/>
  <c r="AJ750" i="1"/>
  <c r="AJ780" i="1"/>
  <c r="AJ807" i="1"/>
  <c r="AJ828" i="1"/>
  <c r="AJ854" i="1"/>
  <c r="AJ880" i="1"/>
  <c r="AJ898" i="1"/>
  <c r="AJ921" i="1"/>
  <c r="AJ944" i="1"/>
  <c r="AJ962" i="1"/>
  <c r="AJ985" i="1"/>
  <c r="AH6" i="1"/>
  <c r="AH24" i="1"/>
  <c r="AH47" i="1"/>
  <c r="AH70" i="1"/>
  <c r="AH86" i="1"/>
  <c r="AH102" i="1"/>
  <c r="AH118" i="1"/>
  <c r="AH134" i="1"/>
  <c r="AH150" i="1"/>
  <c r="AH166" i="1"/>
  <c r="AH182" i="1"/>
  <c r="AH195" i="1"/>
  <c r="AH208" i="1"/>
  <c r="AH222" i="1"/>
  <c r="AH233" i="1"/>
  <c r="AH247" i="1"/>
  <c r="AH260" i="1"/>
  <c r="AH273" i="1"/>
  <c r="AH287" i="1"/>
  <c r="AH298" i="1"/>
  <c r="AH312" i="1"/>
  <c r="AH324" i="1"/>
  <c r="AH337" i="1"/>
  <c r="AH351" i="1"/>
  <c r="AH362" i="1"/>
  <c r="AH376" i="1"/>
  <c r="AH388" i="1"/>
  <c r="AH401" i="1"/>
  <c r="AH415" i="1"/>
  <c r="AH426" i="1"/>
  <c r="AH440" i="1"/>
  <c r="AH452" i="1"/>
  <c r="AH465" i="1"/>
  <c r="AH479" i="1"/>
  <c r="AH490" i="1"/>
  <c r="AH504" i="1"/>
  <c r="AH516" i="1"/>
  <c r="AH529" i="1"/>
  <c r="AH543" i="1"/>
  <c r="AH554" i="1"/>
  <c r="AH568" i="1"/>
  <c r="AH580" i="1"/>
  <c r="AH591" i="1"/>
  <c r="AH601" i="1"/>
  <c r="AH612" i="1"/>
  <c r="AH623" i="1"/>
  <c r="AH633" i="1"/>
  <c r="AH644" i="1"/>
  <c r="AH655" i="1"/>
  <c r="AH665" i="1"/>
  <c r="AH676" i="1"/>
  <c r="AH687" i="1"/>
  <c r="AH697" i="1"/>
  <c r="AH707" i="1"/>
  <c r="AH716" i="1"/>
  <c r="AH726" i="1"/>
  <c r="AH735" i="1"/>
  <c r="AH744" i="1"/>
  <c r="AH752" i="1"/>
  <c r="AH760" i="1"/>
  <c r="AH768" i="1"/>
  <c r="AH776" i="1"/>
  <c r="AH784" i="1"/>
  <c r="AH792" i="1"/>
  <c r="AH800" i="1"/>
  <c r="AH808" i="1"/>
  <c r="AH816" i="1"/>
  <c r="AH824" i="1"/>
  <c r="AH832" i="1"/>
  <c r="AH840" i="1"/>
  <c r="AH848" i="1"/>
  <c r="AH856" i="1"/>
  <c r="AH864" i="1"/>
  <c r="AH872" i="1"/>
  <c r="AH880" i="1"/>
  <c r="AH888" i="1"/>
  <c r="AH896" i="1"/>
  <c r="AH904" i="1"/>
  <c r="AH912" i="1"/>
  <c r="AH920" i="1"/>
  <c r="AH928" i="1"/>
  <c r="AH936" i="1"/>
  <c r="AH944" i="1"/>
  <c r="AH952" i="1"/>
  <c r="AH960" i="1"/>
  <c r="AH968" i="1"/>
  <c r="AH976" i="1"/>
  <c r="AH984" i="1"/>
  <c r="AH992" i="1"/>
  <c r="AH1000" i="1"/>
  <c r="AG6" i="1"/>
  <c r="AG14" i="1"/>
  <c r="AG22" i="1"/>
  <c r="AG30" i="1"/>
  <c r="AG38" i="1"/>
  <c r="AG46" i="1"/>
  <c r="AG54" i="1"/>
  <c r="AG62" i="1"/>
  <c r="AG70" i="1"/>
  <c r="AG78" i="1"/>
  <c r="AG86" i="1"/>
  <c r="AG94" i="1"/>
  <c r="AG102" i="1"/>
  <c r="AG110" i="1"/>
  <c r="AG118" i="1"/>
  <c r="AG126" i="1"/>
  <c r="AG134" i="1"/>
  <c r="AG142" i="1"/>
  <c r="AG150" i="1"/>
  <c r="AG158" i="1"/>
  <c r="AG166" i="1"/>
  <c r="AG174" i="1"/>
  <c r="AG182" i="1"/>
  <c r="AG190" i="1"/>
  <c r="AG198" i="1"/>
  <c r="AG206" i="1"/>
  <c r="AG214" i="1"/>
  <c r="AG222" i="1"/>
  <c r="AG230" i="1"/>
  <c r="AG238" i="1"/>
  <c r="AG246" i="1"/>
  <c r="AG254" i="1"/>
  <c r="AG262" i="1"/>
  <c r="AG270" i="1"/>
  <c r="AG278" i="1"/>
  <c r="AG286" i="1"/>
  <c r="AG294" i="1"/>
  <c r="AG302" i="1"/>
  <c r="AG310" i="1"/>
  <c r="AG318" i="1"/>
  <c r="AG326" i="1"/>
  <c r="AG334" i="1"/>
  <c r="AG342" i="1"/>
  <c r="AG350" i="1"/>
  <c r="AG358" i="1"/>
  <c r="AG366" i="1"/>
  <c r="AG374" i="1"/>
  <c r="AG382" i="1"/>
  <c r="AG390" i="1"/>
  <c r="AG398" i="1"/>
  <c r="AG406" i="1"/>
  <c r="AG414" i="1"/>
  <c r="AK568" i="1"/>
  <c r="AK965" i="1"/>
  <c r="AJ209" i="1"/>
  <c r="AJ463" i="1"/>
  <c r="AJ585" i="1"/>
  <c r="AJ705" i="1"/>
  <c r="AJ782" i="1"/>
  <c r="AJ837" i="1"/>
  <c r="AJ905" i="1"/>
  <c r="AJ968" i="1"/>
  <c r="AH14" i="1"/>
  <c r="AH72" i="1"/>
  <c r="AH119" i="1"/>
  <c r="AH153" i="1"/>
  <c r="AH199" i="1"/>
  <c r="AH235" i="1"/>
  <c r="AH265" i="1"/>
  <c r="AH300" i="1"/>
  <c r="AH327" i="1"/>
  <c r="AH352" i="1"/>
  <c r="AH377" i="1"/>
  <c r="AH402" i="1"/>
  <c r="AH428" i="1"/>
  <c r="AH455" i="1"/>
  <c r="AH480" i="1"/>
  <c r="AH505" i="1"/>
  <c r="AH530" i="1"/>
  <c r="AH556" i="1"/>
  <c r="AH582" i="1"/>
  <c r="AH602" i="1"/>
  <c r="AH624" i="1"/>
  <c r="AH646" i="1"/>
  <c r="AH666" i="1"/>
  <c r="AH688" i="1"/>
  <c r="AH708" i="1"/>
  <c r="AH727" i="1"/>
  <c r="AH745" i="1"/>
  <c r="AH761" i="1"/>
  <c r="AH777" i="1"/>
  <c r="AH793" i="1"/>
  <c r="AH809" i="1"/>
  <c r="AH825" i="1"/>
  <c r="AH841" i="1"/>
  <c r="AH857" i="1"/>
  <c r="AH873" i="1"/>
  <c r="AH889" i="1"/>
  <c r="AH905" i="1"/>
  <c r="AH921" i="1"/>
  <c r="AH937" i="1"/>
  <c r="AH953" i="1"/>
  <c r="AH969" i="1"/>
  <c r="AH985" i="1"/>
  <c r="AH1001" i="1"/>
  <c r="AG15" i="1"/>
  <c r="AG31" i="1"/>
  <c r="AG47" i="1"/>
  <c r="AG63" i="1"/>
  <c r="AG79" i="1"/>
  <c r="AG95" i="1"/>
  <c r="AG111" i="1"/>
  <c r="AG127" i="1"/>
  <c r="AG143" i="1"/>
  <c r="AG159" i="1"/>
  <c r="AG175" i="1"/>
  <c r="AG191" i="1"/>
  <c r="AG207" i="1"/>
  <c r="AG223" i="1"/>
  <c r="AG239" i="1"/>
  <c r="AG255" i="1"/>
  <c r="AG271" i="1"/>
  <c r="AG287" i="1"/>
  <c r="AG303" i="1"/>
  <c r="AG319" i="1"/>
  <c r="AG331" i="1"/>
  <c r="AG343" i="1"/>
  <c r="AG353" i="1"/>
  <c r="AG363" i="1"/>
  <c r="AG375" i="1"/>
  <c r="AG385" i="1"/>
  <c r="AG395" i="1"/>
  <c r="AG407" i="1"/>
  <c r="AG417" i="1"/>
  <c r="AG425" i="1"/>
  <c r="AG433" i="1"/>
  <c r="AG441" i="1"/>
  <c r="AG449" i="1"/>
  <c r="AG457" i="1"/>
  <c r="AG465" i="1"/>
  <c r="AG473" i="1"/>
  <c r="AG481" i="1"/>
  <c r="AG489" i="1"/>
  <c r="AG497" i="1"/>
  <c r="AG505" i="1"/>
  <c r="AG513" i="1"/>
  <c r="AG521" i="1"/>
  <c r="AG529" i="1"/>
  <c r="AG537" i="1"/>
  <c r="AG545" i="1"/>
  <c r="AG553" i="1"/>
  <c r="AG561" i="1"/>
  <c r="AG569" i="1"/>
  <c r="AG577" i="1"/>
  <c r="AG585" i="1"/>
  <c r="AG593" i="1"/>
  <c r="AG601" i="1"/>
  <c r="AG609" i="1"/>
  <c r="AG617" i="1"/>
  <c r="AG625" i="1"/>
  <c r="AG633" i="1"/>
  <c r="AG641" i="1"/>
  <c r="AG649" i="1"/>
  <c r="AG657" i="1"/>
  <c r="AG665" i="1"/>
  <c r="AG673" i="1"/>
  <c r="AG681" i="1"/>
  <c r="AG689" i="1"/>
  <c r="AG697" i="1"/>
  <c r="AG705" i="1"/>
  <c r="AG713" i="1"/>
  <c r="AG721" i="1"/>
  <c r="AG729" i="1"/>
  <c r="AG737" i="1"/>
  <c r="AG745" i="1"/>
  <c r="AG753" i="1"/>
  <c r="AG761" i="1"/>
  <c r="AG769" i="1"/>
  <c r="AG777" i="1"/>
  <c r="AG785" i="1"/>
  <c r="AG793" i="1"/>
  <c r="AG801" i="1"/>
  <c r="AG809" i="1"/>
  <c r="AG817" i="1"/>
  <c r="AG825" i="1"/>
  <c r="AG833" i="1"/>
  <c r="AG841" i="1"/>
  <c r="AG849" i="1"/>
  <c r="AG857" i="1"/>
  <c r="AG865" i="1"/>
  <c r="AG873" i="1"/>
  <c r="AG881" i="1"/>
  <c r="AG889" i="1"/>
  <c r="AG897" i="1"/>
  <c r="AG905" i="1"/>
  <c r="AG913" i="1"/>
  <c r="AG921" i="1"/>
  <c r="AG929" i="1"/>
  <c r="AG937" i="1"/>
  <c r="AG945" i="1"/>
  <c r="AG953" i="1"/>
  <c r="AG961" i="1"/>
  <c r="AG969" i="1"/>
  <c r="AG977" i="1"/>
  <c r="AG985" i="1"/>
  <c r="AG993" i="1"/>
  <c r="AG1001" i="1"/>
  <c r="AF7" i="1"/>
  <c r="AF15" i="1"/>
  <c r="AF23" i="1"/>
  <c r="AF31" i="1"/>
  <c r="AF39" i="1"/>
  <c r="AF47" i="1"/>
  <c r="AF55" i="1"/>
  <c r="AF63" i="1"/>
  <c r="AF71" i="1"/>
  <c r="AF79" i="1"/>
  <c r="AF87" i="1"/>
  <c r="AF95" i="1"/>
  <c r="AF103" i="1"/>
  <c r="AF111" i="1"/>
  <c r="AF119" i="1"/>
  <c r="AK584" i="1"/>
  <c r="AJ37" i="1"/>
  <c r="AJ233" i="1"/>
  <c r="AJ465" i="1"/>
  <c r="AJ617" i="1"/>
  <c r="AJ706" i="1"/>
  <c r="AJ789" i="1"/>
  <c r="AJ855" i="1"/>
  <c r="AJ906" i="1"/>
  <c r="AJ969" i="1"/>
  <c r="AH30" i="1"/>
  <c r="AH73" i="1"/>
  <c r="AH120" i="1"/>
  <c r="AH167" i="1"/>
  <c r="AH200" i="1"/>
  <c r="AH238" i="1"/>
  <c r="AH274" i="1"/>
  <c r="AH303" i="1"/>
  <c r="AH328" i="1"/>
  <c r="AH353" i="1"/>
  <c r="AH378" i="1"/>
  <c r="AH404" i="1"/>
  <c r="AH431" i="1"/>
  <c r="AH456" i="1"/>
  <c r="AH481" i="1"/>
  <c r="AH506" i="1"/>
  <c r="AH532" i="1"/>
  <c r="AH559" i="1"/>
  <c r="AH583" i="1"/>
  <c r="AH604" i="1"/>
  <c r="AH625" i="1"/>
  <c r="AH647" i="1"/>
  <c r="AH668" i="1"/>
  <c r="AH689" i="1"/>
  <c r="AH710" i="1"/>
  <c r="AH728" i="1"/>
  <c r="AH746" i="1"/>
  <c r="AH762" i="1"/>
  <c r="AH778" i="1"/>
  <c r="AH794" i="1"/>
  <c r="AH810" i="1"/>
  <c r="AH826" i="1"/>
  <c r="AH842" i="1"/>
  <c r="AH858" i="1"/>
  <c r="AH874" i="1"/>
  <c r="AH890" i="1"/>
  <c r="AH906" i="1"/>
  <c r="AH922" i="1"/>
  <c r="AH938" i="1"/>
  <c r="AH954" i="1"/>
  <c r="AH970" i="1"/>
  <c r="AH986" i="1"/>
  <c r="AH1002" i="1"/>
  <c r="AG16" i="1"/>
  <c r="AG32" i="1"/>
  <c r="AG48" i="1"/>
  <c r="AG64" i="1"/>
  <c r="AG80" i="1"/>
  <c r="AG96" i="1"/>
  <c r="AG112" i="1"/>
  <c r="AG128" i="1"/>
  <c r="AG144" i="1"/>
  <c r="AG160" i="1"/>
  <c r="AG176" i="1"/>
  <c r="AG192" i="1"/>
  <c r="AG208" i="1"/>
  <c r="AG224" i="1"/>
  <c r="AG240" i="1"/>
  <c r="AG256" i="1"/>
  <c r="AG272" i="1"/>
  <c r="AG288" i="1"/>
  <c r="AG304" i="1"/>
  <c r="AG320" i="1"/>
  <c r="AG333" i="1"/>
  <c r="AG344" i="1"/>
  <c r="AG354" i="1"/>
  <c r="AG365" i="1"/>
  <c r="AG376" i="1"/>
  <c r="AG386" i="1"/>
  <c r="AG397" i="1"/>
  <c r="AG408" i="1"/>
  <c r="AG418" i="1"/>
  <c r="AG426" i="1"/>
  <c r="AG434" i="1"/>
  <c r="AG442" i="1"/>
  <c r="AG450" i="1"/>
  <c r="AG458" i="1"/>
  <c r="AG466" i="1"/>
  <c r="AG474" i="1"/>
  <c r="AG482" i="1"/>
  <c r="AG490" i="1"/>
  <c r="AG498" i="1"/>
  <c r="AG506" i="1"/>
  <c r="AG514" i="1"/>
  <c r="AG522" i="1"/>
  <c r="AG530" i="1"/>
  <c r="AG538" i="1"/>
  <c r="AG546" i="1"/>
  <c r="AG554" i="1"/>
  <c r="AG562" i="1"/>
  <c r="AG570" i="1"/>
  <c r="AG578" i="1"/>
  <c r="AG586" i="1"/>
  <c r="AG594" i="1"/>
  <c r="AG602" i="1"/>
  <c r="AG610" i="1"/>
  <c r="AG618" i="1"/>
  <c r="AG626" i="1"/>
  <c r="AG634" i="1"/>
  <c r="AG642" i="1"/>
  <c r="AG650" i="1"/>
  <c r="AG658" i="1"/>
  <c r="AG666" i="1"/>
  <c r="AG674" i="1"/>
  <c r="AG682" i="1"/>
  <c r="AG690" i="1"/>
  <c r="AG698" i="1"/>
  <c r="AG706" i="1"/>
  <c r="AG714" i="1"/>
  <c r="AG722" i="1"/>
  <c r="AG730" i="1"/>
  <c r="AG738" i="1"/>
  <c r="AG746" i="1"/>
  <c r="AG754" i="1"/>
  <c r="AG762" i="1"/>
  <c r="AG770" i="1"/>
  <c r="AG778" i="1"/>
  <c r="AG786" i="1"/>
  <c r="AG794" i="1"/>
  <c r="AG802" i="1"/>
  <c r="AG810" i="1"/>
  <c r="AG818" i="1"/>
  <c r="AG826" i="1"/>
  <c r="AG834" i="1"/>
  <c r="AG842" i="1"/>
  <c r="AG850" i="1"/>
  <c r="AG858" i="1"/>
  <c r="AG866" i="1"/>
  <c r="AG874" i="1"/>
  <c r="AG882" i="1"/>
  <c r="AG890" i="1"/>
  <c r="AG898" i="1"/>
  <c r="AG906" i="1"/>
  <c r="AG914" i="1"/>
  <c r="AG922" i="1"/>
  <c r="AG930" i="1"/>
  <c r="AG938" i="1"/>
  <c r="AG946" i="1"/>
  <c r="AG954" i="1"/>
  <c r="AG962" i="1"/>
  <c r="AG970" i="1"/>
  <c r="AG978" i="1"/>
  <c r="AG986" i="1"/>
  <c r="AG994" i="1"/>
  <c r="AG1002" i="1"/>
  <c r="AF8" i="1"/>
  <c r="AF16" i="1"/>
  <c r="AF24" i="1"/>
  <c r="AF32" i="1"/>
  <c r="AF40" i="1"/>
  <c r="AL855" i="1"/>
  <c r="AK588" i="1"/>
  <c r="AJ43" i="1"/>
  <c r="AJ297" i="1"/>
  <c r="AJ489" i="1"/>
  <c r="AJ618" i="1"/>
  <c r="AJ727" i="1"/>
  <c r="AJ790" i="1"/>
  <c r="AJ862" i="1"/>
  <c r="AJ922" i="1"/>
  <c r="AJ970" i="1"/>
  <c r="AH31" i="1"/>
  <c r="AH87" i="1"/>
  <c r="AH121" i="1"/>
  <c r="AH168" i="1"/>
  <c r="AH209" i="1"/>
  <c r="AH239" i="1"/>
  <c r="AH276" i="1"/>
  <c r="AH304" i="1"/>
  <c r="AH329" i="1"/>
  <c r="AH354" i="1"/>
  <c r="AH380" i="1"/>
  <c r="AH407" i="1"/>
  <c r="AH432" i="1"/>
  <c r="AH457" i="1"/>
  <c r="AH482" i="1"/>
  <c r="AH508" i="1"/>
  <c r="AH535" i="1"/>
  <c r="AH560" i="1"/>
  <c r="AH584" i="1"/>
  <c r="AH606" i="1"/>
  <c r="AH626" i="1"/>
  <c r="AH648" i="1"/>
  <c r="AH670" i="1"/>
  <c r="AH690" i="1"/>
  <c r="AH711" i="1"/>
  <c r="AH729" i="1"/>
  <c r="AH747" i="1"/>
  <c r="AH763" i="1"/>
  <c r="AH779" i="1"/>
  <c r="AH795" i="1"/>
  <c r="AH811" i="1"/>
  <c r="AH827" i="1"/>
  <c r="AH843" i="1"/>
  <c r="AH859" i="1"/>
  <c r="AH875" i="1"/>
  <c r="AH891" i="1"/>
  <c r="AH907" i="1"/>
  <c r="AH923" i="1"/>
  <c r="AH939" i="1"/>
  <c r="AH955" i="1"/>
  <c r="AH971" i="1"/>
  <c r="AH987" i="1"/>
  <c r="AH1003" i="1"/>
  <c r="AG17" i="1"/>
  <c r="AG33" i="1"/>
  <c r="AG49" i="1"/>
  <c r="AG65" i="1"/>
  <c r="AG81" i="1"/>
  <c r="AG97" i="1"/>
  <c r="AG113" i="1"/>
  <c r="AG129" i="1"/>
  <c r="AG145" i="1"/>
  <c r="AG161" i="1"/>
  <c r="AG177" i="1"/>
  <c r="AG193" i="1"/>
  <c r="AG209" i="1"/>
  <c r="AG225" i="1"/>
  <c r="AG241" i="1"/>
  <c r="AG257" i="1"/>
  <c r="AG273" i="1"/>
  <c r="AG289" i="1"/>
  <c r="AG305" i="1"/>
  <c r="AG321" i="1"/>
  <c r="AG335" i="1"/>
  <c r="AG345" i="1"/>
  <c r="AG355" i="1"/>
  <c r="AG367" i="1"/>
  <c r="AG377" i="1"/>
  <c r="AG387" i="1"/>
  <c r="AG399" i="1"/>
  <c r="AG409" i="1"/>
  <c r="AG419" i="1"/>
  <c r="AG427" i="1"/>
  <c r="AG435" i="1"/>
  <c r="AG443" i="1"/>
  <c r="AG451" i="1"/>
  <c r="AG459" i="1"/>
  <c r="AG467" i="1"/>
  <c r="AG475" i="1"/>
  <c r="AG483" i="1"/>
  <c r="AG491" i="1"/>
  <c r="AG499" i="1"/>
  <c r="AG507" i="1"/>
  <c r="AG515" i="1"/>
  <c r="AG523" i="1"/>
  <c r="AG531" i="1"/>
  <c r="AG539" i="1"/>
  <c r="AG547" i="1"/>
  <c r="AG555" i="1"/>
  <c r="AG563" i="1"/>
  <c r="AG571" i="1"/>
  <c r="AG579" i="1"/>
  <c r="AG587" i="1"/>
  <c r="AG595" i="1"/>
  <c r="AG603" i="1"/>
  <c r="AG611" i="1"/>
  <c r="AG619" i="1"/>
  <c r="AG627" i="1"/>
  <c r="AG635" i="1"/>
  <c r="AG643" i="1"/>
  <c r="AG651" i="1"/>
  <c r="AG659" i="1"/>
  <c r="AG667" i="1"/>
  <c r="AG675" i="1"/>
  <c r="AG683" i="1"/>
  <c r="AG691" i="1"/>
  <c r="AG699" i="1"/>
  <c r="AG707" i="1"/>
  <c r="AG715" i="1"/>
  <c r="AG723" i="1"/>
  <c r="AG731" i="1"/>
  <c r="AG739" i="1"/>
  <c r="AG747" i="1"/>
  <c r="AG755" i="1"/>
  <c r="AG763" i="1"/>
  <c r="AG771" i="1"/>
  <c r="AG779" i="1"/>
  <c r="AG787" i="1"/>
  <c r="AG795" i="1"/>
  <c r="AG803" i="1"/>
  <c r="AG811" i="1"/>
  <c r="AG819" i="1"/>
  <c r="AG827" i="1"/>
  <c r="AG835" i="1"/>
  <c r="AG843" i="1"/>
  <c r="AG851" i="1"/>
  <c r="AG859" i="1"/>
  <c r="AG867" i="1"/>
  <c r="AG875" i="1"/>
  <c r="AG883" i="1"/>
  <c r="AG891" i="1"/>
  <c r="AG899" i="1"/>
  <c r="AG907" i="1"/>
  <c r="AG915" i="1"/>
  <c r="AG923" i="1"/>
  <c r="AG931" i="1"/>
  <c r="AG939" i="1"/>
  <c r="AG947" i="1"/>
  <c r="AG955" i="1"/>
  <c r="AG963" i="1"/>
  <c r="AG971" i="1"/>
  <c r="AG979" i="1"/>
  <c r="AG987" i="1"/>
  <c r="AG995" i="1"/>
  <c r="AG1003" i="1"/>
  <c r="AF9" i="1"/>
  <c r="AF17" i="1"/>
  <c r="AF25" i="1"/>
  <c r="AF33" i="1"/>
  <c r="AF41" i="1"/>
  <c r="AF49" i="1"/>
  <c r="AF57" i="1"/>
  <c r="AF65" i="1"/>
  <c r="AF73" i="1"/>
  <c r="AF81" i="1"/>
  <c r="AF89" i="1"/>
  <c r="AF97" i="1"/>
  <c r="AF105" i="1"/>
  <c r="AF113" i="1"/>
  <c r="AF121" i="1"/>
  <c r="AL999" i="1"/>
  <c r="AK760" i="1"/>
  <c r="AJ46" i="1"/>
  <c r="AJ303" i="1"/>
  <c r="AJ535" i="1"/>
  <c r="AJ631" i="1"/>
  <c r="AJ729" i="1"/>
  <c r="AJ809" i="1"/>
  <c r="AJ863" i="1"/>
  <c r="AJ928" i="1"/>
  <c r="AJ986" i="1"/>
  <c r="AH32" i="1"/>
  <c r="AH88" i="1"/>
  <c r="AH135" i="1"/>
  <c r="AH169" i="1"/>
  <c r="AH211" i="1"/>
  <c r="AH248" i="1"/>
  <c r="AH279" i="1"/>
  <c r="AH311" i="1"/>
  <c r="AH336" i="1"/>
  <c r="AH361" i="1"/>
  <c r="AH386" i="1"/>
  <c r="AH412" i="1"/>
  <c r="AH439" i="1"/>
  <c r="AH464" i="1"/>
  <c r="AH489" i="1"/>
  <c r="AH514" i="1"/>
  <c r="AH540" i="1"/>
  <c r="AH567" i="1"/>
  <c r="AH590" i="1"/>
  <c r="AH610" i="1"/>
  <c r="AH632" i="1"/>
  <c r="AH654" i="1"/>
  <c r="AH674" i="1"/>
  <c r="AH696" i="1"/>
  <c r="AH715" i="1"/>
  <c r="AH734" i="1"/>
  <c r="AH751" i="1"/>
  <c r="AH767" i="1"/>
  <c r="AH783" i="1"/>
  <c r="AH799" i="1"/>
  <c r="AH815" i="1"/>
  <c r="AH831" i="1"/>
  <c r="AH847" i="1"/>
  <c r="AH863" i="1"/>
  <c r="AH879" i="1"/>
  <c r="AH895" i="1"/>
  <c r="AH911" i="1"/>
  <c r="AH927" i="1"/>
  <c r="AH943" i="1"/>
  <c r="AH959" i="1"/>
  <c r="AH975" i="1"/>
  <c r="AH991" i="1"/>
  <c r="AG5" i="1"/>
  <c r="AG21" i="1"/>
  <c r="AG37" i="1"/>
  <c r="AG53" i="1"/>
  <c r="AG69" i="1"/>
  <c r="AG85" i="1"/>
  <c r="AG101" i="1"/>
  <c r="AG117" i="1"/>
  <c r="AG133" i="1"/>
  <c r="AG149" i="1"/>
  <c r="AG165" i="1"/>
  <c r="AG181" i="1"/>
  <c r="AG197" i="1"/>
  <c r="AG213" i="1"/>
  <c r="AG229" i="1"/>
  <c r="AG245" i="1"/>
  <c r="AG261" i="1"/>
  <c r="AG277" i="1"/>
  <c r="AG293" i="1"/>
  <c r="AG309" i="1"/>
  <c r="AG325" i="1"/>
  <c r="AG336" i="1"/>
  <c r="AG346" i="1"/>
  <c r="AG357" i="1"/>
  <c r="AG368" i="1"/>
  <c r="AG378" i="1"/>
  <c r="AG389" i="1"/>
  <c r="AG400" i="1"/>
  <c r="AG410" i="1"/>
  <c r="AG420" i="1"/>
  <c r="AG428" i="1"/>
  <c r="AG436" i="1"/>
  <c r="AG444" i="1"/>
  <c r="AG452" i="1"/>
  <c r="AG460" i="1"/>
  <c r="AG468" i="1"/>
  <c r="AG476" i="1"/>
  <c r="AG484" i="1"/>
  <c r="AG492" i="1"/>
  <c r="AG500" i="1"/>
  <c r="AG508" i="1"/>
  <c r="AG516" i="1"/>
  <c r="AG524" i="1"/>
  <c r="AG532" i="1"/>
  <c r="AG540" i="1"/>
  <c r="AG548" i="1"/>
  <c r="AG556" i="1"/>
  <c r="AG564" i="1"/>
  <c r="AG572" i="1"/>
  <c r="AG580" i="1"/>
  <c r="AG588" i="1"/>
  <c r="AG596" i="1"/>
  <c r="AG604" i="1"/>
  <c r="AG612" i="1"/>
  <c r="AG620" i="1"/>
  <c r="AG628" i="1"/>
  <c r="AG636" i="1"/>
  <c r="AG644" i="1"/>
  <c r="AG652" i="1"/>
  <c r="AG660" i="1"/>
  <c r="AG668" i="1"/>
  <c r="AG676" i="1"/>
  <c r="AG684" i="1"/>
  <c r="AG692" i="1"/>
  <c r="AG700" i="1"/>
  <c r="AG708" i="1"/>
  <c r="AG716" i="1"/>
  <c r="AG724" i="1"/>
  <c r="AG732" i="1"/>
  <c r="AG740" i="1"/>
  <c r="AG748" i="1"/>
  <c r="AG756" i="1"/>
  <c r="AG764" i="1"/>
  <c r="AG772" i="1"/>
  <c r="AG780" i="1"/>
  <c r="AG788" i="1"/>
  <c r="AG796" i="1"/>
  <c r="AG804" i="1"/>
  <c r="AG812" i="1"/>
  <c r="AG820" i="1"/>
  <c r="AG828" i="1"/>
  <c r="AG836" i="1"/>
  <c r="AG844" i="1"/>
  <c r="AG852" i="1"/>
  <c r="AG860" i="1"/>
  <c r="AG868" i="1"/>
  <c r="AG876" i="1"/>
  <c r="AG884" i="1"/>
  <c r="AG892" i="1"/>
  <c r="AG900" i="1"/>
  <c r="AG908" i="1"/>
  <c r="AG916" i="1"/>
  <c r="AG924" i="1"/>
  <c r="AG932" i="1"/>
  <c r="AG940" i="1"/>
  <c r="AG948" i="1"/>
  <c r="AG956" i="1"/>
  <c r="AG964" i="1"/>
  <c r="AG972" i="1"/>
  <c r="AG980" i="1"/>
  <c r="AG988" i="1"/>
  <c r="AG996" i="1"/>
  <c r="AF2" i="1"/>
  <c r="AF10" i="1"/>
  <c r="AF18" i="1"/>
  <c r="AF26" i="1"/>
  <c r="AF34" i="1"/>
  <c r="AF42" i="1"/>
  <c r="AK40" i="1"/>
  <c r="AK811" i="1"/>
  <c r="AJ113" i="1"/>
  <c r="AJ305" i="1"/>
  <c r="AJ537" i="1"/>
  <c r="AJ663" i="1"/>
  <c r="AJ737" i="1"/>
  <c r="AJ810" i="1"/>
  <c r="AJ881" i="1"/>
  <c r="AJ929" i="1"/>
  <c r="AJ992" i="1"/>
  <c r="AH48" i="1"/>
  <c r="AH89" i="1"/>
  <c r="AH136" i="1"/>
  <c r="AH183" i="1"/>
  <c r="AH214" i="1"/>
  <c r="AH249" i="1"/>
  <c r="AH288" i="1"/>
  <c r="AH313" i="1"/>
  <c r="AH338" i="1"/>
  <c r="AH364" i="1"/>
  <c r="AH391" i="1"/>
  <c r="AH416" i="1"/>
  <c r="AH441" i="1"/>
  <c r="AH466" i="1"/>
  <c r="AH492" i="1"/>
  <c r="AH519" i="1"/>
  <c r="AH544" i="1"/>
  <c r="AH569" i="1"/>
  <c r="AH592" i="1"/>
  <c r="AH614" i="1"/>
  <c r="AH634" i="1"/>
  <c r="AH656" i="1"/>
  <c r="AH678" i="1"/>
  <c r="AH698" i="1"/>
  <c r="AH718" i="1"/>
  <c r="AH736" i="1"/>
  <c r="AH753" i="1"/>
  <c r="AH769" i="1"/>
  <c r="AH785" i="1"/>
  <c r="AH801" i="1"/>
  <c r="AH817" i="1"/>
  <c r="AH833" i="1"/>
  <c r="AH849" i="1"/>
  <c r="AH865" i="1"/>
  <c r="AH881" i="1"/>
  <c r="AH897" i="1"/>
  <c r="AH913" i="1"/>
  <c r="AH929" i="1"/>
  <c r="AH945" i="1"/>
  <c r="AH961" i="1"/>
  <c r="AH977" i="1"/>
  <c r="AH993" i="1"/>
  <c r="AG7" i="1"/>
  <c r="AG23" i="1"/>
  <c r="AG39" i="1"/>
  <c r="AG55" i="1"/>
  <c r="AG71" i="1"/>
  <c r="AG87" i="1"/>
  <c r="AG103" i="1"/>
  <c r="AG119" i="1"/>
  <c r="AG135" i="1"/>
  <c r="AG151" i="1"/>
  <c r="AG167" i="1"/>
  <c r="AG183" i="1"/>
  <c r="AG199" i="1"/>
  <c r="AG215" i="1"/>
  <c r="AG231" i="1"/>
  <c r="AG247" i="1"/>
  <c r="AG263" i="1"/>
  <c r="AG279" i="1"/>
  <c r="AG295" i="1"/>
  <c r="AG311" i="1"/>
  <c r="AG327" i="1"/>
  <c r="AG337" i="1"/>
  <c r="AG347" i="1"/>
  <c r="AG359" i="1"/>
  <c r="AG369" i="1"/>
  <c r="AG379" i="1"/>
  <c r="AG391" i="1"/>
  <c r="AG401" i="1"/>
  <c r="AG411" i="1"/>
  <c r="AG421" i="1"/>
  <c r="AG429" i="1"/>
  <c r="AG437" i="1"/>
  <c r="AG445" i="1"/>
  <c r="AG453" i="1"/>
  <c r="AG461" i="1"/>
  <c r="AG469" i="1"/>
  <c r="AG477" i="1"/>
  <c r="AG485" i="1"/>
  <c r="AG493" i="1"/>
  <c r="AG501" i="1"/>
  <c r="AG509" i="1"/>
  <c r="AG517" i="1"/>
  <c r="AG525" i="1"/>
  <c r="AG533" i="1"/>
  <c r="AG541" i="1"/>
  <c r="AG549" i="1"/>
  <c r="AG557" i="1"/>
  <c r="AG565" i="1"/>
  <c r="AG573" i="1"/>
  <c r="AG581" i="1"/>
  <c r="AG589" i="1"/>
  <c r="AG597" i="1"/>
  <c r="AG605" i="1"/>
  <c r="AG613" i="1"/>
  <c r="AG621" i="1"/>
  <c r="AG629" i="1"/>
  <c r="AG637" i="1"/>
  <c r="AG645" i="1"/>
  <c r="AG653" i="1"/>
  <c r="AG661" i="1"/>
  <c r="AG669" i="1"/>
  <c r="AG677" i="1"/>
  <c r="AG685" i="1"/>
  <c r="AG693" i="1"/>
  <c r="AG701" i="1"/>
  <c r="AG709" i="1"/>
  <c r="AG717" i="1"/>
  <c r="AG725" i="1"/>
  <c r="AG733" i="1"/>
  <c r="AG741" i="1"/>
  <c r="AG749" i="1"/>
  <c r="AG757" i="1"/>
  <c r="AG765" i="1"/>
  <c r="AG773" i="1"/>
  <c r="AG781" i="1"/>
  <c r="AG789" i="1"/>
  <c r="AG797" i="1"/>
  <c r="AG805" i="1"/>
  <c r="AG813" i="1"/>
  <c r="AG821" i="1"/>
  <c r="AG829" i="1"/>
  <c r="AG837" i="1"/>
  <c r="AG845" i="1"/>
  <c r="AG853" i="1"/>
  <c r="AG861" i="1"/>
  <c r="AG869" i="1"/>
  <c r="AG877" i="1"/>
  <c r="AG885" i="1"/>
  <c r="AG893" i="1"/>
  <c r="AG901" i="1"/>
  <c r="AG909" i="1"/>
  <c r="AG917" i="1"/>
  <c r="AG925" i="1"/>
  <c r="AG933" i="1"/>
  <c r="AG941" i="1"/>
  <c r="AG949" i="1"/>
  <c r="AG957" i="1"/>
  <c r="AG965" i="1"/>
  <c r="AG973" i="1"/>
  <c r="AG981" i="1"/>
  <c r="AG989" i="1"/>
  <c r="AG997" i="1"/>
  <c r="AF3" i="1"/>
  <c r="AF11" i="1"/>
  <c r="AF19" i="1"/>
  <c r="AF27" i="1"/>
  <c r="AF35" i="1"/>
  <c r="AK332" i="1"/>
  <c r="AK928" i="1"/>
  <c r="AJ143" i="1"/>
  <c r="AJ393" i="1"/>
  <c r="AJ570" i="1"/>
  <c r="AJ666" i="1"/>
  <c r="AJ759" i="1"/>
  <c r="AJ835" i="1"/>
  <c r="AJ888" i="1"/>
  <c r="AJ946" i="1"/>
  <c r="AH7" i="1"/>
  <c r="AH55" i="1"/>
  <c r="AH104" i="1"/>
  <c r="AH151" i="1"/>
  <c r="AH185" i="1"/>
  <c r="AH224" i="1"/>
  <c r="AH263" i="1"/>
  <c r="AH290" i="1"/>
  <c r="AH316" i="1"/>
  <c r="AH343" i="1"/>
  <c r="AH368" i="1"/>
  <c r="AH393" i="1"/>
  <c r="AH418" i="1"/>
  <c r="AH444" i="1"/>
  <c r="AH471" i="1"/>
  <c r="AH496" i="1"/>
  <c r="AH521" i="1"/>
  <c r="AH546" i="1"/>
  <c r="AH572" i="1"/>
  <c r="AH594" i="1"/>
  <c r="AH616" i="1"/>
  <c r="AH638" i="1"/>
  <c r="AH658" i="1"/>
  <c r="AH680" i="1"/>
  <c r="AH702" i="1"/>
  <c r="AH720" i="1"/>
  <c r="AH738" i="1"/>
  <c r="AH755" i="1"/>
  <c r="AH771" i="1"/>
  <c r="AH787" i="1"/>
  <c r="AH803" i="1"/>
  <c r="AH819" i="1"/>
  <c r="AH835" i="1"/>
  <c r="AH851" i="1"/>
  <c r="AH867" i="1"/>
  <c r="AH883" i="1"/>
  <c r="AH899" i="1"/>
  <c r="AH915" i="1"/>
  <c r="AH931" i="1"/>
  <c r="AH947" i="1"/>
  <c r="AH963" i="1"/>
  <c r="AH979" i="1"/>
  <c r="AH995" i="1"/>
  <c r="AG9" i="1"/>
  <c r="AG25" i="1"/>
  <c r="AG41" i="1"/>
  <c r="AG57" i="1"/>
  <c r="AG73" i="1"/>
  <c r="AG89" i="1"/>
  <c r="AG105" i="1"/>
  <c r="AG121" i="1"/>
  <c r="AG137" i="1"/>
  <c r="AG153" i="1"/>
  <c r="AG169" i="1"/>
  <c r="AG185" i="1"/>
  <c r="AG201" i="1"/>
  <c r="AG217" i="1"/>
  <c r="AG233" i="1"/>
  <c r="AG249" i="1"/>
  <c r="AG265" i="1"/>
  <c r="AG281" i="1"/>
  <c r="AG297" i="1"/>
  <c r="AG313" i="1"/>
  <c r="AG329" i="1"/>
  <c r="AG339" i="1"/>
  <c r="AG351" i="1"/>
  <c r="AG361" i="1"/>
  <c r="AG371" i="1"/>
  <c r="AG383" i="1"/>
  <c r="AG393" i="1"/>
  <c r="AG403" i="1"/>
  <c r="AG415" i="1"/>
  <c r="AG423" i="1"/>
  <c r="AG431" i="1"/>
  <c r="AG439" i="1"/>
  <c r="AG447" i="1"/>
  <c r="AG455" i="1"/>
  <c r="AG463" i="1"/>
  <c r="AG471" i="1"/>
  <c r="AG479" i="1"/>
  <c r="AG487" i="1"/>
  <c r="AG495" i="1"/>
  <c r="AG503" i="1"/>
  <c r="AG511" i="1"/>
  <c r="AG519" i="1"/>
  <c r="AJ369" i="1"/>
  <c r="AJ817" i="1"/>
  <c r="AH54" i="1"/>
  <c r="AH223" i="1"/>
  <c r="AH340" i="1"/>
  <c r="AH442" i="1"/>
  <c r="AH545" i="1"/>
  <c r="AH636" i="1"/>
  <c r="AH719" i="1"/>
  <c r="AH786" i="1"/>
  <c r="AH850" i="1"/>
  <c r="AH914" i="1"/>
  <c r="AH978" i="1"/>
  <c r="AG40" i="1"/>
  <c r="AG104" i="1"/>
  <c r="AG168" i="1"/>
  <c r="AG232" i="1"/>
  <c r="AG296" i="1"/>
  <c r="AG349" i="1"/>
  <c r="AG392" i="1"/>
  <c r="AG430" i="1"/>
  <c r="AG462" i="1"/>
  <c r="AG494" i="1"/>
  <c r="AG526" i="1"/>
  <c r="AG544" i="1"/>
  <c r="AG567" i="1"/>
  <c r="AG590" i="1"/>
  <c r="AG608" i="1"/>
  <c r="AG631" i="1"/>
  <c r="AG654" i="1"/>
  <c r="AG672" i="1"/>
  <c r="AG695" i="1"/>
  <c r="AG718" i="1"/>
  <c r="AG736" i="1"/>
  <c r="AG759" i="1"/>
  <c r="AG782" i="1"/>
  <c r="AG800" i="1"/>
  <c r="AG823" i="1"/>
  <c r="AG846" i="1"/>
  <c r="AG864" i="1"/>
  <c r="AG887" i="1"/>
  <c r="AG910" i="1"/>
  <c r="AG928" i="1"/>
  <c r="AG951" i="1"/>
  <c r="AG974" i="1"/>
  <c r="AG992" i="1"/>
  <c r="AF13" i="1"/>
  <c r="AF36" i="1"/>
  <c r="AF50" i="1"/>
  <c r="AF60" i="1"/>
  <c r="AF70" i="1"/>
  <c r="AF82" i="1"/>
  <c r="AF92" i="1"/>
  <c r="AF102" i="1"/>
  <c r="AF114" i="1"/>
  <c r="AF124" i="1"/>
  <c r="AF132" i="1"/>
  <c r="AF140" i="1"/>
  <c r="AF148" i="1"/>
  <c r="AF156" i="1"/>
  <c r="AF164" i="1"/>
  <c r="AF172" i="1"/>
  <c r="AF180" i="1"/>
  <c r="AF188" i="1"/>
  <c r="AF196" i="1"/>
  <c r="AF204" i="1"/>
  <c r="AF212" i="1"/>
  <c r="AF220" i="1"/>
  <c r="AF228" i="1"/>
  <c r="AF236" i="1"/>
  <c r="AF244" i="1"/>
  <c r="AF252" i="1"/>
  <c r="AF260" i="1"/>
  <c r="AF268" i="1"/>
  <c r="AF276" i="1"/>
  <c r="AF284" i="1"/>
  <c r="AF292" i="1"/>
  <c r="AF300" i="1"/>
  <c r="AF308" i="1"/>
  <c r="AF316" i="1"/>
  <c r="AF324" i="1"/>
  <c r="AF332" i="1"/>
  <c r="AF340" i="1"/>
  <c r="AF348" i="1"/>
  <c r="AF356" i="1"/>
  <c r="AF364" i="1"/>
  <c r="AF372" i="1"/>
  <c r="AF380" i="1"/>
  <c r="AF388" i="1"/>
  <c r="AF396" i="1"/>
  <c r="AF404" i="1"/>
  <c r="AF412" i="1"/>
  <c r="AF420" i="1"/>
  <c r="AF428" i="1"/>
  <c r="AF436" i="1"/>
  <c r="AF444" i="1"/>
  <c r="AF452" i="1"/>
  <c r="AF460" i="1"/>
  <c r="AF468" i="1"/>
  <c r="AF476" i="1"/>
  <c r="AF484" i="1"/>
  <c r="AF492" i="1"/>
  <c r="AF500" i="1"/>
  <c r="AF508" i="1"/>
  <c r="AF516" i="1"/>
  <c r="AF524" i="1"/>
  <c r="AF532" i="1"/>
  <c r="AF540" i="1"/>
  <c r="AF548" i="1"/>
  <c r="AF556" i="1"/>
  <c r="AF564" i="1"/>
  <c r="AF572" i="1"/>
  <c r="AF580" i="1"/>
  <c r="AF588" i="1"/>
  <c r="AF596" i="1"/>
  <c r="AF604" i="1"/>
  <c r="AF612" i="1"/>
  <c r="AF620" i="1"/>
  <c r="AF628" i="1"/>
  <c r="AF636" i="1"/>
  <c r="AF644" i="1"/>
  <c r="AF652" i="1"/>
  <c r="AF660" i="1"/>
  <c r="AF668" i="1"/>
  <c r="AF676" i="1"/>
  <c r="AF684" i="1"/>
  <c r="AF692" i="1"/>
  <c r="AF700" i="1"/>
  <c r="AF708" i="1"/>
  <c r="AF716" i="1"/>
  <c r="AF724" i="1"/>
  <c r="AF732" i="1"/>
  <c r="AF740" i="1"/>
  <c r="AF748" i="1"/>
  <c r="AF756" i="1"/>
  <c r="AF764" i="1"/>
  <c r="AF772" i="1"/>
  <c r="AF780" i="1"/>
  <c r="AF788" i="1"/>
  <c r="AF796" i="1"/>
  <c r="AF804" i="1"/>
  <c r="AF812" i="1"/>
  <c r="AF820" i="1"/>
  <c r="AF828" i="1"/>
  <c r="AF836" i="1"/>
  <c r="AF844" i="1"/>
  <c r="AF852" i="1"/>
  <c r="AF860" i="1"/>
  <c r="AF868" i="1"/>
  <c r="AF876" i="1"/>
  <c r="AF892" i="1"/>
  <c r="AF924" i="1"/>
  <c r="AF932" i="1"/>
  <c r="AF964" i="1"/>
  <c r="AF996" i="1"/>
  <c r="AJ399" i="1"/>
  <c r="AJ836" i="1"/>
  <c r="AH71" i="1"/>
  <c r="AH225" i="1"/>
  <c r="AH348" i="1"/>
  <c r="AH450" i="1"/>
  <c r="AH553" i="1"/>
  <c r="AH642" i="1"/>
  <c r="AH724" i="1"/>
  <c r="AH791" i="1"/>
  <c r="AH855" i="1"/>
  <c r="AH919" i="1"/>
  <c r="AH983" i="1"/>
  <c r="AG45" i="1"/>
  <c r="AG109" i="1"/>
  <c r="AG173" i="1"/>
  <c r="AG237" i="1"/>
  <c r="AG301" i="1"/>
  <c r="AG352" i="1"/>
  <c r="AG394" i="1"/>
  <c r="AG432" i="1"/>
  <c r="AG464" i="1"/>
  <c r="AG496" i="1"/>
  <c r="AG527" i="1"/>
  <c r="AG550" i="1"/>
  <c r="AG568" i="1"/>
  <c r="AG591" i="1"/>
  <c r="AG614" i="1"/>
  <c r="AG632" i="1"/>
  <c r="AG655" i="1"/>
  <c r="AG678" i="1"/>
  <c r="AG696" i="1"/>
  <c r="AG719" i="1"/>
  <c r="AG742" i="1"/>
  <c r="AG760" i="1"/>
  <c r="AG783" i="1"/>
  <c r="AG806" i="1"/>
  <c r="AG824" i="1"/>
  <c r="AG847" i="1"/>
  <c r="AG870" i="1"/>
  <c r="AG888" i="1"/>
  <c r="AG911" i="1"/>
  <c r="AG934" i="1"/>
  <c r="AG952" i="1"/>
  <c r="AG975" i="1"/>
  <c r="AG998" i="1"/>
  <c r="AF14" i="1"/>
  <c r="AF37" i="1"/>
  <c r="AF51" i="1"/>
  <c r="AF61" i="1"/>
  <c r="AF72" i="1"/>
  <c r="AF83" i="1"/>
  <c r="AF93" i="1"/>
  <c r="AF104" i="1"/>
  <c r="AF115" i="1"/>
  <c r="AF125" i="1"/>
  <c r="AF133" i="1"/>
  <c r="AF141" i="1"/>
  <c r="AF149" i="1"/>
  <c r="AF157" i="1"/>
  <c r="AF165" i="1"/>
  <c r="AF173" i="1"/>
  <c r="AF181" i="1"/>
  <c r="AF189" i="1"/>
  <c r="AF197" i="1"/>
  <c r="AF205" i="1"/>
  <c r="AF213" i="1"/>
  <c r="AF221" i="1"/>
  <c r="AF229" i="1"/>
  <c r="AF237" i="1"/>
  <c r="AF245" i="1"/>
  <c r="AF253" i="1"/>
  <c r="AF261" i="1"/>
  <c r="AF269" i="1"/>
  <c r="AF277" i="1"/>
  <c r="AF285" i="1"/>
  <c r="AF293" i="1"/>
  <c r="AF301" i="1"/>
  <c r="AF309" i="1"/>
  <c r="AF317" i="1"/>
  <c r="AF325" i="1"/>
  <c r="AF333" i="1"/>
  <c r="AF341" i="1"/>
  <c r="AF349" i="1"/>
  <c r="AF357" i="1"/>
  <c r="AF365" i="1"/>
  <c r="AF373" i="1"/>
  <c r="AF381" i="1"/>
  <c r="AF389" i="1"/>
  <c r="AF397" i="1"/>
  <c r="AF405" i="1"/>
  <c r="AF413" i="1"/>
  <c r="AF421" i="1"/>
  <c r="AF429" i="1"/>
  <c r="AF437" i="1"/>
  <c r="AF445" i="1"/>
  <c r="AF453" i="1"/>
  <c r="AF461" i="1"/>
  <c r="AF469" i="1"/>
  <c r="AF477" i="1"/>
  <c r="AF485" i="1"/>
  <c r="AF493" i="1"/>
  <c r="AF501" i="1"/>
  <c r="AF509" i="1"/>
  <c r="AF517" i="1"/>
  <c r="AF525" i="1"/>
  <c r="AF533" i="1"/>
  <c r="AF541" i="1"/>
  <c r="AF549" i="1"/>
  <c r="AF557" i="1"/>
  <c r="AF565" i="1"/>
  <c r="AF573" i="1"/>
  <c r="AF581" i="1"/>
  <c r="AF589" i="1"/>
  <c r="AF597" i="1"/>
  <c r="AF605" i="1"/>
  <c r="AF613" i="1"/>
  <c r="AF621" i="1"/>
  <c r="AF629" i="1"/>
  <c r="AF637" i="1"/>
  <c r="AF645" i="1"/>
  <c r="AF653" i="1"/>
  <c r="AF661" i="1"/>
  <c r="AF669" i="1"/>
  <c r="AF677" i="1"/>
  <c r="AF685" i="1"/>
  <c r="AF693" i="1"/>
  <c r="AF701" i="1"/>
  <c r="AF709" i="1"/>
  <c r="AF717" i="1"/>
  <c r="AF725" i="1"/>
  <c r="AF733" i="1"/>
  <c r="AF741" i="1"/>
  <c r="AF749" i="1"/>
  <c r="AF757" i="1"/>
  <c r="AF765" i="1"/>
  <c r="AF773" i="1"/>
  <c r="AF781" i="1"/>
  <c r="AF789" i="1"/>
  <c r="AF797" i="1"/>
  <c r="AF805" i="1"/>
  <c r="AF813" i="1"/>
  <c r="AF821" i="1"/>
  <c r="AF829" i="1"/>
  <c r="AF837" i="1"/>
  <c r="AF845" i="1"/>
  <c r="AF853" i="1"/>
  <c r="AF861" i="1"/>
  <c r="AF869" i="1"/>
  <c r="AF877" i="1"/>
  <c r="AF885" i="1"/>
  <c r="AF893" i="1"/>
  <c r="AF901" i="1"/>
  <c r="AF909" i="1"/>
  <c r="AF917" i="1"/>
  <c r="AF925" i="1"/>
  <c r="AF933" i="1"/>
  <c r="AF941" i="1"/>
  <c r="AF949" i="1"/>
  <c r="AF957" i="1"/>
  <c r="AF965" i="1"/>
  <c r="AF973" i="1"/>
  <c r="AF981" i="1"/>
  <c r="AF989" i="1"/>
  <c r="AF997" i="1"/>
  <c r="AJ952" i="1"/>
  <c r="AG13" i="1"/>
  <c r="AG373" i="1"/>
  <c r="AG512" i="1"/>
  <c r="AG600" i="1"/>
  <c r="AG664" i="1"/>
  <c r="AG751" i="1"/>
  <c r="AG838" i="1"/>
  <c r="AG920" i="1"/>
  <c r="AF5" i="1"/>
  <c r="AF67" i="1"/>
  <c r="AF99" i="1"/>
  <c r="AF129" i="1"/>
  <c r="AF161" i="1"/>
  <c r="AF193" i="1"/>
  <c r="AF225" i="1"/>
  <c r="AF257" i="1"/>
  <c r="AF289" i="1"/>
  <c r="AF321" i="1"/>
  <c r="AF345" i="1"/>
  <c r="AF377" i="1"/>
  <c r="AF409" i="1"/>
  <c r="AF441" i="1"/>
  <c r="AF473" i="1"/>
  <c r="AF505" i="1"/>
  <c r="AF537" i="1"/>
  <c r="AF569" i="1"/>
  <c r="AF601" i="1"/>
  <c r="AF633" i="1"/>
  <c r="AF665" i="1"/>
  <c r="AF697" i="1"/>
  <c r="AF729" i="1"/>
  <c r="AF761" i="1"/>
  <c r="AF793" i="1"/>
  <c r="AF825" i="1"/>
  <c r="AF865" i="1"/>
  <c r="AF897" i="1"/>
  <c r="AF929" i="1"/>
  <c r="AF961" i="1"/>
  <c r="AF993" i="1"/>
  <c r="AF80" i="1"/>
  <c r="AF163" i="1"/>
  <c r="AF195" i="1"/>
  <c r="AF235" i="1"/>
  <c r="AF275" i="1"/>
  <c r="AF315" i="1"/>
  <c r="AF355" i="1"/>
  <c r="AF395" i="1"/>
  <c r="AF419" i="1"/>
  <c r="AF451" i="1"/>
  <c r="AF491" i="1"/>
  <c r="AF531" i="1"/>
  <c r="AF571" i="1"/>
  <c r="AF611" i="1"/>
  <c r="AF651" i="1"/>
  <c r="AF691" i="1"/>
  <c r="AF715" i="1"/>
  <c r="AF747" i="1"/>
  <c r="AF779" i="1"/>
  <c r="AF819" i="1"/>
  <c r="AF851" i="1"/>
  <c r="AF883" i="1"/>
  <c r="AF915" i="1"/>
  <c r="AF939" i="1"/>
  <c r="AF979" i="1"/>
  <c r="AF884" i="1"/>
  <c r="AF940" i="1"/>
  <c r="AF972" i="1"/>
  <c r="AK328" i="1"/>
  <c r="AJ538" i="1"/>
  <c r="AJ882" i="1"/>
  <c r="AH103" i="1"/>
  <c r="AH251" i="1"/>
  <c r="AH367" i="1"/>
  <c r="AH468" i="1"/>
  <c r="AH570" i="1"/>
  <c r="AH657" i="1"/>
  <c r="AH737" i="1"/>
  <c r="AH802" i="1"/>
  <c r="AH866" i="1"/>
  <c r="AH930" i="1"/>
  <c r="AH994" i="1"/>
  <c r="AG56" i="1"/>
  <c r="AG120" i="1"/>
  <c r="AG184" i="1"/>
  <c r="AG248" i="1"/>
  <c r="AG312" i="1"/>
  <c r="AG360" i="1"/>
  <c r="AG402" i="1"/>
  <c r="AG438" i="1"/>
  <c r="AG470" i="1"/>
  <c r="AG502" i="1"/>
  <c r="AG528" i="1"/>
  <c r="AG551" i="1"/>
  <c r="AG574" i="1"/>
  <c r="AG592" i="1"/>
  <c r="AG615" i="1"/>
  <c r="AG638" i="1"/>
  <c r="AG656" i="1"/>
  <c r="AG679" i="1"/>
  <c r="AG702" i="1"/>
  <c r="AG720" i="1"/>
  <c r="AG743" i="1"/>
  <c r="AG766" i="1"/>
  <c r="AG784" i="1"/>
  <c r="AG807" i="1"/>
  <c r="AG830" i="1"/>
  <c r="AG848" i="1"/>
  <c r="AG871" i="1"/>
  <c r="AG894" i="1"/>
  <c r="AG912" i="1"/>
  <c r="AG935" i="1"/>
  <c r="AG958" i="1"/>
  <c r="AG976" i="1"/>
  <c r="AG999" i="1"/>
  <c r="AF20" i="1"/>
  <c r="AF38" i="1"/>
  <c r="AF52" i="1"/>
  <c r="AF62" i="1"/>
  <c r="AF74" i="1"/>
  <c r="AF84" i="1"/>
  <c r="AF94" i="1"/>
  <c r="AF106" i="1"/>
  <c r="AF116" i="1"/>
  <c r="AF126" i="1"/>
  <c r="AF134" i="1"/>
  <c r="AF142" i="1"/>
  <c r="AF150" i="1"/>
  <c r="AF158" i="1"/>
  <c r="AF166" i="1"/>
  <c r="AF174" i="1"/>
  <c r="AF182" i="1"/>
  <c r="AF190" i="1"/>
  <c r="AF198" i="1"/>
  <c r="AF206" i="1"/>
  <c r="AF214" i="1"/>
  <c r="AF222" i="1"/>
  <c r="AF230" i="1"/>
  <c r="AF238" i="1"/>
  <c r="AF246" i="1"/>
  <c r="AF254" i="1"/>
  <c r="AF262" i="1"/>
  <c r="AF270" i="1"/>
  <c r="AF278" i="1"/>
  <c r="AF286" i="1"/>
  <c r="AF294" i="1"/>
  <c r="AF302" i="1"/>
  <c r="AF310" i="1"/>
  <c r="AF318" i="1"/>
  <c r="AF326" i="1"/>
  <c r="AF334" i="1"/>
  <c r="AF342" i="1"/>
  <c r="AF350" i="1"/>
  <c r="AF358" i="1"/>
  <c r="AF366" i="1"/>
  <c r="AF374" i="1"/>
  <c r="AF382" i="1"/>
  <c r="AF390" i="1"/>
  <c r="AF398" i="1"/>
  <c r="AF406" i="1"/>
  <c r="AF414" i="1"/>
  <c r="AF422" i="1"/>
  <c r="AF430" i="1"/>
  <c r="AF438" i="1"/>
  <c r="AF446" i="1"/>
  <c r="AF454" i="1"/>
  <c r="AF462" i="1"/>
  <c r="AF470" i="1"/>
  <c r="AF478" i="1"/>
  <c r="AF486" i="1"/>
  <c r="AF494" i="1"/>
  <c r="AF502" i="1"/>
  <c r="AF510" i="1"/>
  <c r="AF518" i="1"/>
  <c r="AF526" i="1"/>
  <c r="AF534" i="1"/>
  <c r="AF542" i="1"/>
  <c r="AF550" i="1"/>
  <c r="AF558" i="1"/>
  <c r="AF566" i="1"/>
  <c r="AF574" i="1"/>
  <c r="AF582" i="1"/>
  <c r="AF590" i="1"/>
  <c r="AF598" i="1"/>
  <c r="AF606" i="1"/>
  <c r="AF614" i="1"/>
  <c r="AF622" i="1"/>
  <c r="AF630" i="1"/>
  <c r="AF638" i="1"/>
  <c r="AF646" i="1"/>
  <c r="AF654" i="1"/>
  <c r="AF662" i="1"/>
  <c r="AF670" i="1"/>
  <c r="AF678" i="1"/>
  <c r="AF686" i="1"/>
  <c r="AF694" i="1"/>
  <c r="AF702" i="1"/>
  <c r="AF710" i="1"/>
  <c r="AF718" i="1"/>
  <c r="AF726" i="1"/>
  <c r="AF734" i="1"/>
  <c r="AF742" i="1"/>
  <c r="AF750" i="1"/>
  <c r="AF758" i="1"/>
  <c r="AF766" i="1"/>
  <c r="AF774" i="1"/>
  <c r="AF782" i="1"/>
  <c r="AF790" i="1"/>
  <c r="AF798" i="1"/>
  <c r="AF806" i="1"/>
  <c r="AF814" i="1"/>
  <c r="AF822" i="1"/>
  <c r="AF830" i="1"/>
  <c r="AF838" i="1"/>
  <c r="AF846" i="1"/>
  <c r="AF854" i="1"/>
  <c r="AF862" i="1"/>
  <c r="AF870" i="1"/>
  <c r="AF878" i="1"/>
  <c r="AF886" i="1"/>
  <c r="AF894" i="1"/>
  <c r="AF902" i="1"/>
  <c r="AF910" i="1"/>
  <c r="AF918" i="1"/>
  <c r="AF926" i="1"/>
  <c r="AF934" i="1"/>
  <c r="AF942" i="1"/>
  <c r="AF950" i="1"/>
  <c r="AF958" i="1"/>
  <c r="AF966" i="1"/>
  <c r="AF974" i="1"/>
  <c r="AF982" i="1"/>
  <c r="AF990" i="1"/>
  <c r="AF998" i="1"/>
  <c r="AH152" i="1"/>
  <c r="AH823" i="1"/>
  <c r="AG141" i="1"/>
  <c r="AG330" i="1"/>
  <c r="AG480" i="1"/>
  <c r="AG582" i="1"/>
  <c r="AG710" i="1"/>
  <c r="AG792" i="1"/>
  <c r="AG879" i="1"/>
  <c r="AG966" i="1"/>
  <c r="AF56" i="1"/>
  <c r="AF88" i="1"/>
  <c r="AF137" i="1"/>
  <c r="AF169" i="1"/>
  <c r="AF201" i="1"/>
  <c r="AF233" i="1"/>
  <c r="AF265" i="1"/>
  <c r="AF305" i="1"/>
  <c r="AF337" i="1"/>
  <c r="AF369" i="1"/>
  <c r="AF401" i="1"/>
  <c r="AF433" i="1"/>
  <c r="AF465" i="1"/>
  <c r="AF497" i="1"/>
  <c r="AF545" i="1"/>
  <c r="AF577" i="1"/>
  <c r="AF609" i="1"/>
  <c r="AF641" i="1"/>
  <c r="AF681" i="1"/>
  <c r="AF713" i="1"/>
  <c r="AF745" i="1"/>
  <c r="AF777" i="1"/>
  <c r="AF809" i="1"/>
  <c r="AF841" i="1"/>
  <c r="AF881" i="1"/>
  <c r="AF913" i="1"/>
  <c r="AF945" i="1"/>
  <c r="AF977" i="1"/>
  <c r="AF123" i="1"/>
  <c r="AF179" i="1"/>
  <c r="AF227" i="1"/>
  <c r="AF267" i="1"/>
  <c r="AF299" i="1"/>
  <c r="AF339" i="1"/>
  <c r="AF379" i="1"/>
  <c r="AF435" i="1"/>
  <c r="AF459" i="1"/>
  <c r="AF499" i="1"/>
  <c r="AF539" i="1"/>
  <c r="AF579" i="1"/>
  <c r="AF635" i="1"/>
  <c r="AF675" i="1"/>
  <c r="AF707" i="1"/>
  <c r="AF739" i="1"/>
  <c r="AF771" i="1"/>
  <c r="AF803" i="1"/>
  <c r="AF835" i="1"/>
  <c r="AF867" i="1"/>
  <c r="AF891" i="1"/>
  <c r="AF931" i="1"/>
  <c r="AF963" i="1"/>
  <c r="AF995" i="1"/>
  <c r="AF900" i="1"/>
  <c r="AF956" i="1"/>
  <c r="AK396" i="1"/>
  <c r="AJ583" i="1"/>
  <c r="AJ904" i="1"/>
  <c r="AH105" i="1"/>
  <c r="AH264" i="1"/>
  <c r="AH375" i="1"/>
  <c r="AH476" i="1"/>
  <c r="AH578" i="1"/>
  <c r="AH664" i="1"/>
  <c r="AH743" i="1"/>
  <c r="AH807" i="1"/>
  <c r="AH871" i="1"/>
  <c r="AH935" i="1"/>
  <c r="AH999" i="1"/>
  <c r="AG61" i="1"/>
  <c r="AG125" i="1"/>
  <c r="AG189" i="1"/>
  <c r="AG253" i="1"/>
  <c r="AG317" i="1"/>
  <c r="AG362" i="1"/>
  <c r="AG405" i="1"/>
  <c r="AG440" i="1"/>
  <c r="AG472" i="1"/>
  <c r="AG504" i="1"/>
  <c r="AG534" i="1"/>
  <c r="AG552" i="1"/>
  <c r="AG575" i="1"/>
  <c r="AG598" i="1"/>
  <c r="AG616" i="1"/>
  <c r="AG639" i="1"/>
  <c r="AG662" i="1"/>
  <c r="AG680" i="1"/>
  <c r="AG703" i="1"/>
  <c r="AG726" i="1"/>
  <c r="AG744" i="1"/>
  <c r="AG767" i="1"/>
  <c r="AG790" i="1"/>
  <c r="AG808" i="1"/>
  <c r="AG831" i="1"/>
  <c r="AG854" i="1"/>
  <c r="AG872" i="1"/>
  <c r="AG895" i="1"/>
  <c r="AG918" i="1"/>
  <c r="AG936" i="1"/>
  <c r="AG959" i="1"/>
  <c r="AG982" i="1"/>
  <c r="AG1000" i="1"/>
  <c r="AF21" i="1"/>
  <c r="AF43" i="1"/>
  <c r="AF53" i="1"/>
  <c r="AF64" i="1"/>
  <c r="AF75" i="1"/>
  <c r="AF85" i="1"/>
  <c r="AF96" i="1"/>
  <c r="AF107" i="1"/>
  <c r="AF117" i="1"/>
  <c r="AF127" i="1"/>
  <c r="AF135" i="1"/>
  <c r="AF143" i="1"/>
  <c r="AF151" i="1"/>
  <c r="AF159" i="1"/>
  <c r="AF167" i="1"/>
  <c r="AF175" i="1"/>
  <c r="AF183" i="1"/>
  <c r="AF191" i="1"/>
  <c r="AF199" i="1"/>
  <c r="AF207" i="1"/>
  <c r="AF215" i="1"/>
  <c r="AF223" i="1"/>
  <c r="AF231" i="1"/>
  <c r="AF239" i="1"/>
  <c r="AF247" i="1"/>
  <c r="AF255" i="1"/>
  <c r="AF263" i="1"/>
  <c r="AF271" i="1"/>
  <c r="AF279" i="1"/>
  <c r="AF287" i="1"/>
  <c r="AF295" i="1"/>
  <c r="AF303" i="1"/>
  <c r="AF311" i="1"/>
  <c r="AF319" i="1"/>
  <c r="AF327" i="1"/>
  <c r="AF335" i="1"/>
  <c r="AF343" i="1"/>
  <c r="AF351" i="1"/>
  <c r="AF359" i="1"/>
  <c r="AF367" i="1"/>
  <c r="AF375" i="1"/>
  <c r="AF383" i="1"/>
  <c r="AF391" i="1"/>
  <c r="AF399" i="1"/>
  <c r="AF407" i="1"/>
  <c r="AF415" i="1"/>
  <c r="AF423" i="1"/>
  <c r="AF431" i="1"/>
  <c r="AF439" i="1"/>
  <c r="AF447" i="1"/>
  <c r="AF455" i="1"/>
  <c r="AF463" i="1"/>
  <c r="AF471" i="1"/>
  <c r="AF479" i="1"/>
  <c r="AF487" i="1"/>
  <c r="AF495" i="1"/>
  <c r="AF503" i="1"/>
  <c r="AF511" i="1"/>
  <c r="AF519" i="1"/>
  <c r="AF527" i="1"/>
  <c r="AF535" i="1"/>
  <c r="AF543" i="1"/>
  <c r="AF551" i="1"/>
  <c r="AF559" i="1"/>
  <c r="AF567" i="1"/>
  <c r="AF575" i="1"/>
  <c r="AF583" i="1"/>
  <c r="AF591" i="1"/>
  <c r="AF599" i="1"/>
  <c r="AF607" i="1"/>
  <c r="AF615" i="1"/>
  <c r="AF623" i="1"/>
  <c r="AF631" i="1"/>
  <c r="AF639" i="1"/>
  <c r="AF647" i="1"/>
  <c r="AF655" i="1"/>
  <c r="AF663" i="1"/>
  <c r="AF671" i="1"/>
  <c r="AF679" i="1"/>
  <c r="AF687" i="1"/>
  <c r="AF695" i="1"/>
  <c r="AF703" i="1"/>
  <c r="AF711" i="1"/>
  <c r="AF719" i="1"/>
  <c r="AF727" i="1"/>
  <c r="AF735" i="1"/>
  <c r="AF743" i="1"/>
  <c r="AF751" i="1"/>
  <c r="AF759" i="1"/>
  <c r="AF767" i="1"/>
  <c r="AF775" i="1"/>
  <c r="AF783" i="1"/>
  <c r="AF791" i="1"/>
  <c r="AF799" i="1"/>
  <c r="AF807" i="1"/>
  <c r="AF815" i="1"/>
  <c r="AF823" i="1"/>
  <c r="AF831" i="1"/>
  <c r="AF839" i="1"/>
  <c r="AF847" i="1"/>
  <c r="AF855" i="1"/>
  <c r="AF863" i="1"/>
  <c r="AF871" i="1"/>
  <c r="AF879" i="1"/>
  <c r="AF887" i="1"/>
  <c r="AF895" i="1"/>
  <c r="AF903" i="1"/>
  <c r="AF911" i="1"/>
  <c r="AF919" i="1"/>
  <c r="AF927" i="1"/>
  <c r="AF935" i="1"/>
  <c r="AF943" i="1"/>
  <c r="AF951" i="1"/>
  <c r="AF959" i="1"/>
  <c r="AF967" i="1"/>
  <c r="AF975" i="1"/>
  <c r="AF983" i="1"/>
  <c r="AF991" i="1"/>
  <c r="AF999" i="1"/>
  <c r="AK930" i="1"/>
  <c r="AH400" i="1"/>
  <c r="AH600" i="1"/>
  <c r="AH759" i="1"/>
  <c r="AH951" i="1"/>
  <c r="AG77" i="1"/>
  <c r="AG269" i="1"/>
  <c r="AG448" i="1"/>
  <c r="AG559" i="1"/>
  <c r="AG646" i="1"/>
  <c r="AG728" i="1"/>
  <c r="AG815" i="1"/>
  <c r="AG902" i="1"/>
  <c r="AG984" i="1"/>
  <c r="AF28" i="1"/>
  <c r="AF77" i="1"/>
  <c r="AF120" i="1"/>
  <c r="AF153" i="1"/>
  <c r="AF185" i="1"/>
  <c r="AF217" i="1"/>
  <c r="AF241" i="1"/>
  <c r="AF273" i="1"/>
  <c r="AF297" i="1"/>
  <c r="AF329" i="1"/>
  <c r="AF361" i="1"/>
  <c r="AF393" i="1"/>
  <c r="AF425" i="1"/>
  <c r="AF457" i="1"/>
  <c r="AF489" i="1"/>
  <c r="AF513" i="1"/>
  <c r="AF529" i="1"/>
  <c r="AF561" i="1"/>
  <c r="AF593" i="1"/>
  <c r="AF625" i="1"/>
  <c r="AF657" i="1"/>
  <c r="AF673" i="1"/>
  <c r="AF705" i="1"/>
  <c r="AF737" i="1"/>
  <c r="AF769" i="1"/>
  <c r="AF801" i="1"/>
  <c r="AF833" i="1"/>
  <c r="AF857" i="1"/>
  <c r="AF889" i="1"/>
  <c r="AF921" i="1"/>
  <c r="AF953" i="1"/>
  <c r="AF985" i="1"/>
  <c r="AF112" i="1"/>
  <c r="AF211" i="1"/>
  <c r="AF251" i="1"/>
  <c r="AF291" i="1"/>
  <c r="AF323" i="1"/>
  <c r="AF363" i="1"/>
  <c r="AF403" i="1"/>
  <c r="AF443" i="1"/>
  <c r="AF483" i="1"/>
  <c r="AF523" i="1"/>
  <c r="AF563" i="1"/>
  <c r="AF603" i="1"/>
  <c r="AF627" i="1"/>
  <c r="AF659" i="1"/>
  <c r="AF699" i="1"/>
  <c r="AF731" i="1"/>
  <c r="AF755" i="1"/>
  <c r="AF787" i="1"/>
  <c r="AF811" i="1"/>
  <c r="AF843" i="1"/>
  <c r="AF875" i="1"/>
  <c r="AF907" i="1"/>
  <c r="AF947" i="1"/>
  <c r="AF971" i="1"/>
  <c r="AF1003" i="1"/>
  <c r="AF916" i="1"/>
  <c r="AF980" i="1"/>
  <c r="AK824" i="1"/>
  <c r="AJ665" i="1"/>
  <c r="AJ945" i="1"/>
  <c r="AH137" i="1"/>
  <c r="AH289" i="1"/>
  <c r="AH392" i="1"/>
  <c r="AH495" i="1"/>
  <c r="AH593" i="1"/>
  <c r="AH679" i="1"/>
  <c r="AH754" i="1"/>
  <c r="AH818" i="1"/>
  <c r="AH882" i="1"/>
  <c r="AH946" i="1"/>
  <c r="AG8" i="1"/>
  <c r="AG72" i="1"/>
  <c r="AG136" i="1"/>
  <c r="AG200" i="1"/>
  <c r="AG264" i="1"/>
  <c r="AG328" i="1"/>
  <c r="AG370" i="1"/>
  <c r="AG413" i="1"/>
  <c r="AG446" i="1"/>
  <c r="AG478" i="1"/>
  <c r="AG510" i="1"/>
  <c r="AG535" i="1"/>
  <c r="AG558" i="1"/>
  <c r="AG576" i="1"/>
  <c r="AG599" i="1"/>
  <c r="AG622" i="1"/>
  <c r="AG640" i="1"/>
  <c r="AG663" i="1"/>
  <c r="AG686" i="1"/>
  <c r="AG704" i="1"/>
  <c r="AG727" i="1"/>
  <c r="AG750" i="1"/>
  <c r="AG768" i="1"/>
  <c r="AG791" i="1"/>
  <c r="AG814" i="1"/>
  <c r="AG832" i="1"/>
  <c r="AG855" i="1"/>
  <c r="AG878" i="1"/>
  <c r="AG896" i="1"/>
  <c r="AG919" i="1"/>
  <c r="AG942" i="1"/>
  <c r="AG960" i="1"/>
  <c r="AG983" i="1"/>
  <c r="AF4" i="1"/>
  <c r="AF22" i="1"/>
  <c r="AF44" i="1"/>
  <c r="AF54" i="1"/>
  <c r="AF66" i="1"/>
  <c r="AF76" i="1"/>
  <c r="AF86" i="1"/>
  <c r="AF98" i="1"/>
  <c r="AF108" i="1"/>
  <c r="AF118" i="1"/>
  <c r="AF128" i="1"/>
  <c r="AF136" i="1"/>
  <c r="AF144" i="1"/>
  <c r="AF152" i="1"/>
  <c r="AF160" i="1"/>
  <c r="AF168" i="1"/>
  <c r="AF176" i="1"/>
  <c r="AF184" i="1"/>
  <c r="AF192" i="1"/>
  <c r="AF200" i="1"/>
  <c r="AF208" i="1"/>
  <c r="AF216" i="1"/>
  <c r="AF224" i="1"/>
  <c r="AF232" i="1"/>
  <c r="AF240" i="1"/>
  <c r="AF248" i="1"/>
  <c r="AF256" i="1"/>
  <c r="AF264" i="1"/>
  <c r="AF272" i="1"/>
  <c r="AF280" i="1"/>
  <c r="AF288" i="1"/>
  <c r="AF296" i="1"/>
  <c r="AF304" i="1"/>
  <c r="AF312" i="1"/>
  <c r="AF320" i="1"/>
  <c r="AF328" i="1"/>
  <c r="AF336" i="1"/>
  <c r="AF344" i="1"/>
  <c r="AF352" i="1"/>
  <c r="AF360" i="1"/>
  <c r="AF368" i="1"/>
  <c r="AF376" i="1"/>
  <c r="AF384" i="1"/>
  <c r="AF392" i="1"/>
  <c r="AF400" i="1"/>
  <c r="AF408" i="1"/>
  <c r="AF416" i="1"/>
  <c r="AF424" i="1"/>
  <c r="AF432" i="1"/>
  <c r="AF440" i="1"/>
  <c r="AF448" i="1"/>
  <c r="AF456" i="1"/>
  <c r="AF464" i="1"/>
  <c r="AF472" i="1"/>
  <c r="AF480" i="1"/>
  <c r="AF488" i="1"/>
  <c r="AF496" i="1"/>
  <c r="AF504" i="1"/>
  <c r="AF512" i="1"/>
  <c r="AF520" i="1"/>
  <c r="AF528" i="1"/>
  <c r="AF536" i="1"/>
  <c r="AF544" i="1"/>
  <c r="AF552" i="1"/>
  <c r="AF560" i="1"/>
  <c r="AF568" i="1"/>
  <c r="AF576" i="1"/>
  <c r="AF584" i="1"/>
  <c r="AF592" i="1"/>
  <c r="AF600" i="1"/>
  <c r="AF608" i="1"/>
  <c r="AF616" i="1"/>
  <c r="AF624" i="1"/>
  <c r="AF632" i="1"/>
  <c r="AF640" i="1"/>
  <c r="AF648" i="1"/>
  <c r="AF656" i="1"/>
  <c r="AF664" i="1"/>
  <c r="AF672" i="1"/>
  <c r="AF680" i="1"/>
  <c r="AF688" i="1"/>
  <c r="AF696" i="1"/>
  <c r="AF704" i="1"/>
  <c r="AF712" i="1"/>
  <c r="AF720" i="1"/>
  <c r="AF728" i="1"/>
  <c r="AF736" i="1"/>
  <c r="AF744" i="1"/>
  <c r="AF752" i="1"/>
  <c r="AF760" i="1"/>
  <c r="AF768" i="1"/>
  <c r="AF776" i="1"/>
  <c r="AF784" i="1"/>
  <c r="AF792" i="1"/>
  <c r="AF800" i="1"/>
  <c r="AF808" i="1"/>
  <c r="AF816" i="1"/>
  <c r="AF824" i="1"/>
  <c r="AF832" i="1"/>
  <c r="AF840" i="1"/>
  <c r="AF848" i="1"/>
  <c r="AF856" i="1"/>
  <c r="AF864" i="1"/>
  <c r="AF872" i="1"/>
  <c r="AF880" i="1"/>
  <c r="AF888" i="1"/>
  <c r="AF896" i="1"/>
  <c r="AF904" i="1"/>
  <c r="AF912" i="1"/>
  <c r="AF920" i="1"/>
  <c r="AF928" i="1"/>
  <c r="AF936" i="1"/>
  <c r="AF944" i="1"/>
  <c r="AF952" i="1"/>
  <c r="AF960" i="1"/>
  <c r="AF968" i="1"/>
  <c r="AF976" i="1"/>
  <c r="AF984" i="1"/>
  <c r="AF992" i="1"/>
  <c r="AF1000" i="1"/>
  <c r="AJ695" i="1"/>
  <c r="AH297" i="1"/>
  <c r="AH503" i="1"/>
  <c r="AH686" i="1"/>
  <c r="AH887" i="1"/>
  <c r="AG205" i="1"/>
  <c r="AG416" i="1"/>
  <c r="AG536" i="1"/>
  <c r="AG623" i="1"/>
  <c r="AG687" i="1"/>
  <c r="AG774" i="1"/>
  <c r="AG856" i="1"/>
  <c r="AG943" i="1"/>
  <c r="AF45" i="1"/>
  <c r="AF109" i="1"/>
  <c r="AF145" i="1"/>
  <c r="AF177" i="1"/>
  <c r="AF209" i="1"/>
  <c r="AF249" i="1"/>
  <c r="AF281" i="1"/>
  <c r="AF313" i="1"/>
  <c r="AF353" i="1"/>
  <c r="AF385" i="1"/>
  <c r="AF417" i="1"/>
  <c r="AF449" i="1"/>
  <c r="AF481" i="1"/>
  <c r="AF521" i="1"/>
  <c r="AF553" i="1"/>
  <c r="AF585" i="1"/>
  <c r="AF617" i="1"/>
  <c r="AF649" i="1"/>
  <c r="AF689" i="1"/>
  <c r="AF721" i="1"/>
  <c r="AF753" i="1"/>
  <c r="AF785" i="1"/>
  <c r="AF817" i="1"/>
  <c r="AF849" i="1"/>
  <c r="AF873" i="1"/>
  <c r="AF905" i="1"/>
  <c r="AF937" i="1"/>
  <c r="AF969" i="1"/>
  <c r="AF1001" i="1"/>
  <c r="AF101" i="1"/>
  <c r="AF171" i="1"/>
  <c r="AF219" i="1"/>
  <c r="AF259" i="1"/>
  <c r="AF307" i="1"/>
  <c r="AF347" i="1"/>
  <c r="AF387" i="1"/>
  <c r="AF427" i="1"/>
  <c r="AF475" i="1"/>
  <c r="AF507" i="1"/>
  <c r="AF547" i="1"/>
  <c r="AF587" i="1"/>
  <c r="AF643" i="1"/>
  <c r="AF683" i="1"/>
  <c r="AF723" i="1"/>
  <c r="AF763" i="1"/>
  <c r="AF795" i="1"/>
  <c r="AF827" i="1"/>
  <c r="AF859" i="1"/>
  <c r="AF899" i="1"/>
  <c r="AF923" i="1"/>
  <c r="AF955" i="1"/>
  <c r="AF987" i="1"/>
  <c r="AJ137" i="1"/>
  <c r="AJ758" i="1"/>
  <c r="AJ993" i="1"/>
  <c r="AH184" i="1"/>
  <c r="AH314" i="1"/>
  <c r="AH417" i="1"/>
  <c r="AH520" i="1"/>
  <c r="AH615" i="1"/>
  <c r="AH700" i="1"/>
  <c r="AH770" i="1"/>
  <c r="AH834" i="1"/>
  <c r="AH898" i="1"/>
  <c r="AH962" i="1"/>
  <c r="AG24" i="1"/>
  <c r="AG88" i="1"/>
  <c r="AG152" i="1"/>
  <c r="AG216" i="1"/>
  <c r="AG280" i="1"/>
  <c r="AG338" i="1"/>
  <c r="AG381" i="1"/>
  <c r="AG422" i="1"/>
  <c r="AG454" i="1"/>
  <c r="AG486" i="1"/>
  <c r="AG518" i="1"/>
  <c r="AG542" i="1"/>
  <c r="AG560" i="1"/>
  <c r="AG583" i="1"/>
  <c r="AG606" i="1"/>
  <c r="AG624" i="1"/>
  <c r="AG647" i="1"/>
  <c r="AG670" i="1"/>
  <c r="AG688" i="1"/>
  <c r="AG711" i="1"/>
  <c r="AG734" i="1"/>
  <c r="AG752" i="1"/>
  <c r="AG775" i="1"/>
  <c r="AG798" i="1"/>
  <c r="AG816" i="1"/>
  <c r="AG839" i="1"/>
  <c r="AG862" i="1"/>
  <c r="AG880" i="1"/>
  <c r="AG903" i="1"/>
  <c r="AG926" i="1"/>
  <c r="AG944" i="1"/>
  <c r="AG967" i="1"/>
  <c r="AG990" i="1"/>
  <c r="AF6" i="1"/>
  <c r="AF29" i="1"/>
  <c r="AF46" i="1"/>
  <c r="AF58" i="1"/>
  <c r="AF68" i="1"/>
  <c r="AF78" i="1"/>
  <c r="AF90" i="1"/>
  <c r="AF100" i="1"/>
  <c r="AF110" i="1"/>
  <c r="AF122" i="1"/>
  <c r="AF130" i="1"/>
  <c r="AF138" i="1"/>
  <c r="AF146" i="1"/>
  <c r="AF154" i="1"/>
  <c r="AF162" i="1"/>
  <c r="AF170" i="1"/>
  <c r="AF178" i="1"/>
  <c r="AF186" i="1"/>
  <c r="AF194" i="1"/>
  <c r="AF202" i="1"/>
  <c r="AF210" i="1"/>
  <c r="AF218" i="1"/>
  <c r="AF226" i="1"/>
  <c r="AF234" i="1"/>
  <c r="AF242" i="1"/>
  <c r="AF250" i="1"/>
  <c r="AF258" i="1"/>
  <c r="AF266" i="1"/>
  <c r="AF274" i="1"/>
  <c r="AF282" i="1"/>
  <c r="AF290" i="1"/>
  <c r="AF298" i="1"/>
  <c r="AF306" i="1"/>
  <c r="AF314" i="1"/>
  <c r="AF322" i="1"/>
  <c r="AF330" i="1"/>
  <c r="AF338" i="1"/>
  <c r="AF346" i="1"/>
  <c r="AF354" i="1"/>
  <c r="AF362" i="1"/>
  <c r="AF370" i="1"/>
  <c r="AF378" i="1"/>
  <c r="AF386" i="1"/>
  <c r="AF394" i="1"/>
  <c r="AF402" i="1"/>
  <c r="AF410" i="1"/>
  <c r="AF418" i="1"/>
  <c r="AF426" i="1"/>
  <c r="AF434" i="1"/>
  <c r="AF442" i="1"/>
  <c r="AF450" i="1"/>
  <c r="AF458" i="1"/>
  <c r="AF466" i="1"/>
  <c r="AF474" i="1"/>
  <c r="AF482" i="1"/>
  <c r="AF490" i="1"/>
  <c r="AF498" i="1"/>
  <c r="AF506" i="1"/>
  <c r="AF514" i="1"/>
  <c r="AF522" i="1"/>
  <c r="AF530" i="1"/>
  <c r="AF538" i="1"/>
  <c r="AF546" i="1"/>
  <c r="AF554" i="1"/>
  <c r="AF562" i="1"/>
  <c r="AF570" i="1"/>
  <c r="AF578" i="1"/>
  <c r="AF586" i="1"/>
  <c r="AF594" i="1"/>
  <c r="AF602" i="1"/>
  <c r="AF610" i="1"/>
  <c r="AF618" i="1"/>
  <c r="AF626" i="1"/>
  <c r="AF634" i="1"/>
  <c r="AF642" i="1"/>
  <c r="AF650" i="1"/>
  <c r="AF658" i="1"/>
  <c r="AF666" i="1"/>
  <c r="AF674" i="1"/>
  <c r="AF682" i="1"/>
  <c r="AF690" i="1"/>
  <c r="AF698" i="1"/>
  <c r="AF706" i="1"/>
  <c r="AF714" i="1"/>
  <c r="AF722" i="1"/>
  <c r="AF730" i="1"/>
  <c r="AF738" i="1"/>
  <c r="AF746" i="1"/>
  <c r="AF754" i="1"/>
  <c r="AF762" i="1"/>
  <c r="AF770" i="1"/>
  <c r="AF778" i="1"/>
  <c r="AF786" i="1"/>
  <c r="AF794" i="1"/>
  <c r="AF802" i="1"/>
  <c r="AF810" i="1"/>
  <c r="AF818" i="1"/>
  <c r="AF826" i="1"/>
  <c r="AF834" i="1"/>
  <c r="AF842" i="1"/>
  <c r="AF850" i="1"/>
  <c r="AF858" i="1"/>
  <c r="AF866" i="1"/>
  <c r="AF874" i="1"/>
  <c r="AF882" i="1"/>
  <c r="AF890" i="1"/>
  <c r="AF898" i="1"/>
  <c r="AF906" i="1"/>
  <c r="AF914" i="1"/>
  <c r="AF922" i="1"/>
  <c r="AF930" i="1"/>
  <c r="AF938" i="1"/>
  <c r="AF946" i="1"/>
  <c r="AF954" i="1"/>
  <c r="AF962" i="1"/>
  <c r="AF970" i="1"/>
  <c r="AF978" i="1"/>
  <c r="AF986" i="1"/>
  <c r="AF994" i="1"/>
  <c r="AF1002" i="1"/>
  <c r="AJ207" i="1"/>
  <c r="AJ761" i="1"/>
  <c r="AH8" i="1"/>
  <c r="AH198" i="1"/>
  <c r="AH322" i="1"/>
  <c r="AH425" i="1"/>
  <c r="AH528" i="1"/>
  <c r="AH622" i="1"/>
  <c r="AH706" i="1"/>
  <c r="AH775" i="1"/>
  <c r="AH839" i="1"/>
  <c r="AH903" i="1"/>
  <c r="AH967" i="1"/>
  <c r="AG29" i="1"/>
  <c r="AG93" i="1"/>
  <c r="AG157" i="1"/>
  <c r="AG221" i="1"/>
  <c r="AG285" i="1"/>
  <c r="AG341" i="1"/>
  <c r="AG384" i="1"/>
  <c r="AG424" i="1"/>
  <c r="AG456" i="1"/>
  <c r="AG488" i="1"/>
  <c r="AG520" i="1"/>
  <c r="AG543" i="1"/>
  <c r="AG566" i="1"/>
  <c r="AG584" i="1"/>
  <c r="AG607" i="1"/>
  <c r="AG630" i="1"/>
  <c r="AG648" i="1"/>
  <c r="AG671" i="1"/>
  <c r="AG694" i="1"/>
  <c r="AG712" i="1"/>
  <c r="AG735" i="1"/>
  <c r="AG758" i="1"/>
  <c r="AG776" i="1"/>
  <c r="AG799" i="1"/>
  <c r="AG822" i="1"/>
  <c r="AG840" i="1"/>
  <c r="AG863" i="1"/>
  <c r="AG886" i="1"/>
  <c r="AG904" i="1"/>
  <c r="AG927" i="1"/>
  <c r="AG950" i="1"/>
  <c r="AG968" i="1"/>
  <c r="AG991" i="1"/>
  <c r="AF12" i="1"/>
  <c r="AF30" i="1"/>
  <c r="AF48" i="1"/>
  <c r="AF59" i="1"/>
  <c r="AF69" i="1"/>
  <c r="AF91" i="1"/>
  <c r="AF131" i="1"/>
  <c r="AF139" i="1"/>
  <c r="AF147" i="1"/>
  <c r="AF155" i="1"/>
  <c r="AF187" i="1"/>
  <c r="AF203" i="1"/>
  <c r="AF243" i="1"/>
  <c r="AF283" i="1"/>
  <c r="AF331" i="1"/>
  <c r="AF371" i="1"/>
  <c r="AF411" i="1"/>
  <c r="AF467" i="1"/>
  <c r="AF515" i="1"/>
  <c r="AF555" i="1"/>
  <c r="AF595" i="1"/>
  <c r="AF619" i="1"/>
  <c r="AF667" i="1"/>
  <c r="AF908" i="1"/>
  <c r="AF948" i="1"/>
  <c r="AF988" i="1"/>
  <c r="K7" i="7"/>
  <c r="E13" i="3"/>
  <c r="J37" i="1"/>
  <c r="I37" i="1" s="1"/>
  <c r="J38" i="1"/>
  <c r="I38" i="1" s="1"/>
  <c r="J39" i="1"/>
  <c r="I39" i="1" s="1"/>
  <c r="J40" i="1"/>
  <c r="I40" i="1" s="1"/>
  <c r="J41" i="1"/>
  <c r="I41" i="1" s="1"/>
  <c r="J42" i="1"/>
  <c r="I42" i="1" s="1"/>
  <c r="J43" i="1"/>
  <c r="I43" i="1" s="1"/>
  <c r="J44" i="1"/>
  <c r="I44" i="1" s="1"/>
  <c r="J45" i="1"/>
  <c r="I45" i="1" s="1"/>
  <c r="J46" i="1"/>
  <c r="I46" i="1" s="1"/>
  <c r="J47" i="1"/>
  <c r="I47" i="1" s="1"/>
  <c r="J48" i="1"/>
  <c r="I48" i="1" s="1"/>
  <c r="J49" i="1"/>
  <c r="I49" i="1" s="1"/>
  <c r="J50" i="1"/>
  <c r="I50" i="1" s="1"/>
  <c r="J51" i="1"/>
  <c r="I51" i="1" s="1"/>
  <c r="J52" i="1"/>
  <c r="J53" i="1"/>
  <c r="I53" i="1" s="1"/>
  <c r="J54" i="1"/>
  <c r="J55" i="1"/>
  <c r="I55" i="1" s="1"/>
  <c r="J56" i="1"/>
  <c r="I56" i="1" s="1"/>
  <c r="J57" i="1"/>
  <c r="I57" i="1" s="1"/>
  <c r="J58" i="1"/>
  <c r="I58" i="1" s="1"/>
  <c r="J59" i="1"/>
  <c r="I59" i="1" s="1"/>
  <c r="J60" i="1"/>
  <c r="J61" i="1"/>
  <c r="I61" i="1" s="1"/>
  <c r="J62" i="1"/>
  <c r="I62" i="1" s="1"/>
  <c r="J63" i="1"/>
  <c r="I63" i="1" s="1"/>
  <c r="J66" i="1"/>
  <c r="I66" i="1" s="1"/>
  <c r="J67" i="1"/>
  <c r="I67" i="1" s="1"/>
  <c r="J68" i="1"/>
  <c r="I68" i="1" s="1"/>
  <c r="J69" i="1"/>
  <c r="I69" i="1" s="1"/>
  <c r="J72" i="1"/>
  <c r="I72" i="1" s="1"/>
  <c r="J73" i="1"/>
  <c r="I73" i="1" s="1"/>
  <c r="J74" i="1"/>
  <c r="I74" i="1" s="1"/>
  <c r="J75" i="1"/>
  <c r="I75" i="1" s="1"/>
  <c r="J76" i="1"/>
  <c r="I76" i="1" s="1"/>
  <c r="J77" i="1"/>
  <c r="I77" i="1" s="1"/>
  <c r="J78" i="1"/>
  <c r="I78" i="1" s="1"/>
  <c r="J79" i="1"/>
  <c r="I79" i="1" s="1"/>
  <c r="J80" i="1"/>
  <c r="I80" i="1" s="1"/>
  <c r="J81" i="1"/>
  <c r="I81" i="1" s="1"/>
  <c r="J82" i="1"/>
  <c r="I82" i="1" s="1"/>
  <c r="J83" i="1"/>
  <c r="I83" i="1" s="1"/>
  <c r="J84" i="1"/>
  <c r="I84" i="1" s="1"/>
  <c r="J85" i="1"/>
  <c r="I85" i="1" s="1"/>
  <c r="J86" i="1"/>
  <c r="I86" i="1" s="1"/>
  <c r="J87" i="1"/>
  <c r="I87" i="1" s="1"/>
  <c r="J88" i="1"/>
  <c r="I88" i="1" s="1"/>
  <c r="J89" i="1"/>
  <c r="I89" i="1" s="1"/>
  <c r="J90" i="1"/>
  <c r="I90" i="1" s="1"/>
  <c r="J91" i="1"/>
  <c r="I91" i="1" s="1"/>
  <c r="J92" i="1"/>
  <c r="I92" i="1" s="1"/>
  <c r="J93" i="1"/>
  <c r="I93" i="1" s="1"/>
  <c r="J100" i="1"/>
  <c r="I100" i="1" s="1"/>
  <c r="J101" i="1"/>
  <c r="I101" i="1" s="1"/>
  <c r="J102" i="1"/>
  <c r="I102" i="1" s="1"/>
  <c r="J103" i="1"/>
  <c r="I103" i="1" s="1"/>
  <c r="J104" i="1"/>
  <c r="I104" i="1" s="1"/>
  <c r="J105" i="1"/>
  <c r="I105" i="1" s="1"/>
  <c r="J106" i="1"/>
  <c r="I106" i="1" s="1"/>
  <c r="J107" i="1"/>
  <c r="I107" i="1" s="1"/>
  <c r="J108" i="1"/>
  <c r="I108" i="1" s="1"/>
  <c r="J109" i="1"/>
  <c r="I109" i="1" s="1"/>
  <c r="J110" i="1"/>
  <c r="I110" i="1" s="1"/>
  <c r="J111" i="1"/>
  <c r="I111" i="1" s="1"/>
  <c r="J112" i="1"/>
  <c r="I112" i="1" s="1"/>
  <c r="J113" i="1"/>
  <c r="I113" i="1" s="1"/>
  <c r="J114" i="1"/>
  <c r="I114" i="1" s="1"/>
  <c r="J115" i="1"/>
  <c r="I115" i="1" s="1"/>
  <c r="J116" i="1"/>
  <c r="I116" i="1" s="1"/>
  <c r="J117" i="1"/>
  <c r="I117" i="1" s="1"/>
  <c r="J118" i="1"/>
  <c r="I118" i="1" s="1"/>
  <c r="J119" i="1"/>
  <c r="I119" i="1" s="1"/>
  <c r="J120" i="1"/>
  <c r="I120" i="1" s="1"/>
  <c r="J121" i="1"/>
  <c r="I121" i="1" s="1"/>
  <c r="J136" i="1"/>
  <c r="I136" i="1" s="1"/>
  <c r="J134" i="1"/>
  <c r="I134" i="1" s="1"/>
  <c r="J137" i="1"/>
  <c r="I137" i="1" s="1"/>
  <c r="J138" i="1"/>
  <c r="I138" i="1" s="1"/>
  <c r="J139" i="1"/>
  <c r="J140" i="1"/>
  <c r="J141" i="1"/>
  <c r="I141" i="1" s="1"/>
  <c r="J142" i="1"/>
  <c r="I142" i="1" s="1"/>
  <c r="J143" i="1"/>
  <c r="I143" i="1" s="1"/>
  <c r="J144" i="1"/>
  <c r="I144" i="1" s="1"/>
  <c r="J145" i="1"/>
  <c r="I145" i="1" s="1"/>
  <c r="J146" i="1"/>
  <c r="I146" i="1" s="1"/>
  <c r="J147" i="1"/>
  <c r="I147" i="1" s="1"/>
  <c r="J148" i="1"/>
  <c r="I148" i="1" s="1"/>
  <c r="J149" i="1"/>
  <c r="I149" i="1" s="1"/>
  <c r="J150" i="1"/>
  <c r="I150" i="1" s="1"/>
  <c r="J151" i="1"/>
  <c r="I151" i="1" s="1"/>
  <c r="J152" i="1"/>
  <c r="I152" i="1" s="1"/>
  <c r="J153" i="1"/>
  <c r="I153" i="1" s="1"/>
  <c r="J154" i="1"/>
  <c r="I154" i="1" s="1"/>
  <c r="J155" i="1"/>
  <c r="I155" i="1" s="1"/>
  <c r="J156" i="1"/>
  <c r="I156" i="1" s="1"/>
  <c r="J203" i="1"/>
  <c r="I203" i="1" s="1"/>
  <c r="J204" i="1"/>
  <c r="I204" i="1" s="1"/>
  <c r="J205" i="1"/>
  <c r="I205" i="1" s="1"/>
  <c r="J206" i="1"/>
  <c r="I206" i="1" s="1"/>
  <c r="J207" i="1"/>
  <c r="I207" i="1" s="1"/>
  <c r="J208" i="1"/>
  <c r="I208" i="1" s="1"/>
  <c r="J209" i="1"/>
  <c r="I209" i="1" s="1"/>
  <c r="J210" i="1"/>
  <c r="I210" i="1" s="1"/>
  <c r="J211" i="1"/>
  <c r="I211" i="1" s="1"/>
  <c r="J212" i="1"/>
  <c r="I212" i="1" s="1"/>
  <c r="J213" i="1"/>
  <c r="I213" i="1" s="1"/>
  <c r="J214" i="1"/>
  <c r="I214" i="1" s="1"/>
  <c r="J215" i="1"/>
  <c r="I215" i="1" s="1"/>
  <c r="J216" i="1"/>
  <c r="I216" i="1" s="1"/>
  <c r="J217" i="1"/>
  <c r="I217" i="1" s="1"/>
  <c r="J218" i="1"/>
  <c r="I218" i="1" s="1"/>
  <c r="J219" i="1"/>
  <c r="I219" i="1" s="1"/>
  <c r="J220" i="1"/>
  <c r="I220" i="1" s="1"/>
  <c r="J221" i="1"/>
  <c r="I221" i="1" s="1"/>
  <c r="J222" i="1"/>
  <c r="I222" i="1" s="1"/>
  <c r="J223" i="1"/>
  <c r="I223" i="1" s="1"/>
  <c r="J224" i="1"/>
  <c r="I224" i="1" s="1"/>
  <c r="J225" i="1"/>
  <c r="I225" i="1" s="1"/>
  <c r="J226" i="1"/>
  <c r="I226" i="1" s="1"/>
  <c r="J227" i="1"/>
  <c r="I227" i="1" s="1"/>
  <c r="J228" i="1"/>
  <c r="I228" i="1" s="1"/>
  <c r="J229" i="1"/>
  <c r="I229" i="1" s="1"/>
  <c r="J230" i="1"/>
  <c r="I230" i="1" s="1"/>
  <c r="J231" i="1"/>
  <c r="J232" i="1"/>
  <c r="I232" i="1" s="1"/>
  <c r="J233" i="1"/>
  <c r="J234" i="1"/>
  <c r="I234" i="1" s="1"/>
  <c r="J235" i="1"/>
  <c r="I235" i="1" s="1"/>
  <c r="J236" i="1"/>
  <c r="I236" i="1" s="1"/>
  <c r="J237" i="1"/>
  <c r="I237" i="1" s="1"/>
  <c r="J238" i="1"/>
  <c r="J239" i="1"/>
  <c r="I239" i="1" s="1"/>
  <c r="J240" i="1"/>
  <c r="I240" i="1" s="1"/>
  <c r="J241" i="1"/>
  <c r="I241" i="1" s="1"/>
  <c r="J242" i="1"/>
  <c r="I242" i="1" s="1"/>
  <c r="J243" i="1"/>
  <c r="I243" i="1" s="1"/>
  <c r="J244" i="1"/>
  <c r="I244" i="1" s="1"/>
  <c r="J245" i="1"/>
  <c r="I245" i="1" s="1"/>
  <c r="J246" i="1"/>
  <c r="I246" i="1" s="1"/>
  <c r="J247" i="1"/>
  <c r="I247" i="1" s="1"/>
  <c r="J248" i="1"/>
  <c r="I248" i="1" s="1"/>
  <c r="J249" i="1"/>
  <c r="I249" i="1" s="1"/>
  <c r="J250" i="1"/>
  <c r="I250" i="1" s="1"/>
  <c r="J251" i="1"/>
  <c r="I251" i="1" s="1"/>
  <c r="J252" i="1"/>
  <c r="I252" i="1" s="1"/>
  <c r="J253" i="1"/>
  <c r="I253" i="1" s="1"/>
  <c r="J254" i="1"/>
  <c r="I254" i="1" s="1"/>
  <c r="J255" i="1"/>
  <c r="I255" i="1" s="1"/>
  <c r="J256" i="1"/>
  <c r="I256" i="1" s="1"/>
  <c r="J257" i="1"/>
  <c r="I257" i="1" s="1"/>
  <c r="J258" i="1"/>
  <c r="I258" i="1" s="1"/>
  <c r="J259" i="1"/>
  <c r="I259" i="1" s="1"/>
  <c r="J354" i="1"/>
  <c r="I354" i="1" s="1"/>
  <c r="J355" i="1"/>
  <c r="I355" i="1" s="1"/>
  <c r="J356" i="1"/>
  <c r="I356" i="1" s="1"/>
  <c r="J357" i="1"/>
  <c r="I357" i="1" s="1"/>
  <c r="J358" i="1"/>
  <c r="I358" i="1" s="1"/>
  <c r="J359" i="1"/>
  <c r="I359" i="1" s="1"/>
  <c r="J360" i="1"/>
  <c r="I360" i="1" s="1"/>
  <c r="J361" i="1"/>
  <c r="I361" i="1" s="1"/>
  <c r="J362" i="1"/>
  <c r="I362" i="1" s="1"/>
  <c r="J363" i="1"/>
  <c r="I363" i="1" s="1"/>
  <c r="J364" i="1"/>
  <c r="I364" i="1" s="1"/>
  <c r="J365" i="1"/>
  <c r="I365" i="1" s="1"/>
  <c r="J366" i="1"/>
  <c r="I366" i="1" s="1"/>
  <c r="J367" i="1"/>
  <c r="I367" i="1" s="1"/>
  <c r="J368" i="1"/>
  <c r="I368" i="1" s="1"/>
  <c r="J369" i="1"/>
  <c r="I369" i="1" s="1"/>
  <c r="J370" i="1"/>
  <c r="I370" i="1" s="1"/>
  <c r="J371" i="1"/>
  <c r="I371" i="1" s="1"/>
  <c r="J372" i="1"/>
  <c r="I372" i="1" s="1"/>
  <c r="J373" i="1"/>
  <c r="I373" i="1" s="1"/>
  <c r="J374" i="1"/>
  <c r="I374" i="1" s="1"/>
  <c r="J375" i="1"/>
  <c r="I375" i="1" s="1"/>
  <c r="J376" i="1"/>
  <c r="I376" i="1" s="1"/>
  <c r="J377" i="1"/>
  <c r="I377" i="1" s="1"/>
  <c r="J378" i="1"/>
  <c r="I378" i="1" s="1"/>
  <c r="J379" i="1"/>
  <c r="I379" i="1" s="1"/>
  <c r="J380" i="1"/>
  <c r="I380" i="1" s="1"/>
  <c r="J381" i="1"/>
  <c r="I381" i="1" s="1"/>
  <c r="J382" i="1"/>
  <c r="I382" i="1" s="1"/>
  <c r="J383" i="1"/>
  <c r="I383" i="1" s="1"/>
  <c r="J384" i="1"/>
  <c r="I384" i="1" s="1"/>
  <c r="J385" i="1"/>
  <c r="I385" i="1" s="1"/>
  <c r="J395" i="1"/>
  <c r="I395" i="1" s="1"/>
  <c r="J396" i="1"/>
  <c r="I396" i="1" s="1"/>
  <c r="J397" i="1"/>
  <c r="I397" i="1" s="1"/>
  <c r="J398" i="1"/>
  <c r="I398" i="1" s="1"/>
  <c r="J399" i="1"/>
  <c r="I399" i="1" s="1"/>
  <c r="J469" i="1"/>
  <c r="I469" i="1" s="1"/>
  <c r="J470" i="1"/>
  <c r="I470" i="1" s="1"/>
  <c r="J471" i="1"/>
  <c r="I471" i="1" s="1"/>
  <c r="J472" i="1"/>
  <c r="I472" i="1" s="1"/>
  <c r="J473" i="1"/>
  <c r="I473" i="1" s="1"/>
  <c r="J474" i="1"/>
  <c r="I474" i="1" s="1"/>
  <c r="J475" i="1"/>
  <c r="I475" i="1" s="1"/>
  <c r="J476" i="1"/>
  <c r="I476" i="1" s="1"/>
  <c r="J477" i="1"/>
  <c r="I477" i="1" s="1"/>
  <c r="J478" i="1"/>
  <c r="I478" i="1" s="1"/>
  <c r="J479" i="1"/>
  <c r="I479" i="1" s="1"/>
  <c r="J480" i="1"/>
  <c r="I480" i="1" s="1"/>
  <c r="J481" i="1"/>
  <c r="I481" i="1" s="1"/>
  <c r="J482" i="1"/>
  <c r="I482" i="1" s="1"/>
  <c r="J483" i="1"/>
  <c r="I483" i="1" s="1"/>
  <c r="J484" i="1"/>
  <c r="I484" i="1" s="1"/>
  <c r="J485" i="1"/>
  <c r="I485" i="1" s="1"/>
  <c r="J486" i="1"/>
  <c r="I486" i="1" s="1"/>
  <c r="J487" i="1"/>
  <c r="I487" i="1" s="1"/>
  <c r="J488" i="1"/>
  <c r="I488" i="1" s="1"/>
  <c r="J489" i="1"/>
  <c r="I489" i="1" s="1"/>
  <c r="J490" i="1"/>
  <c r="I490" i="1" s="1"/>
  <c r="J491" i="1"/>
  <c r="I491" i="1" s="1"/>
  <c r="J492" i="1"/>
  <c r="N568" i="1"/>
  <c r="N569" i="1"/>
  <c r="N570" i="1"/>
  <c r="N571" i="1"/>
  <c r="N572" i="1"/>
  <c r="N573" i="1"/>
  <c r="N575" i="1"/>
  <c r="N576" i="1"/>
  <c r="N577" i="1"/>
  <c r="N578" i="1"/>
  <c r="N579" i="1"/>
  <c r="N580" i="1"/>
  <c r="C31" i="4" s="1"/>
  <c r="N581" i="1"/>
  <c r="N582" i="1"/>
  <c r="N583" i="1"/>
  <c r="N584" i="1"/>
  <c r="N585" i="1"/>
  <c r="N587" i="1"/>
  <c r="N589" i="1"/>
  <c r="N590" i="1"/>
  <c r="N591" i="1"/>
  <c r="N592" i="1"/>
  <c r="N593" i="1"/>
  <c r="N595" i="1"/>
  <c r="N597" i="1"/>
  <c r="N598" i="1"/>
  <c r="N599" i="1"/>
  <c r="N600" i="1"/>
  <c r="N606" i="1"/>
  <c r="N607" i="1"/>
  <c r="N608" i="1"/>
  <c r="N609" i="1"/>
  <c r="N610" i="1"/>
  <c r="N612" i="1"/>
  <c r="N614" i="1"/>
  <c r="N618" i="1"/>
  <c r="N619" i="1"/>
  <c r="N620" i="1"/>
  <c r="N621" i="1"/>
  <c r="N622" i="1"/>
  <c r="N625" i="1"/>
  <c r="N626" i="1"/>
  <c r="N630" i="1"/>
  <c r="N631" i="1"/>
  <c r="N632" i="1"/>
  <c r="N633" i="1"/>
  <c r="J738" i="1"/>
  <c r="I738" i="1" s="1"/>
  <c r="J739" i="1"/>
  <c r="I739" i="1" s="1"/>
  <c r="J740" i="1"/>
  <c r="I740" i="1" s="1"/>
  <c r="J741" i="1"/>
  <c r="I741" i="1" s="1"/>
  <c r="J742" i="1"/>
  <c r="I742" i="1" s="1"/>
  <c r="J743" i="1"/>
  <c r="I743" i="1" s="1"/>
  <c r="J744" i="1"/>
  <c r="I744" i="1" s="1"/>
  <c r="J745" i="1"/>
  <c r="I745" i="1" s="1"/>
  <c r="J746" i="1"/>
  <c r="I746" i="1" s="1"/>
  <c r="J747" i="1"/>
  <c r="I747" i="1" s="1"/>
  <c r="J748" i="1"/>
  <c r="I748" i="1" s="1"/>
  <c r="J749" i="1"/>
  <c r="I749" i="1" s="1"/>
  <c r="J750" i="1"/>
  <c r="I750" i="1" s="1"/>
  <c r="J751" i="1"/>
  <c r="I751" i="1" s="1"/>
  <c r="J752" i="1"/>
  <c r="I752" i="1" s="1"/>
  <c r="J753" i="1"/>
  <c r="I753" i="1" s="1"/>
  <c r="J754" i="1"/>
  <c r="I754" i="1" s="1"/>
  <c r="J755" i="1"/>
  <c r="I755" i="1" s="1"/>
  <c r="J756" i="1"/>
  <c r="I756" i="1" s="1"/>
  <c r="J757" i="1"/>
  <c r="I757" i="1" s="1"/>
  <c r="J758" i="1"/>
  <c r="I758" i="1" s="1"/>
  <c r="J759" i="1"/>
  <c r="I759" i="1" s="1"/>
  <c r="J760" i="1"/>
  <c r="I760" i="1" s="1"/>
  <c r="J761" i="1"/>
  <c r="I761" i="1" s="1"/>
  <c r="J769" i="1"/>
  <c r="I769" i="1" s="1"/>
  <c r="J770" i="1"/>
  <c r="I770" i="1" s="1"/>
  <c r="J771" i="1"/>
  <c r="I771" i="1" s="1"/>
  <c r="J772" i="1"/>
  <c r="I772" i="1" s="1"/>
  <c r="J773" i="1"/>
  <c r="I773" i="1" s="1"/>
  <c r="J774" i="1"/>
  <c r="I774" i="1" s="1"/>
  <c r="J775" i="1"/>
  <c r="I775" i="1" s="1"/>
  <c r="J776" i="1"/>
  <c r="I776" i="1" s="1"/>
  <c r="J777" i="1"/>
  <c r="I777" i="1" s="1"/>
  <c r="J778" i="1"/>
  <c r="I778" i="1" s="1"/>
  <c r="J779" i="1"/>
  <c r="I779" i="1" s="1"/>
  <c r="J780" i="1"/>
  <c r="I780" i="1" s="1"/>
  <c r="J781" i="1"/>
  <c r="I781" i="1" s="1"/>
  <c r="J782" i="1"/>
  <c r="I782" i="1" s="1"/>
  <c r="J783" i="1"/>
  <c r="I783" i="1" s="1"/>
  <c r="J817" i="1"/>
  <c r="I817" i="1" s="1"/>
  <c r="J818" i="1"/>
  <c r="I818" i="1" s="1"/>
  <c r="J819" i="1"/>
  <c r="I819" i="1" s="1"/>
  <c r="J820" i="1"/>
  <c r="I820" i="1" s="1"/>
  <c r="J821" i="1"/>
  <c r="I821" i="1" s="1"/>
  <c r="J822" i="1"/>
  <c r="I822" i="1" s="1"/>
  <c r="J823" i="1"/>
  <c r="I823" i="1" s="1"/>
  <c r="J824" i="1"/>
  <c r="I824" i="1" s="1"/>
  <c r="J825" i="1"/>
  <c r="I825" i="1" s="1"/>
  <c r="J826" i="1"/>
  <c r="I826" i="1" s="1"/>
  <c r="J827" i="1"/>
  <c r="I827" i="1" s="1"/>
  <c r="J828" i="1"/>
  <c r="I828" i="1" s="1"/>
  <c r="J829" i="1"/>
  <c r="I829" i="1" s="1"/>
  <c r="J830" i="1"/>
  <c r="I830" i="1" s="1"/>
  <c r="J831" i="1"/>
  <c r="I831" i="1" s="1"/>
  <c r="J832" i="1"/>
  <c r="I832" i="1" s="1"/>
  <c r="J833" i="1"/>
  <c r="I833" i="1" s="1"/>
  <c r="J834" i="1"/>
  <c r="I834" i="1" s="1"/>
  <c r="J835" i="1"/>
  <c r="I835" i="1" s="1"/>
  <c r="J836" i="1"/>
  <c r="I836" i="1" s="1"/>
  <c r="J837" i="1"/>
  <c r="I837" i="1" s="1"/>
  <c r="J838" i="1"/>
  <c r="I838" i="1" s="1"/>
  <c r="J839" i="1"/>
  <c r="I839" i="1" s="1"/>
  <c r="J840" i="1"/>
  <c r="I840" i="1" s="1"/>
  <c r="J841" i="1"/>
  <c r="I841" i="1" s="1"/>
  <c r="J842" i="1"/>
  <c r="I842" i="1" s="1"/>
  <c r="J843" i="1"/>
  <c r="I843" i="1" s="1"/>
  <c r="J844" i="1"/>
  <c r="I844" i="1" s="1"/>
  <c r="J845" i="1"/>
  <c r="I845" i="1" s="1"/>
  <c r="J846" i="1"/>
  <c r="I846" i="1" s="1"/>
  <c r="J847" i="1"/>
  <c r="I847" i="1" s="1"/>
  <c r="J848" i="1"/>
  <c r="I848" i="1" s="1"/>
  <c r="J849" i="1"/>
  <c r="I849" i="1" s="1"/>
  <c r="J850" i="1"/>
  <c r="I850" i="1" s="1"/>
  <c r="J851" i="1"/>
  <c r="I851" i="1" s="1"/>
  <c r="J852" i="1"/>
  <c r="I852" i="1" s="1"/>
  <c r="J853" i="1"/>
  <c r="I853" i="1" s="1"/>
  <c r="J854" i="1"/>
  <c r="I854" i="1" s="1"/>
  <c r="J855" i="1"/>
  <c r="I855" i="1" s="1"/>
  <c r="J856" i="1"/>
  <c r="I856" i="1" s="1"/>
  <c r="J857" i="1"/>
  <c r="I857" i="1" s="1"/>
  <c r="J858" i="1"/>
  <c r="I858" i="1" s="1"/>
  <c r="J859" i="1"/>
  <c r="I859" i="1" s="1"/>
  <c r="J860" i="1"/>
  <c r="I860" i="1" s="1"/>
  <c r="J861" i="1"/>
  <c r="I861" i="1" s="1"/>
  <c r="J862" i="1"/>
  <c r="I862" i="1" s="1"/>
  <c r="J863" i="1"/>
  <c r="I863" i="1" s="1"/>
  <c r="J864" i="1"/>
  <c r="I864" i="1" s="1"/>
  <c r="J865" i="1"/>
  <c r="I865" i="1" s="1"/>
  <c r="J866" i="1"/>
  <c r="I866" i="1" s="1"/>
  <c r="J867" i="1"/>
  <c r="I867" i="1" s="1"/>
  <c r="J868" i="1"/>
  <c r="I868" i="1" s="1"/>
  <c r="J869" i="1"/>
  <c r="I869" i="1" s="1"/>
  <c r="J870" i="1"/>
  <c r="I870" i="1" s="1"/>
  <c r="J871" i="1"/>
  <c r="I871" i="1" s="1"/>
  <c r="J872" i="1"/>
  <c r="I872" i="1" s="1"/>
  <c r="J873" i="1"/>
  <c r="I873" i="1" s="1"/>
  <c r="J874" i="1"/>
  <c r="I874" i="1" s="1"/>
  <c r="J875" i="1"/>
  <c r="I875" i="1" s="1"/>
  <c r="J876" i="1"/>
  <c r="I876" i="1" s="1"/>
  <c r="J877" i="1"/>
  <c r="I877" i="1" s="1"/>
  <c r="J878" i="1"/>
  <c r="I878" i="1" s="1"/>
  <c r="J879" i="1"/>
  <c r="I879" i="1" s="1"/>
  <c r="J880" i="1"/>
  <c r="I880" i="1" s="1"/>
  <c r="J881" i="1"/>
  <c r="I881" i="1" s="1"/>
  <c r="J882" i="1"/>
  <c r="I882" i="1" s="1"/>
  <c r="J883" i="1"/>
  <c r="I883" i="1" s="1"/>
  <c r="J884" i="1"/>
  <c r="I884" i="1" s="1"/>
  <c r="J885" i="1"/>
  <c r="I885" i="1" s="1"/>
  <c r="J886" i="1"/>
  <c r="I886" i="1" s="1"/>
  <c r="J887" i="1"/>
  <c r="I887" i="1" s="1"/>
  <c r="J888" i="1"/>
  <c r="I888" i="1" s="1"/>
  <c r="J889" i="1"/>
  <c r="I889" i="1" s="1"/>
  <c r="J890" i="1"/>
  <c r="I890" i="1" s="1"/>
  <c r="J891" i="1"/>
  <c r="I891" i="1" s="1"/>
  <c r="J892" i="1"/>
  <c r="I892" i="1" s="1"/>
  <c r="J893" i="1"/>
  <c r="I893" i="1" s="1"/>
  <c r="J894" i="1"/>
  <c r="I894" i="1" s="1"/>
  <c r="J896" i="1"/>
  <c r="I896" i="1" s="1"/>
  <c r="J897" i="1"/>
  <c r="I897" i="1" s="1"/>
  <c r="J898" i="1"/>
  <c r="I898" i="1" s="1"/>
  <c r="J899" i="1"/>
  <c r="I899" i="1" s="1"/>
  <c r="J900" i="1"/>
  <c r="I900" i="1" s="1"/>
  <c r="J901" i="1"/>
  <c r="I901" i="1" s="1"/>
  <c r="I54" i="1" l="1"/>
  <c r="B3" i="4"/>
  <c r="I139" i="1"/>
  <c r="N7" i="7"/>
  <c r="N8" i="7"/>
  <c r="N9" i="7"/>
  <c r="I492" i="1"/>
  <c r="C30" i="4"/>
  <c r="C29" i="4"/>
  <c r="F13" i="3"/>
  <c r="E15" i="3"/>
  <c r="F15" i="3"/>
  <c r="F14" i="3"/>
  <c r="E14" i="3"/>
  <c r="U915" i="1"/>
  <c r="T924" i="1"/>
  <c r="U926" i="1"/>
  <c r="U648" i="1"/>
  <c r="T290" i="1"/>
  <c r="U287" i="1"/>
  <c r="U151" i="1"/>
  <c r="T652" i="1"/>
  <c r="U928" i="1"/>
  <c r="U605" i="1"/>
  <c r="I60" i="1"/>
  <c r="F6" i="12"/>
  <c r="D9" i="12"/>
  <c r="T133" i="1"/>
  <c r="T870" i="1"/>
  <c r="U275" i="1"/>
  <c r="T616" i="1"/>
  <c r="U866" i="1"/>
  <c r="U101" i="1"/>
  <c r="U13" i="1"/>
  <c r="U46" i="1"/>
  <c r="U5" i="1"/>
  <c r="U21" i="1"/>
  <c r="U29" i="1"/>
  <c r="U848" i="1"/>
  <c r="U261" i="1"/>
  <c r="T834" i="1"/>
  <c r="T933" i="1"/>
  <c r="U823" i="1"/>
  <c r="T1002" i="1"/>
  <c r="T634" i="1"/>
  <c r="U888" i="1"/>
  <c r="T49" i="1"/>
  <c r="U775" i="1"/>
  <c r="T135" i="1"/>
  <c r="U636" i="1"/>
  <c r="T504" i="1"/>
  <c r="T657" i="1"/>
  <c r="T818" i="1"/>
  <c r="U996" i="1"/>
  <c r="T894" i="1"/>
  <c r="U559" i="1"/>
  <c r="U525" i="1"/>
  <c r="U288" i="1"/>
  <c r="T660" i="1"/>
  <c r="U1000" i="1"/>
  <c r="U851" i="1"/>
  <c r="U817" i="1"/>
  <c r="T476" i="1"/>
  <c r="I238" i="1"/>
  <c r="F5" i="3"/>
  <c r="U968" i="1"/>
  <c r="U478" i="1"/>
  <c r="U828" i="1"/>
  <c r="U985" i="1"/>
  <c r="T4" i="1"/>
  <c r="U148" i="1"/>
  <c r="U223" i="1"/>
  <c r="T189" i="1"/>
  <c r="T297" i="1"/>
  <c r="U327" i="1"/>
  <c r="U392" i="1"/>
  <c r="U456" i="1"/>
  <c r="U443" i="1"/>
  <c r="U612" i="1"/>
  <c r="T121" i="1"/>
  <c r="U473" i="1"/>
  <c r="U703" i="1"/>
  <c r="U4" i="1"/>
  <c r="U90" i="1"/>
  <c r="U469" i="1"/>
  <c r="T363" i="1"/>
  <c r="U314" i="1"/>
  <c r="U379" i="1"/>
  <c r="T490" i="1"/>
  <c r="U157" i="1"/>
  <c r="T50" i="1"/>
  <c r="T23" i="1"/>
  <c r="U246" i="1"/>
  <c r="U34" i="1"/>
  <c r="T5" i="1"/>
  <c r="T244" i="1"/>
  <c r="T56" i="1"/>
  <c r="U127" i="1"/>
  <c r="U992" i="1"/>
  <c r="U538" i="1"/>
  <c r="U972" i="1"/>
  <c r="U890" i="1"/>
  <c r="U876" i="1"/>
  <c r="U969" i="1"/>
  <c r="U887" i="1"/>
  <c r="U980" i="1"/>
  <c r="U604" i="1"/>
  <c r="T917" i="1"/>
  <c r="U292" i="1"/>
  <c r="U280" i="1"/>
  <c r="T289" i="1"/>
  <c r="U649" i="1"/>
  <c r="T286" i="1"/>
  <c r="U238" i="1"/>
  <c r="T217" i="1"/>
  <c r="T278" i="1"/>
  <c r="T986" i="1"/>
  <c r="U510" i="1"/>
  <c r="T769" i="1"/>
  <c r="T812" i="1"/>
  <c r="T876" i="1"/>
  <c r="T969" i="1"/>
  <c r="T789" i="1"/>
  <c r="T853" i="1"/>
  <c r="T946" i="1"/>
  <c r="U778" i="1"/>
  <c r="U842" i="1"/>
  <c r="U906" i="1"/>
  <c r="U999" i="1"/>
  <c r="T252" i="1"/>
  <c r="T473" i="1"/>
  <c r="T479" i="1"/>
  <c r="U484" i="1"/>
  <c r="U548" i="1"/>
  <c r="U827" i="1"/>
  <c r="U868" i="1"/>
  <c r="U855" i="1"/>
  <c r="T970" i="1"/>
  <c r="T846" i="1"/>
  <c r="T531" i="1"/>
  <c r="T90" i="1"/>
  <c r="U3" i="1"/>
  <c r="U140" i="1"/>
  <c r="U30" i="1"/>
  <c r="U308" i="1"/>
  <c r="T34" i="1"/>
  <c r="T191" i="1"/>
  <c r="U95" i="1"/>
  <c r="U228" i="1"/>
  <c r="T215" i="1"/>
  <c r="U546" i="1"/>
  <c r="U99" i="1"/>
  <c r="T210" i="1"/>
  <c r="U144" i="1"/>
  <c r="U218" i="1"/>
  <c r="U139" i="1"/>
  <c r="T403" i="1"/>
  <c r="T255" i="1"/>
  <c r="U429" i="1"/>
  <c r="U195" i="1"/>
  <c r="T322" i="1"/>
  <c r="U507" i="1"/>
  <c r="T540" i="1"/>
  <c r="U508" i="1"/>
  <c r="T841" i="1"/>
  <c r="T998" i="1"/>
  <c r="T828" i="1"/>
  <c r="U870" i="1"/>
  <c r="T985" i="1"/>
  <c r="U971" i="1"/>
  <c r="T871" i="1"/>
  <c r="T972" i="1"/>
  <c r="T890" i="1"/>
  <c r="U834" i="1"/>
  <c r="U821" i="1"/>
  <c r="U885" i="1"/>
  <c r="T851" i="1"/>
  <c r="U193" i="1"/>
  <c r="U16" i="1"/>
  <c r="U92" i="1"/>
  <c r="U211" i="1"/>
  <c r="T22" i="1"/>
  <c r="U269" i="1"/>
  <c r="U33" i="1"/>
  <c r="U73" i="1"/>
  <c r="T112" i="1"/>
  <c r="T180" i="1"/>
  <c r="U164" i="1"/>
  <c r="T207" i="1"/>
  <c r="T251" i="1"/>
  <c r="T61" i="1"/>
  <c r="T126" i="1"/>
  <c r="T194" i="1"/>
  <c r="U236" i="1"/>
  <c r="U231" i="1"/>
  <c r="U77" i="1"/>
  <c r="U210" i="1"/>
  <c r="T443" i="1"/>
  <c r="T108" i="1"/>
  <c r="T176" i="1"/>
  <c r="T240" i="1"/>
  <c r="U72" i="1"/>
  <c r="T411" i="1"/>
  <c r="T824" i="1"/>
  <c r="T888" i="1"/>
  <c r="T875" i="1"/>
  <c r="T968" i="1"/>
  <c r="U997" i="1"/>
  <c r="T825" i="1"/>
  <c r="T982" i="1"/>
  <c r="T855" i="1"/>
  <c r="T997" i="1"/>
  <c r="U869" i="1"/>
  <c r="T533" i="1"/>
  <c r="U268" i="1"/>
  <c r="U667" i="1"/>
  <c r="T526" i="1"/>
  <c r="U547" i="1"/>
  <c r="T881" i="1"/>
  <c r="U846" i="1"/>
  <c r="U825" i="1"/>
  <c r="T847" i="1"/>
  <c r="U889" i="1"/>
  <c r="U982" i="1"/>
  <c r="U861" i="1"/>
  <c r="T827" i="1"/>
  <c r="T984" i="1"/>
  <c r="U482" i="1"/>
  <c r="U487" i="1"/>
  <c r="U239" i="1"/>
  <c r="T516" i="1"/>
  <c r="U891" i="1"/>
  <c r="U531" i="1"/>
  <c r="T481" i="1"/>
  <c r="T532" i="1"/>
  <c r="U532" i="1"/>
  <c r="U500" i="1"/>
  <c r="T857" i="1"/>
  <c r="T878" i="1"/>
  <c r="T865" i="1"/>
  <c r="U886" i="1"/>
  <c r="T852" i="1"/>
  <c r="U894" i="1"/>
  <c r="U987" i="1"/>
  <c r="U838" i="1"/>
  <c r="T823" i="1"/>
  <c r="U865" i="1"/>
  <c r="T980" i="1"/>
  <c r="T831" i="1"/>
  <c r="T839" i="1"/>
  <c r="T861" i="1"/>
  <c r="U850" i="1"/>
  <c r="U837" i="1"/>
  <c r="T867" i="1"/>
  <c r="T981" i="1"/>
  <c r="U853" i="1"/>
  <c r="T819" i="1"/>
  <c r="U235" i="1"/>
  <c r="T173" i="1"/>
  <c r="T205" i="1"/>
  <c r="T249" i="1"/>
  <c r="T105" i="1"/>
  <c r="T237" i="1"/>
  <c r="U300" i="1"/>
  <c r="T347" i="1"/>
  <c r="T655" i="1"/>
  <c r="U250" i="1"/>
  <c r="U74" i="1"/>
  <c r="U141" i="1"/>
  <c r="U207" i="1"/>
  <c r="U248" i="1"/>
  <c r="U226" i="1"/>
  <c r="U213" i="1"/>
  <c r="T235" i="1"/>
  <c r="U132" i="1"/>
  <c r="U200" i="1"/>
  <c r="T243" i="1"/>
  <c r="U208" i="1"/>
  <c r="U62" i="1"/>
  <c r="T238" i="1"/>
  <c r="T508" i="1"/>
  <c r="U205" i="1"/>
  <c r="T248" i="1"/>
  <c r="T103" i="1"/>
  <c r="T171" i="1"/>
  <c r="U67" i="1"/>
  <c r="U221" i="1"/>
  <c r="T97" i="1"/>
  <c r="T166" i="1"/>
  <c r="T230" i="1"/>
  <c r="U216" i="1"/>
  <c r="U203" i="1"/>
  <c r="U475" i="1"/>
  <c r="T518" i="1"/>
  <c r="U502" i="1"/>
  <c r="T489" i="1"/>
  <c r="T500" i="1"/>
  <c r="T484" i="1"/>
  <c r="U505" i="1"/>
  <c r="T527" i="1"/>
  <c r="T548" i="1"/>
  <c r="U489" i="1"/>
  <c r="T511" i="1"/>
  <c r="T522" i="1"/>
  <c r="U543" i="1"/>
  <c r="U835" i="1"/>
  <c r="T844" i="1"/>
  <c r="T1001" i="1"/>
  <c r="U873" i="1"/>
  <c r="U966" i="1"/>
  <c r="T829" i="1"/>
  <c r="T850" i="1"/>
  <c r="U871" i="1"/>
  <c r="T893" i="1"/>
  <c r="U832" i="1"/>
  <c r="T835" i="1"/>
  <c r="T992" i="1"/>
  <c r="U663" i="1"/>
  <c r="T649" i="1"/>
  <c r="U623" i="1"/>
  <c r="T661" i="1"/>
  <c r="T18" i="1"/>
  <c r="T220" i="1"/>
  <c r="U233" i="1"/>
  <c r="U220" i="1"/>
  <c r="U215" i="1"/>
  <c r="T314" i="1"/>
  <c r="T224" i="1"/>
  <c r="T245" i="1"/>
  <c r="U381" i="1"/>
  <c r="U340" i="1"/>
  <c r="T214" i="1"/>
  <c r="U511" i="1"/>
  <c r="U345" i="1"/>
  <c r="U409" i="1"/>
  <c r="U323" i="1"/>
  <c r="U388" i="1"/>
  <c r="U452" i="1"/>
  <c r="T477" i="1"/>
  <c r="U840" i="1"/>
  <c r="T475" i="1"/>
  <c r="U517" i="1"/>
  <c r="T539" i="1"/>
  <c r="T483" i="1"/>
  <c r="U504" i="1"/>
  <c r="T547" i="1"/>
  <c r="U491" i="1"/>
  <c r="T534" i="1"/>
  <c r="U555" i="1"/>
  <c r="U678" i="1"/>
  <c r="U483" i="1"/>
  <c r="U534" i="1"/>
  <c r="T866" i="1"/>
  <c r="T885" i="1"/>
  <c r="U160" i="1"/>
  <c r="T699" i="1"/>
  <c r="U914" i="1"/>
  <c r="T707" i="1"/>
  <c r="T604" i="1"/>
  <c r="T234" i="1"/>
  <c r="U252" i="1"/>
  <c r="T485" i="1"/>
  <c r="T259" i="1"/>
  <c r="T320" i="1"/>
  <c r="T385" i="1"/>
  <c r="T449" i="1"/>
  <c r="T329" i="1"/>
  <c r="T394" i="1"/>
  <c r="T458" i="1"/>
  <c r="U334" i="1"/>
  <c r="U399" i="1"/>
  <c r="U463" i="1"/>
  <c r="U573" i="1"/>
  <c r="U295" i="1"/>
  <c r="T662" i="1"/>
  <c r="T672" i="1"/>
  <c r="T451" i="1"/>
  <c r="U557" i="1"/>
  <c r="T223" i="1"/>
  <c r="U55" i="1"/>
  <c r="U188" i="1"/>
  <c r="T85" i="1"/>
  <c r="T218" i="1"/>
  <c r="U115" i="1"/>
  <c r="U247" i="1"/>
  <c r="T147" i="1"/>
  <c r="T213" i="1"/>
  <c r="U102" i="1"/>
  <c r="U234" i="1"/>
  <c r="T132" i="1"/>
  <c r="U165" i="1"/>
  <c r="U229" i="1"/>
  <c r="U253" i="1"/>
  <c r="T195" i="1"/>
  <c r="U237" i="1"/>
  <c r="U91" i="1"/>
  <c r="U224" i="1"/>
  <c r="T190" i="1"/>
  <c r="U325" i="1"/>
  <c r="U390" i="1"/>
  <c r="U454" i="1"/>
  <c r="T334" i="1"/>
  <c r="T463" i="1"/>
  <c r="T471" i="1"/>
  <c r="T340" i="1"/>
  <c r="T405" i="1"/>
  <c r="T469" i="1"/>
  <c r="U258" i="1"/>
  <c r="U479" i="1"/>
  <c r="U585" i="1"/>
  <c r="T536" i="1"/>
  <c r="U544" i="1"/>
  <c r="U539" i="1"/>
  <c r="U243" i="1"/>
  <c r="T549" i="1"/>
  <c r="U526" i="1"/>
  <c r="U513" i="1"/>
  <c r="T519" i="1"/>
  <c r="U524" i="1"/>
  <c r="U844" i="1"/>
  <c r="U1001" i="1"/>
  <c r="T967" i="1"/>
  <c r="U874" i="1"/>
  <c r="U967" i="1"/>
  <c r="U241" i="1"/>
  <c r="U807" i="1"/>
  <c r="T482" i="1"/>
  <c r="U503" i="1"/>
  <c r="T838" i="1"/>
  <c r="U859" i="1"/>
  <c r="T884" i="1"/>
  <c r="T842" i="1"/>
  <c r="U884" i="1"/>
  <c r="T906" i="1"/>
  <c r="T999" i="1"/>
  <c r="U863" i="1"/>
  <c r="U818" i="1"/>
  <c r="U882" i="1"/>
  <c r="T886" i="1"/>
  <c r="T979" i="1"/>
  <c r="T514" i="1"/>
  <c r="T183" i="1"/>
  <c r="T254" i="1"/>
  <c r="T19" i="1"/>
  <c r="T32" i="1"/>
  <c r="U41" i="1"/>
  <c r="U225" i="1"/>
  <c r="U68" i="1"/>
  <c r="T203" i="1"/>
  <c r="T398" i="1"/>
  <c r="U476" i="1"/>
  <c r="U481" i="1"/>
  <c r="U492" i="1"/>
  <c r="U841" i="1"/>
  <c r="T2" i="1"/>
  <c r="U130" i="1"/>
  <c r="T247" i="1"/>
  <c r="T146" i="1"/>
  <c r="U217" i="1"/>
  <c r="U867" i="1"/>
  <c r="T524" i="1"/>
  <c r="T848" i="1"/>
  <c r="U65" i="1"/>
  <c r="U255" i="1"/>
  <c r="T231" i="1"/>
  <c r="U332" i="1"/>
  <c r="U240" i="1"/>
  <c r="U952" i="1"/>
  <c r="U490" i="1"/>
  <c r="U254" i="1"/>
  <c r="U519" i="1"/>
  <c r="U712" i="1"/>
  <c r="U498" i="1"/>
  <c r="U530" i="1"/>
  <c r="U795" i="1"/>
  <c r="U755" i="1"/>
  <c r="U259" i="1"/>
  <c r="U522" i="1"/>
  <c r="T580" i="1"/>
  <c r="T692" i="1"/>
  <c r="U883" i="1"/>
  <c r="U514" i="1"/>
  <c r="U477" i="1"/>
  <c r="U480" i="1"/>
  <c r="U501" i="1"/>
  <c r="U740" i="1"/>
  <c r="T545" i="1"/>
  <c r="T666" i="1"/>
  <c r="T741" i="1"/>
  <c r="T593" i="1"/>
  <c r="T705" i="1"/>
  <c r="U581" i="1"/>
  <c r="U693" i="1"/>
  <c r="T588" i="1"/>
  <c r="T700" i="1"/>
  <c r="U516" i="1"/>
  <c r="U593" i="1"/>
  <c r="U705" i="1"/>
  <c r="T543" i="1"/>
  <c r="U527" i="1"/>
  <c r="U801" i="1"/>
  <c r="U958" i="1"/>
  <c r="T813" i="1"/>
  <c r="T877" i="1"/>
  <c r="T602" i="1"/>
  <c r="U921" i="1"/>
  <c r="T36" i="1"/>
  <c r="T658" i="1"/>
  <c r="U938" i="1"/>
  <c r="U656" i="1"/>
  <c r="T911" i="1"/>
  <c r="T651" i="1"/>
  <c r="T601" i="1"/>
  <c r="T229" i="1"/>
  <c r="T216" i="1"/>
  <c r="U328" i="1"/>
  <c r="U393" i="1"/>
  <c r="U457" i="1"/>
  <c r="T566" i="1"/>
  <c r="T291" i="1"/>
  <c r="T63" i="1"/>
  <c r="T196" i="1"/>
  <c r="U811" i="1"/>
  <c r="T419" i="1"/>
  <c r="T625" i="1"/>
  <c r="U257" i="1"/>
  <c r="T444" i="1"/>
  <c r="U633" i="1"/>
  <c r="U437" i="1"/>
  <c r="U214" i="1"/>
  <c r="T37" i="1"/>
  <c r="U37" i="1"/>
  <c r="U63" i="1"/>
  <c r="T93" i="1"/>
  <c r="U397" i="1"/>
  <c r="U191" i="1"/>
  <c r="T88" i="1"/>
  <c r="T155" i="1"/>
  <c r="T221" i="1"/>
  <c r="U357" i="1"/>
  <c r="U110" i="1"/>
  <c r="U178" i="1"/>
  <c r="U242" i="1"/>
  <c r="T75" i="1"/>
  <c r="T142" i="1"/>
  <c r="T208" i="1"/>
  <c r="T253" i="1"/>
  <c r="U105" i="1"/>
  <c r="U173" i="1"/>
  <c r="T137" i="1"/>
  <c r="T239" i="1"/>
  <c r="T33" i="1"/>
  <c r="T315" i="1"/>
  <c r="U373" i="1"/>
  <c r="T17" i="1"/>
  <c r="U136" i="1"/>
  <c r="U249" i="1"/>
  <c r="U128" i="1"/>
  <c r="U123" i="1"/>
  <c r="T57" i="1"/>
  <c r="T379" i="1"/>
  <c r="U206" i="1"/>
  <c r="T730" i="1"/>
  <c r="T267" i="1"/>
  <c r="T380" i="1"/>
  <c r="U201" i="1"/>
  <c r="T204" i="1"/>
  <c r="U23" i="1"/>
  <c r="T226" i="1"/>
  <c r="U98" i="1"/>
  <c r="T65" i="1"/>
  <c r="U109" i="1"/>
  <c r="T20" i="1"/>
  <c r="U230" i="1"/>
  <c r="T157" i="1"/>
  <c r="T99" i="1"/>
  <c r="U20" i="1"/>
  <c r="U742" i="1"/>
  <c r="U107" i="1"/>
  <c r="U175" i="1"/>
  <c r="T72" i="1"/>
  <c r="T139" i="1"/>
  <c r="U256" i="1"/>
  <c r="U344" i="1"/>
  <c r="U408" i="1"/>
  <c r="U330" i="1"/>
  <c r="U395" i="1"/>
  <c r="U459" i="1"/>
  <c r="T323" i="1"/>
  <c r="T388" i="1"/>
  <c r="T452" i="1"/>
  <c r="U356" i="1"/>
  <c r="U420" i="1"/>
  <c r="U18" i="1"/>
  <c r="U196" i="1"/>
  <c r="T162" i="1"/>
  <c r="U182" i="1"/>
  <c r="T8" i="1"/>
  <c r="T35" i="1"/>
  <c r="T355" i="1"/>
  <c r="U421" i="1"/>
  <c r="T310" i="1"/>
  <c r="T375" i="1"/>
  <c r="T439" i="1"/>
  <c r="U791" i="1"/>
  <c r="U485" i="1"/>
  <c r="U549" i="1"/>
  <c r="U672" i="1"/>
  <c r="U745" i="1"/>
  <c r="T491" i="1"/>
  <c r="T555" i="1"/>
  <c r="T678" i="1"/>
  <c r="T761" i="1"/>
  <c r="T515" i="1"/>
  <c r="T478" i="1"/>
  <c r="T542" i="1"/>
  <c r="T631" i="1"/>
  <c r="T738" i="1"/>
  <c r="U779" i="1"/>
  <c r="U803" i="1"/>
  <c r="T833" i="1"/>
  <c r="T897" i="1"/>
  <c r="T990" i="1"/>
  <c r="U798" i="1"/>
  <c r="U862" i="1"/>
  <c r="U955" i="1"/>
  <c r="T764" i="1"/>
  <c r="T892" i="1"/>
  <c r="U793" i="1"/>
  <c r="U857" i="1"/>
  <c r="U950" i="1"/>
  <c r="U640" i="1"/>
  <c r="T926" i="1"/>
  <c r="U563" i="1"/>
  <c r="T931" i="1"/>
  <c r="U799" i="1"/>
  <c r="T950" i="1"/>
  <c r="U758" i="1"/>
  <c r="U822" i="1"/>
  <c r="U979" i="1"/>
  <c r="T759" i="1"/>
  <c r="T287" i="1"/>
  <c r="T274" i="1"/>
  <c r="U617" i="1"/>
  <c r="T923" i="1"/>
  <c r="U299" i="1"/>
  <c r="U918" i="1"/>
  <c r="T586" i="1"/>
  <c r="U245" i="1"/>
  <c r="U100" i="1"/>
  <c r="U168" i="1"/>
  <c r="U232" i="1"/>
  <c r="T130" i="1"/>
  <c r="T198" i="1"/>
  <c r="T206" i="1"/>
  <c r="U272" i="1"/>
  <c r="U360" i="1"/>
  <c r="U424" i="1"/>
  <c r="T341" i="1"/>
  <c r="T406" i="1"/>
  <c r="T470" i="1"/>
  <c r="U347" i="1"/>
  <c r="U411" i="1"/>
  <c r="U720" i="1"/>
  <c r="U333" i="1"/>
  <c r="U398" i="1"/>
  <c r="U462" i="1"/>
  <c r="U554" i="1"/>
  <c r="T343" i="1"/>
  <c r="T407" i="1"/>
  <c r="U307" i="1"/>
  <c r="U372" i="1"/>
  <c r="U436" i="1"/>
  <c r="U685" i="1"/>
  <c r="T261" i="1"/>
  <c r="T349" i="1"/>
  <c r="T413" i="1"/>
  <c r="T501" i="1"/>
  <c r="U594" i="1"/>
  <c r="U706" i="1"/>
  <c r="T523" i="1"/>
  <c r="T600" i="1"/>
  <c r="T713" i="1"/>
  <c r="U580" i="1"/>
  <c r="U692" i="1"/>
  <c r="T510" i="1"/>
  <c r="T587" i="1"/>
  <c r="T698" i="1"/>
  <c r="U625" i="1"/>
  <c r="U730" i="1"/>
  <c r="T505" i="1"/>
  <c r="T581" i="1"/>
  <c r="T693" i="1"/>
  <c r="U899" i="1"/>
  <c r="U587" i="1"/>
  <c r="U698" i="1"/>
  <c r="T731" i="1"/>
  <c r="U611" i="1"/>
  <c r="T535" i="1"/>
  <c r="T725" i="1"/>
  <c r="U626" i="1"/>
  <c r="T801" i="1"/>
  <c r="T958" i="1"/>
  <c r="U766" i="1"/>
  <c r="U830" i="1"/>
  <c r="T796" i="1"/>
  <c r="T860" i="1"/>
  <c r="T953" i="1"/>
  <c r="U761" i="1"/>
  <c r="T767" i="1"/>
  <c r="T895" i="1"/>
  <c r="T988" i="1"/>
  <c r="T983" i="1"/>
  <c r="U964" i="1"/>
  <c r="T752" i="1"/>
  <c r="T816" i="1"/>
  <c r="T880" i="1"/>
  <c r="T973" i="1"/>
  <c r="U781" i="1"/>
  <c r="U845" i="1"/>
  <c r="U909" i="1"/>
  <c r="U1002" i="1"/>
  <c r="T811" i="1"/>
  <c r="U645" i="1"/>
  <c r="U935" i="1"/>
  <c r="T275" i="1"/>
  <c r="T562" i="1"/>
  <c r="U735" i="1"/>
  <c r="U659" i="1"/>
  <c r="T665" i="1"/>
  <c r="U917" i="1"/>
  <c r="T925" i="1"/>
  <c r="T645" i="1"/>
  <c r="T889" i="1"/>
  <c r="U790" i="1"/>
  <c r="U854" i="1"/>
  <c r="U947" i="1"/>
  <c r="T791" i="1"/>
  <c r="T948" i="1"/>
  <c r="U977" i="1"/>
  <c r="U831" i="1"/>
  <c r="U895" i="1"/>
  <c r="U988" i="1"/>
  <c r="T797" i="1"/>
  <c r="T954" i="1"/>
  <c r="U786" i="1"/>
  <c r="U943" i="1"/>
  <c r="T776" i="1"/>
  <c r="T840" i="1"/>
  <c r="T904" i="1"/>
  <c r="U805" i="1"/>
  <c r="U962" i="1"/>
  <c r="T771" i="1"/>
  <c r="T899" i="1"/>
  <c r="U655" i="1"/>
  <c r="T642" i="1"/>
  <c r="T653" i="1"/>
  <c r="U635" i="1"/>
  <c r="T920" i="1"/>
  <c r="U277" i="1"/>
  <c r="T605" i="1"/>
  <c r="U912" i="1"/>
  <c r="T918" i="1"/>
  <c r="U282" i="1"/>
  <c r="T646" i="1"/>
  <c r="U920" i="1"/>
  <c r="T910" i="1"/>
  <c r="U599" i="1"/>
  <c r="U759" i="1"/>
  <c r="U960" i="1"/>
  <c r="U767" i="1"/>
  <c r="T927" i="1"/>
  <c r="U668" i="1"/>
  <c r="T913" i="1"/>
  <c r="U284" i="1"/>
  <c r="T654" i="1"/>
  <c r="U927" i="1"/>
  <c r="T929" i="1"/>
  <c r="T161" i="1"/>
  <c r="U646" i="1"/>
  <c r="T509" i="1"/>
  <c r="U677" i="1"/>
  <c r="U591" i="1"/>
  <c r="U639" i="1"/>
  <c r="T664" i="1"/>
  <c r="U642" i="1"/>
  <c r="T276" i="1"/>
  <c r="U629" i="1"/>
  <c r="T932" i="1"/>
  <c r="T641" i="1"/>
  <c r="T225" i="1"/>
  <c r="U389" i="1"/>
  <c r="U506" i="1"/>
  <c r="T309" i="1"/>
  <c r="T374" i="1"/>
  <c r="T438" i="1"/>
  <c r="T273" i="1"/>
  <c r="T361" i="1"/>
  <c r="T425" i="1"/>
  <c r="T615" i="1"/>
  <c r="T257" i="1"/>
  <c r="U301" i="1"/>
  <c r="U366" i="1"/>
  <c r="U430" i="1"/>
  <c r="T307" i="1"/>
  <c r="T372" i="1"/>
  <c r="T436" i="1"/>
  <c r="U273" i="1"/>
  <c r="U425" i="1"/>
  <c r="U339" i="1"/>
  <c r="U404" i="1"/>
  <c r="U468" i="1"/>
  <c r="U622" i="1"/>
  <c r="T305" i="1"/>
  <c r="T370" i="1"/>
  <c r="T434" i="1"/>
  <c r="T732" i="1"/>
  <c r="U310" i="1"/>
  <c r="U375" i="1"/>
  <c r="U439" i="1"/>
  <c r="T541" i="1"/>
  <c r="T316" i="1"/>
  <c r="T381" i="1"/>
  <c r="T445" i="1"/>
  <c r="U321" i="1"/>
  <c r="U386" i="1"/>
  <c r="U450" i="1"/>
  <c r="U471" i="1"/>
  <c r="T440" i="1"/>
  <c r="T496" i="1"/>
  <c r="T571" i="1"/>
  <c r="T683" i="1"/>
  <c r="T528" i="1"/>
  <c r="T512" i="1"/>
  <c r="U533" i="1"/>
  <c r="U472" i="1"/>
  <c r="U536" i="1"/>
  <c r="U620" i="1"/>
  <c r="U726" i="1"/>
  <c r="T486" i="1"/>
  <c r="U528" i="1"/>
  <c r="U583" i="1"/>
  <c r="T92" i="1"/>
  <c r="T159" i="1"/>
  <c r="T98" i="1"/>
  <c r="T107" i="1"/>
  <c r="T58" i="1"/>
  <c r="T28" i="1"/>
  <c r="U28" i="1"/>
  <c r="U159" i="1"/>
  <c r="U298" i="1"/>
  <c r="U428" i="1"/>
  <c r="T520" i="1"/>
  <c r="T597" i="1"/>
  <c r="T710" i="1"/>
  <c r="T502" i="1"/>
  <c r="T578" i="1"/>
  <c r="U376" i="1"/>
  <c r="U297" i="1"/>
  <c r="U427" i="1"/>
  <c r="T3" i="1"/>
  <c r="T199" i="1"/>
  <c r="T467" i="1"/>
  <c r="T369" i="1"/>
  <c r="T723" i="1"/>
  <c r="U309" i="1"/>
  <c r="U438" i="1"/>
  <c r="T378" i="1"/>
  <c r="U318" i="1"/>
  <c r="U447" i="1"/>
  <c r="T389" i="1"/>
  <c r="U815" i="1"/>
  <c r="U907" i="1"/>
  <c r="T27" i="1"/>
  <c r="U49" i="1"/>
  <c r="U35" i="1"/>
  <c r="T40" i="1"/>
  <c r="T233" i="1"/>
  <c r="U53" i="1"/>
  <c r="U312" i="1"/>
  <c r="U377" i="1"/>
  <c r="U441" i="1"/>
  <c r="U689" i="1"/>
  <c r="U843" i="1"/>
  <c r="T507" i="1"/>
  <c r="T583" i="1"/>
  <c r="T695" i="1"/>
  <c r="U552" i="1"/>
  <c r="T494" i="1"/>
  <c r="T66" i="1"/>
  <c r="U76" i="1"/>
  <c r="T123" i="1"/>
  <c r="U695" i="1"/>
  <c r="U515" i="1"/>
  <c r="T537" i="1"/>
  <c r="T621" i="1"/>
  <c r="T727" i="1"/>
  <c r="U499" i="1"/>
  <c r="U542" i="1"/>
  <c r="U631" i="1"/>
  <c r="U738" i="1"/>
  <c r="U486" i="1"/>
  <c r="T529" i="1"/>
  <c r="T584" i="1"/>
  <c r="T696" i="1"/>
  <c r="U976" i="1"/>
  <c r="U497" i="1"/>
  <c r="U518" i="1"/>
  <c r="U572" i="1"/>
  <c r="U684" i="1"/>
  <c r="T503" i="1"/>
  <c r="U545" i="1"/>
  <c r="T579" i="1"/>
  <c r="T691" i="1"/>
  <c r="T487" i="1"/>
  <c r="U529" i="1"/>
  <c r="U584" i="1"/>
  <c r="U696" i="1"/>
  <c r="U984" i="1"/>
  <c r="T703" i="1"/>
  <c r="T498" i="1"/>
  <c r="U540" i="1"/>
  <c r="U596" i="1"/>
  <c r="U819" i="1"/>
  <c r="U878" i="1"/>
  <c r="T799" i="1"/>
  <c r="T820" i="1"/>
  <c r="T863" i="1"/>
  <c r="T956" i="1"/>
  <c r="U764" i="1"/>
  <c r="U849" i="1"/>
  <c r="U892" i="1"/>
  <c r="T794" i="1"/>
  <c r="U836" i="1"/>
  <c r="T858" i="1"/>
  <c r="T879" i="1"/>
  <c r="T951" i="1"/>
  <c r="U839" i="1"/>
  <c r="U860" i="1"/>
  <c r="U903" i="1"/>
  <c r="T805" i="1"/>
  <c r="T962" i="1"/>
  <c r="U794" i="1"/>
  <c r="T837" i="1"/>
  <c r="U858" i="1"/>
  <c r="U879" i="1"/>
  <c r="U951" i="1"/>
  <c r="T994" i="1"/>
  <c r="T784" i="1"/>
  <c r="T869" i="1"/>
  <c r="T941" i="1"/>
  <c r="U749" i="1"/>
  <c r="U813" i="1"/>
  <c r="U877" i="1"/>
  <c r="U970" i="1"/>
  <c r="T779" i="1"/>
  <c r="T843" i="1"/>
  <c r="T907" i="1"/>
  <c r="T1000" i="1"/>
  <c r="U872" i="1"/>
  <c r="T774" i="1"/>
  <c r="T902" i="1"/>
  <c r="U930" i="1"/>
  <c r="T914" i="1"/>
  <c r="U934" i="1"/>
  <c r="T285" i="1"/>
  <c r="U650" i="1"/>
  <c r="T733" i="1"/>
  <c r="U638" i="1"/>
  <c r="T636" i="1"/>
  <c r="T160" i="1"/>
  <c r="U285" i="1"/>
  <c r="U733" i="1"/>
  <c r="U574" i="1"/>
  <c r="U293" i="1"/>
  <c r="T668" i="1"/>
  <c r="U651" i="1"/>
  <c r="T690" i="1"/>
  <c r="U578" i="1"/>
  <c r="U690" i="1"/>
  <c r="T614" i="1"/>
  <c r="T722" i="1"/>
  <c r="U521" i="1"/>
  <c r="U598" i="1"/>
  <c r="U711" i="1"/>
  <c r="T609" i="1"/>
  <c r="T717" i="1"/>
  <c r="U614" i="1"/>
  <c r="U722" i="1"/>
  <c r="T793" i="1"/>
  <c r="T788" i="1"/>
  <c r="T945" i="1"/>
  <c r="U753" i="1"/>
  <c r="U881" i="1"/>
  <c r="U974" i="1"/>
  <c r="T887" i="1"/>
  <c r="U852" i="1"/>
  <c r="U945" i="1"/>
  <c r="U956" i="1"/>
  <c r="T765" i="1"/>
  <c r="U754" i="1"/>
  <c r="U975" i="1"/>
  <c r="T808" i="1"/>
  <c r="T872" i="1"/>
  <c r="T965" i="1"/>
  <c r="U773" i="1"/>
  <c r="U901" i="1"/>
  <c r="U994" i="1"/>
  <c r="T803" i="1"/>
  <c r="T960" i="1"/>
  <c r="U916" i="1"/>
  <c r="T656" i="1"/>
  <c r="U929" i="1"/>
  <c r="U279" i="1"/>
  <c r="T299" i="1"/>
  <c r="U281" i="1"/>
  <c r="U342" i="1"/>
  <c r="U608" i="1"/>
  <c r="U716" i="1"/>
  <c r="T679" i="1"/>
  <c r="T817" i="1"/>
  <c r="T974" i="1"/>
  <c r="U782" i="1"/>
  <c r="U939" i="1"/>
  <c r="U1003" i="1"/>
  <c r="T783" i="1"/>
  <c r="T940" i="1"/>
  <c r="T768" i="1"/>
  <c r="T832" i="1"/>
  <c r="T896" i="1"/>
  <c r="T989" i="1"/>
  <c r="U797" i="1"/>
  <c r="U954" i="1"/>
  <c r="T763" i="1"/>
  <c r="T891" i="1"/>
  <c r="T959" i="1"/>
  <c r="U802" i="1"/>
  <c r="U959" i="1"/>
  <c r="U564" i="1"/>
  <c r="T736" i="1"/>
  <c r="U662" i="1"/>
  <c r="T753" i="1"/>
  <c r="U783" i="1"/>
  <c r="U944" i="1"/>
  <c r="T943" i="1"/>
  <c r="U653" i="1"/>
  <c r="T729" i="1"/>
  <c r="U602" i="1"/>
  <c r="T627" i="1"/>
  <c r="T663" i="1"/>
  <c r="U523" i="1"/>
  <c r="U600" i="1"/>
  <c r="U713" i="1"/>
  <c r="U494" i="1"/>
  <c r="U569" i="1"/>
  <c r="U681" i="1"/>
  <c r="T780" i="1"/>
  <c r="T908" i="1"/>
  <c r="U908" i="1"/>
  <c r="T874" i="1"/>
  <c r="U948" i="1"/>
  <c r="T757" i="1"/>
  <c r="T821" i="1"/>
  <c r="T978" i="1"/>
  <c r="U810" i="1"/>
  <c r="U765" i="1"/>
  <c r="U893" i="1"/>
  <c r="T795" i="1"/>
  <c r="T952" i="1"/>
  <c r="U278" i="1"/>
  <c r="T288" i="1"/>
  <c r="U586" i="1"/>
  <c r="T915" i="1"/>
  <c r="U628" i="1"/>
  <c r="T637" i="1"/>
  <c r="T702" i="1"/>
  <c r="U537" i="1"/>
  <c r="U621" i="1"/>
  <c r="U727" i="1"/>
  <c r="T632" i="1"/>
  <c r="T739" i="1"/>
  <c r="U671" i="1"/>
  <c r="U744" i="1"/>
  <c r="U769" i="1"/>
  <c r="U833" i="1"/>
  <c r="U897" i="1"/>
  <c r="U990" i="1"/>
  <c r="T991" i="1"/>
  <c r="T909" i="1"/>
  <c r="T760" i="1"/>
  <c r="U789" i="1"/>
  <c r="U946" i="1"/>
  <c r="T755" i="1"/>
  <c r="T883" i="1"/>
  <c r="T976" i="1"/>
  <c r="U641" i="1"/>
  <c r="T734" i="1"/>
  <c r="U561" i="1"/>
  <c r="T629" i="1"/>
  <c r="U919" i="1"/>
  <c r="T687" i="1"/>
  <c r="T574" i="1"/>
  <c r="T737" i="1"/>
  <c r="U106" i="1"/>
  <c r="T47" i="1"/>
  <c r="U27" i="1"/>
  <c r="T9" i="1"/>
  <c r="U52" i="1"/>
  <c r="U15" i="1"/>
  <c r="T138" i="1"/>
  <c r="U120" i="1"/>
  <c r="T152" i="1"/>
  <c r="U50" i="1"/>
  <c r="U183" i="1"/>
  <c r="T80" i="1"/>
  <c r="U170" i="1"/>
  <c r="T67" i="1"/>
  <c r="T200" i="1"/>
  <c r="U96" i="1"/>
  <c r="T127" i="1"/>
  <c r="U158" i="1"/>
  <c r="T122" i="1"/>
  <c r="U153" i="1"/>
  <c r="T52" i="1"/>
  <c r="T185" i="1"/>
  <c r="U352" i="1"/>
  <c r="T333" i="1"/>
  <c r="T462" i="1"/>
  <c r="U251" i="1"/>
  <c r="U403" i="1"/>
  <c r="T396" i="1"/>
  <c r="U385" i="1"/>
  <c r="T399" i="1"/>
  <c r="U364" i="1"/>
  <c r="U346" i="1"/>
  <c r="T335" i="1"/>
  <c r="T464" i="1"/>
  <c r="U509" i="1"/>
  <c r="U697" i="1"/>
  <c r="T592" i="1"/>
  <c r="U571" i="1"/>
  <c r="U721" i="1"/>
  <c r="T572" i="1"/>
  <c r="T474" i="1"/>
  <c r="T622" i="1"/>
  <c r="U739" i="1"/>
  <c r="T754" i="1"/>
  <c r="T882" i="1"/>
  <c r="U989" i="1"/>
  <c r="T862" i="1"/>
  <c r="T565" i="1"/>
  <c r="U647" i="1"/>
  <c r="T650" i="1"/>
  <c r="U734" i="1"/>
  <c r="U699" i="1"/>
  <c r="T916" i="1"/>
  <c r="U931" i="1"/>
  <c r="U707" i="1"/>
  <c r="T919" i="1"/>
  <c r="U283" i="1"/>
  <c r="T376" i="1"/>
  <c r="T371" i="1"/>
  <c r="T44" i="1"/>
  <c r="U122" i="1"/>
  <c r="T6" i="1"/>
  <c r="U10" i="1"/>
  <c r="T95" i="1"/>
  <c r="T228" i="1"/>
  <c r="U413" i="1"/>
  <c r="U79" i="1"/>
  <c r="U212" i="1"/>
  <c r="T110" i="1"/>
  <c r="T242" i="1"/>
  <c r="U126" i="1"/>
  <c r="T158" i="1"/>
  <c r="U56" i="1"/>
  <c r="U189" i="1"/>
  <c r="T86" i="1"/>
  <c r="T219" i="1"/>
  <c r="U116" i="1"/>
  <c r="T81" i="1"/>
  <c r="U111" i="1"/>
  <c r="T143" i="1"/>
  <c r="U311" i="1"/>
  <c r="U440" i="1"/>
  <c r="T270" i="1"/>
  <c r="T422" i="1"/>
  <c r="U363" i="1"/>
  <c r="T345" i="1"/>
  <c r="U262" i="1"/>
  <c r="U414" i="1"/>
  <c r="T356" i="1"/>
  <c r="T568" i="1"/>
  <c r="T359" i="1"/>
  <c r="T594" i="1"/>
  <c r="T354" i="1"/>
  <c r="U271" i="1"/>
  <c r="U423" i="1"/>
  <c r="T365" i="1"/>
  <c r="T689" i="1"/>
  <c r="U305" i="1"/>
  <c r="U434" i="1"/>
  <c r="T272" i="1"/>
  <c r="T424" i="1"/>
  <c r="T480" i="1"/>
  <c r="T633" i="1"/>
  <c r="U615" i="1"/>
  <c r="U520" i="1"/>
  <c r="U710" i="1"/>
  <c r="T608" i="1"/>
  <c r="T521" i="1"/>
  <c r="T711" i="1"/>
  <c r="T492" i="1"/>
  <c r="U666" i="1"/>
  <c r="T551" i="1"/>
  <c r="T747" i="1"/>
  <c r="U679" i="1"/>
  <c r="T573" i="1"/>
  <c r="U691" i="1"/>
  <c r="U998" i="1"/>
  <c r="U812" i="1"/>
  <c r="U792" i="1"/>
  <c r="U949" i="1"/>
  <c r="T822" i="1"/>
  <c r="U657" i="1"/>
  <c r="U562" i="1"/>
  <c r="U923" i="1"/>
  <c r="U911" i="1"/>
  <c r="U936" i="1"/>
  <c r="T638" i="1"/>
  <c r="U603" i="1"/>
  <c r="U24" i="1"/>
  <c r="U57" i="1"/>
  <c r="U81" i="1"/>
  <c r="U39" i="1"/>
  <c r="T12" i="1"/>
  <c r="U42" i="1"/>
  <c r="T31" i="1"/>
  <c r="U12" i="1"/>
  <c r="T43" i="1"/>
  <c r="T13" i="1"/>
  <c r="T55" i="1"/>
  <c r="T188" i="1"/>
  <c r="U172" i="1"/>
  <c r="T69" i="1"/>
  <c r="T202" i="1"/>
  <c r="T129" i="1"/>
  <c r="U85" i="1"/>
  <c r="T116" i="1"/>
  <c r="U147" i="1"/>
  <c r="T179" i="1"/>
  <c r="U75" i="1"/>
  <c r="T174" i="1"/>
  <c r="U70" i="1"/>
  <c r="T101" i="1"/>
  <c r="U453" i="1"/>
  <c r="U400" i="1"/>
  <c r="U582" i="1"/>
  <c r="T382" i="1"/>
  <c r="U322" i="1"/>
  <c r="U451" i="1"/>
  <c r="T304" i="1"/>
  <c r="T433" i="1"/>
  <c r="U374" i="1"/>
  <c r="U304" i="1"/>
  <c r="U433" i="1"/>
  <c r="T318" i="1"/>
  <c r="T447" i="1"/>
  <c r="U412" i="1"/>
  <c r="U728" i="1"/>
  <c r="T313" i="1"/>
  <c r="T442" i="1"/>
  <c r="U383" i="1"/>
  <c r="T324" i="1"/>
  <c r="T453" i="1"/>
  <c r="U394" i="1"/>
  <c r="T384" i="1"/>
  <c r="U568" i="1"/>
  <c r="T499" i="1"/>
  <c r="T686" i="1"/>
  <c r="T550" i="1"/>
  <c r="T746" i="1"/>
  <c r="U592" i="1"/>
  <c r="U550" i="1"/>
  <c r="U746" i="1"/>
  <c r="T712" i="1"/>
  <c r="U609" i="1"/>
  <c r="T772" i="1"/>
  <c r="T900" i="1"/>
  <c r="U772" i="1"/>
  <c r="U900" i="1"/>
  <c r="T802" i="1"/>
  <c r="U940" i="1"/>
  <c r="T792" i="1"/>
  <c r="T949" i="1"/>
  <c r="U978" i="1"/>
  <c r="U752" i="1"/>
  <c r="U880" i="1"/>
  <c r="T782" i="1"/>
  <c r="T939" i="1"/>
  <c r="U644" i="1"/>
  <c r="U286" i="1"/>
  <c r="U729" i="1"/>
  <c r="U634" i="1"/>
  <c r="U925" i="1"/>
  <c r="T647" i="1"/>
  <c r="U161" i="1"/>
  <c r="U222" i="1"/>
  <c r="U89" i="1"/>
  <c r="T330" i="1"/>
  <c r="U163" i="1"/>
  <c r="T60" i="1"/>
  <c r="T193" i="1"/>
  <c r="T393" i="1"/>
  <c r="T404" i="1"/>
  <c r="T402" i="1"/>
  <c r="U343" i="1"/>
  <c r="U354" i="1"/>
  <c r="T344" i="1"/>
  <c r="T472" i="1"/>
  <c r="T718" i="1"/>
  <c r="U751" i="1"/>
  <c r="U719" i="1"/>
  <c r="T619" i="1"/>
  <c r="U731" i="1"/>
  <c r="T667" i="1"/>
  <c r="U551" i="1"/>
  <c r="U747" i="1"/>
  <c r="T762" i="1"/>
  <c r="T773" i="1"/>
  <c r="T901" i="1"/>
  <c r="U762" i="1"/>
  <c r="T623" i="1"/>
  <c r="U737" i="1"/>
  <c r="T670" i="1"/>
  <c r="T283" i="1"/>
  <c r="U637" i="1"/>
  <c r="U560" i="1"/>
  <c r="U627" i="1"/>
  <c r="T280" i="1"/>
  <c r="U558" i="1"/>
  <c r="T930" i="1"/>
  <c r="T82" i="1"/>
  <c r="U58" i="1"/>
  <c r="T745" i="1"/>
  <c r="T14" i="1"/>
  <c r="U97" i="1"/>
  <c r="T104" i="1"/>
  <c r="T236" i="1"/>
  <c r="U87" i="1"/>
  <c r="T118" i="1"/>
  <c r="U149" i="1"/>
  <c r="T181" i="1"/>
  <c r="U134" i="1"/>
  <c r="T168" i="1"/>
  <c r="T263" i="1"/>
  <c r="U64" i="1"/>
  <c r="U197" i="1"/>
  <c r="T94" i="1"/>
  <c r="T227" i="1"/>
  <c r="U405" i="1"/>
  <c r="U124" i="1"/>
  <c r="T89" i="1"/>
  <c r="T222" i="1"/>
  <c r="U365" i="1"/>
  <c r="U119" i="1"/>
  <c r="T151" i="1"/>
  <c r="U319" i="1"/>
  <c r="U448" i="1"/>
  <c r="T301" i="1"/>
  <c r="T430" i="1"/>
  <c r="U371" i="1"/>
  <c r="T353" i="1"/>
  <c r="U270" i="1"/>
  <c r="U422" i="1"/>
  <c r="T364" i="1"/>
  <c r="T680" i="1"/>
  <c r="U353" i="1"/>
  <c r="T367" i="1"/>
  <c r="T706" i="1"/>
  <c r="U331" i="1"/>
  <c r="U460" i="1"/>
  <c r="T362" i="1"/>
  <c r="T630" i="1"/>
  <c r="U302" i="1"/>
  <c r="U431" i="1"/>
  <c r="T373" i="1"/>
  <c r="U313" i="1"/>
  <c r="U442" i="1"/>
  <c r="T303" i="1"/>
  <c r="T432" i="1"/>
  <c r="T488" i="1"/>
  <c r="T675" i="1"/>
  <c r="U630" i="1"/>
  <c r="T743" i="1"/>
  <c r="U718" i="1"/>
  <c r="T618" i="1"/>
  <c r="U763" i="1"/>
  <c r="U686" i="1"/>
  <c r="T719" i="1"/>
  <c r="U618" i="1"/>
  <c r="T688" i="1"/>
  <c r="U676" i="1"/>
  <c r="T570" i="1"/>
  <c r="U688" i="1"/>
  <c r="T582" i="1"/>
  <c r="U700" i="1"/>
  <c r="T977" i="1"/>
  <c r="U820" i="1"/>
  <c r="U800" i="1"/>
  <c r="U957" i="1"/>
  <c r="T830" i="1"/>
  <c r="T987" i="1"/>
  <c r="U616" i="1"/>
  <c r="T603" i="1"/>
  <c r="U665" i="1"/>
  <c r="U661" i="1"/>
  <c r="T644" i="1"/>
  <c r="U922" i="1"/>
  <c r="U47" i="1"/>
  <c r="T435" i="1"/>
  <c r="T21" i="1"/>
  <c r="U117" i="1"/>
  <c r="U180" i="1"/>
  <c r="T77" i="1"/>
  <c r="U93" i="1"/>
  <c r="T124" i="1"/>
  <c r="U155" i="1"/>
  <c r="T54" i="1"/>
  <c r="T187" i="1"/>
  <c r="U83" i="1"/>
  <c r="T182" i="1"/>
  <c r="U78" i="1"/>
  <c r="T109" i="1"/>
  <c r="T241" i="1"/>
  <c r="U694" i="1"/>
  <c r="T390" i="1"/>
  <c r="T312" i="1"/>
  <c r="T441" i="1"/>
  <c r="U382" i="1"/>
  <c r="T326" i="1"/>
  <c r="T455" i="1"/>
  <c r="T321" i="1"/>
  <c r="T450" i="1"/>
  <c r="U391" i="1"/>
  <c r="T332" i="1"/>
  <c r="T461" i="1"/>
  <c r="U402" i="1"/>
  <c r="T392" i="1"/>
  <c r="T589" i="1"/>
  <c r="U577" i="1"/>
  <c r="U488" i="1"/>
  <c r="U675" i="1"/>
  <c r="T569" i="1"/>
  <c r="T777" i="1"/>
  <c r="T676" i="1"/>
  <c r="T606" i="1"/>
  <c r="U590" i="1"/>
  <c r="T709" i="1"/>
  <c r="U606" i="1"/>
  <c r="T530" i="1"/>
  <c r="T720" i="1"/>
  <c r="U619" i="1"/>
  <c r="U771" i="1"/>
  <c r="T849" i="1"/>
  <c r="U750" i="1"/>
  <c r="U809" i="1"/>
  <c r="T751" i="1"/>
  <c r="U780" i="1"/>
  <c r="T810" i="1"/>
  <c r="T800" i="1"/>
  <c r="T957" i="1"/>
  <c r="U829" i="1"/>
  <c r="U986" i="1"/>
  <c r="T859" i="1"/>
  <c r="U760" i="1"/>
  <c r="T790" i="1"/>
  <c r="T947" i="1"/>
  <c r="T342" i="1"/>
  <c r="U276" i="1"/>
  <c r="U294" i="1"/>
  <c r="T11" i="1"/>
  <c r="U32" i="1"/>
  <c r="T306" i="1"/>
  <c r="U43" i="1"/>
  <c r="U44" i="1"/>
  <c r="T25" i="1"/>
  <c r="U6" i="1"/>
  <c r="U9" i="1"/>
  <c r="T10" i="1"/>
  <c r="U61" i="1"/>
  <c r="U31" i="1"/>
  <c r="U177" i="1"/>
  <c r="T131" i="1"/>
  <c r="T154" i="1"/>
  <c r="U138" i="1"/>
  <c r="T395" i="1"/>
  <c r="T170" i="1"/>
  <c r="T271" i="1"/>
  <c r="U66" i="1"/>
  <c r="U199" i="1"/>
  <c r="T96" i="1"/>
  <c r="U186" i="1"/>
  <c r="T83" i="1"/>
  <c r="U316" i="1"/>
  <c r="U113" i="1"/>
  <c r="T145" i="1"/>
  <c r="U176" i="1"/>
  <c r="T140" i="1"/>
  <c r="U171" i="1"/>
  <c r="T68" i="1"/>
  <c r="T201" i="1"/>
  <c r="U368" i="1"/>
  <c r="T350" i="1"/>
  <c r="U267" i="1"/>
  <c r="U419" i="1"/>
  <c r="T401" i="1"/>
  <c r="U341" i="1"/>
  <c r="U470" i="1"/>
  <c r="T260" i="1"/>
  <c r="T412" i="1"/>
  <c r="U401" i="1"/>
  <c r="T415" i="1"/>
  <c r="U380" i="1"/>
  <c r="T258" i="1"/>
  <c r="T410" i="1"/>
  <c r="U351" i="1"/>
  <c r="T269" i="1"/>
  <c r="T421" i="1"/>
  <c r="U362" i="1"/>
  <c r="T352" i="1"/>
  <c r="T525" i="1"/>
  <c r="T726" i="1"/>
  <c r="U715" i="1"/>
  <c r="T613" i="1"/>
  <c r="U589" i="1"/>
  <c r="T708" i="1"/>
  <c r="U743" i="1"/>
  <c r="T590" i="1"/>
  <c r="U708" i="1"/>
  <c r="T744" i="1"/>
  <c r="T677" i="1"/>
  <c r="U570" i="1"/>
  <c r="U787" i="1"/>
  <c r="T809" i="1"/>
  <c r="T966" i="1"/>
  <c r="U995" i="1"/>
  <c r="T868" i="1"/>
  <c r="T996" i="1"/>
  <c r="T770" i="1"/>
  <c r="T898" i="1"/>
  <c r="T781" i="1"/>
  <c r="U770" i="1"/>
  <c r="U898" i="1"/>
  <c r="T750" i="1"/>
  <c r="T928" i="1"/>
  <c r="T558" i="1"/>
  <c r="U654" i="1"/>
  <c r="U660" i="1"/>
  <c r="T564" i="1"/>
  <c r="U624" i="1"/>
  <c r="T591" i="1"/>
  <c r="U709" i="1"/>
  <c r="U808" i="1"/>
  <c r="U965" i="1"/>
  <c r="T995" i="1"/>
  <c r="T936" i="1"/>
  <c r="U736" i="1"/>
  <c r="T922" i="1"/>
  <c r="U670" i="1"/>
  <c r="T635" i="1"/>
  <c r="T935" i="1"/>
  <c r="T567" i="1"/>
  <c r="T48" i="1"/>
  <c r="T29" i="1"/>
  <c r="T71" i="1"/>
  <c r="T62" i="1"/>
  <c r="U86" i="1"/>
  <c r="U219" i="1"/>
  <c r="T117" i="1"/>
  <c r="U264" i="1"/>
  <c r="U416" i="1"/>
  <c r="U338" i="1"/>
  <c r="U467" i="1"/>
  <c r="T331" i="1"/>
  <c r="T460" i="1"/>
  <c r="U320" i="1"/>
  <c r="U449" i="1"/>
  <c r="U410" i="1"/>
  <c r="T400" i="1"/>
  <c r="T704" i="1"/>
  <c r="U496" i="1"/>
  <c r="U683" i="1"/>
  <c r="U613" i="1"/>
  <c r="T497" i="1"/>
  <c r="T684" i="1"/>
  <c r="T538" i="1"/>
  <c r="T728" i="1"/>
  <c r="U632" i="1"/>
  <c r="U788" i="1"/>
  <c r="T975" i="1"/>
  <c r="U768" i="1"/>
  <c r="U896" i="1"/>
  <c r="T798" i="1"/>
  <c r="T955" i="1"/>
  <c r="T628" i="1"/>
  <c r="T293" i="1"/>
  <c r="T294" i="1"/>
  <c r="T277" i="1"/>
  <c r="U933" i="1"/>
  <c r="T643" i="1"/>
  <c r="T563" i="1"/>
  <c r="U361" i="1"/>
  <c r="U26" i="1"/>
  <c r="U185" i="1"/>
  <c r="U14" i="1"/>
  <c r="U17" i="1"/>
  <c r="T7" i="1"/>
  <c r="T175" i="1"/>
  <c r="U40" i="1"/>
  <c r="T164" i="1"/>
  <c r="T250" i="1"/>
  <c r="U146" i="1"/>
  <c r="T459" i="1"/>
  <c r="T178" i="1"/>
  <c r="U194" i="1"/>
  <c r="T91" i="1"/>
  <c r="U121" i="1"/>
  <c r="T153" i="1"/>
  <c r="U51" i="1"/>
  <c r="U184" i="1"/>
  <c r="T148" i="1"/>
  <c r="U179" i="1"/>
  <c r="T76" i="1"/>
  <c r="T209" i="1"/>
  <c r="T358" i="1"/>
  <c r="T585" i="1"/>
  <c r="T409" i="1"/>
  <c r="U350" i="1"/>
  <c r="T268" i="1"/>
  <c r="T420" i="1"/>
  <c r="T423" i="1"/>
  <c r="T266" i="1"/>
  <c r="T418" i="1"/>
  <c r="U359" i="1"/>
  <c r="T300" i="1"/>
  <c r="T429" i="1"/>
  <c r="U370" i="1"/>
  <c r="T360" i="1"/>
  <c r="T607" i="1"/>
  <c r="T544" i="1"/>
  <c r="T740" i="1"/>
  <c r="U723" i="1"/>
  <c r="U597" i="1"/>
  <c r="T716" i="1"/>
  <c r="T598" i="1"/>
  <c r="T556" i="1"/>
  <c r="U741" i="1"/>
  <c r="T674" i="1"/>
  <c r="U556" i="1"/>
  <c r="T685" i="1"/>
  <c r="U579" i="1"/>
  <c r="U875" i="1"/>
  <c r="U777" i="1"/>
  <c r="U905" i="1"/>
  <c r="U748" i="1"/>
  <c r="T778" i="1"/>
  <c r="U856" i="1"/>
  <c r="T758" i="1"/>
  <c r="T648" i="1"/>
  <c r="T624" i="1"/>
  <c r="U913" i="1"/>
  <c r="T561" i="1"/>
  <c r="T557" i="1"/>
  <c r="U924" i="1"/>
  <c r="T617" i="1"/>
  <c r="U38" i="1"/>
  <c r="T74" i="1"/>
  <c r="T30" i="1"/>
  <c r="U169" i="1"/>
  <c r="U11" i="1"/>
  <c r="U60" i="1"/>
  <c r="U2" i="1"/>
  <c r="U190" i="1"/>
  <c r="T115" i="1"/>
  <c r="T149" i="1"/>
  <c r="T120" i="1"/>
  <c r="U104" i="1"/>
  <c r="T134" i="1"/>
  <c r="U167" i="1"/>
  <c r="U260" i="1"/>
  <c r="T64" i="1"/>
  <c r="T197" i="1"/>
  <c r="U152" i="1"/>
  <c r="T51" i="1"/>
  <c r="T184" i="1"/>
  <c r="U80" i="1"/>
  <c r="T111" i="1"/>
  <c r="U142" i="1"/>
  <c r="T427" i="1"/>
  <c r="T106" i="1"/>
  <c r="U137" i="1"/>
  <c r="T387" i="1"/>
  <c r="T169" i="1"/>
  <c r="U335" i="1"/>
  <c r="U464" i="1"/>
  <c r="T317" i="1"/>
  <c r="T446" i="1"/>
  <c r="U387" i="1"/>
  <c r="U369" i="1"/>
  <c r="T383" i="1"/>
  <c r="U348" i="1"/>
  <c r="U329" i="1"/>
  <c r="U458" i="1"/>
  <c r="T319" i="1"/>
  <c r="T448" i="1"/>
  <c r="U493" i="1"/>
  <c r="U680" i="1"/>
  <c r="T575" i="1"/>
  <c r="T673" i="1"/>
  <c r="U704" i="1"/>
  <c r="U673" i="1"/>
  <c r="T599" i="1"/>
  <c r="U717" i="1"/>
  <c r="T905" i="1"/>
  <c r="U806" i="1"/>
  <c r="U963" i="1"/>
  <c r="T836" i="1"/>
  <c r="T993" i="1"/>
  <c r="T807" i="1"/>
  <c r="T964" i="1"/>
  <c r="U993" i="1"/>
  <c r="U847" i="1"/>
  <c r="T749" i="1"/>
  <c r="T856" i="1"/>
  <c r="U757" i="1"/>
  <c r="T787" i="1"/>
  <c r="T944" i="1"/>
  <c r="U816" i="1"/>
  <c r="U973" i="1"/>
  <c r="T1003" i="1"/>
  <c r="U601" i="1"/>
  <c r="T560" i="1"/>
  <c r="U687" i="1"/>
  <c r="T934" i="1"/>
  <c r="T937" i="1"/>
  <c r="U133" i="1"/>
  <c r="T559" i="1"/>
  <c r="T38" i="1"/>
  <c r="T79" i="1"/>
  <c r="T70" i="1"/>
  <c r="U94" i="1"/>
  <c r="U227" i="1"/>
  <c r="T125" i="1"/>
  <c r="T328" i="1"/>
  <c r="T457" i="1"/>
  <c r="T339" i="1"/>
  <c r="T468" i="1"/>
  <c r="T337" i="1"/>
  <c r="T466" i="1"/>
  <c r="U407" i="1"/>
  <c r="U266" i="1"/>
  <c r="U418" i="1"/>
  <c r="T256" i="1"/>
  <c r="T408" i="1"/>
  <c r="T610" i="1"/>
  <c r="T626" i="1"/>
  <c r="T546" i="1"/>
  <c r="T742" i="1"/>
  <c r="U674" i="1"/>
  <c r="U796" i="1"/>
  <c r="U953" i="1"/>
  <c r="T826" i="1"/>
  <c r="U826" i="1"/>
  <c r="U983" i="1"/>
  <c r="U776" i="1"/>
  <c r="U904" i="1"/>
  <c r="T806" i="1"/>
  <c r="T963" i="1"/>
  <c r="U643" i="1"/>
  <c r="U566" i="1"/>
  <c r="T279" i="1"/>
  <c r="T640" i="1"/>
  <c r="U290" i="1"/>
  <c r="T938" i="1"/>
  <c r="U209" i="1"/>
  <c r="T311" i="1"/>
  <c r="T212" i="1"/>
  <c r="T24" i="1"/>
  <c r="T167" i="1"/>
  <c r="U8" i="1"/>
  <c r="U198" i="1"/>
  <c r="T16" i="1"/>
  <c r="T42" i="1"/>
  <c r="U22" i="1"/>
  <c r="U125" i="1"/>
  <c r="U25" i="1"/>
  <c r="U143" i="1"/>
  <c r="T15" i="1"/>
  <c r="U84" i="1"/>
  <c r="T26" i="1"/>
  <c r="U48" i="1"/>
  <c r="T172" i="1"/>
  <c r="U154" i="1"/>
  <c r="T53" i="1"/>
  <c r="T186" i="1"/>
  <c r="U82" i="1"/>
  <c r="T113" i="1"/>
  <c r="U69" i="1"/>
  <c r="U202" i="1"/>
  <c r="T100" i="1"/>
  <c r="T232" i="1"/>
  <c r="U445" i="1"/>
  <c r="U129" i="1"/>
  <c r="T338" i="1"/>
  <c r="T163" i="1"/>
  <c r="U59" i="1"/>
  <c r="U192" i="1"/>
  <c r="T156" i="1"/>
  <c r="U54" i="1"/>
  <c r="U187" i="1"/>
  <c r="T84" i="1"/>
  <c r="U324" i="1"/>
  <c r="U384" i="1"/>
  <c r="T366" i="1"/>
  <c r="T697" i="1"/>
  <c r="U306" i="1"/>
  <c r="U435" i="1"/>
  <c r="T265" i="1"/>
  <c r="T417" i="1"/>
  <c r="U358" i="1"/>
  <c r="T298" i="1"/>
  <c r="T428" i="1"/>
  <c r="U265" i="1"/>
  <c r="U417" i="1"/>
  <c r="T302" i="1"/>
  <c r="T431" i="1"/>
  <c r="U396" i="1"/>
  <c r="T296" i="1"/>
  <c r="T426" i="1"/>
  <c r="U367" i="1"/>
  <c r="T308" i="1"/>
  <c r="T437" i="1"/>
  <c r="U378" i="1"/>
  <c r="T368" i="1"/>
  <c r="T715" i="1"/>
  <c r="T552" i="1"/>
  <c r="T748" i="1"/>
  <c r="U541" i="1"/>
  <c r="U732" i="1"/>
  <c r="T669" i="1"/>
  <c r="U610" i="1"/>
  <c r="T724" i="1"/>
  <c r="U575" i="1"/>
  <c r="T611" i="1"/>
  <c r="U724" i="1"/>
  <c r="T576" i="1"/>
  <c r="U553" i="1"/>
  <c r="T495" i="1"/>
  <c r="T682" i="1"/>
  <c r="U576" i="1"/>
  <c r="T506" i="1"/>
  <c r="T694" i="1"/>
  <c r="U588" i="1"/>
  <c r="T756" i="1"/>
  <c r="U785" i="1"/>
  <c r="U942" i="1"/>
  <c r="U756" i="1"/>
  <c r="T786" i="1"/>
  <c r="U864" i="1"/>
  <c r="T766" i="1"/>
  <c r="U932" i="1"/>
  <c r="U135" i="1"/>
  <c r="U291" i="1"/>
  <c r="U274" i="1"/>
  <c r="U565" i="1"/>
  <c r="T281" i="1"/>
  <c r="U652" i="1"/>
  <c r="T659" i="1"/>
  <c r="T41" i="1"/>
  <c r="T141" i="1"/>
  <c r="U7" i="1"/>
  <c r="T128" i="1"/>
  <c r="U112" i="1"/>
  <c r="U244" i="1"/>
  <c r="T144" i="1"/>
  <c r="U162" i="1"/>
  <c r="T59" i="1"/>
  <c r="T192" i="1"/>
  <c r="U88" i="1"/>
  <c r="T119" i="1"/>
  <c r="U150" i="1"/>
  <c r="T114" i="1"/>
  <c r="T246" i="1"/>
  <c r="U145" i="1"/>
  <c r="T177" i="1"/>
  <c r="T325" i="1"/>
  <c r="T454" i="1"/>
  <c r="T377" i="1"/>
  <c r="U317" i="1"/>
  <c r="U446" i="1"/>
  <c r="U474" i="1"/>
  <c r="T391" i="1"/>
  <c r="T386" i="1"/>
  <c r="U326" i="1"/>
  <c r="U455" i="1"/>
  <c r="T397" i="1"/>
  <c r="U337" i="1"/>
  <c r="U466" i="1"/>
  <c r="T327" i="1"/>
  <c r="T456" i="1"/>
  <c r="T701" i="1"/>
  <c r="T681" i="1"/>
  <c r="T553" i="1"/>
  <c r="T714" i="1"/>
  <c r="U702" i="1"/>
  <c r="T596" i="1"/>
  <c r="U714" i="1"/>
  <c r="T612" i="1"/>
  <c r="U535" i="1"/>
  <c r="U725" i="1"/>
  <c r="T785" i="1"/>
  <c r="T942" i="1"/>
  <c r="U814" i="1"/>
  <c r="T815" i="1"/>
  <c r="T864" i="1"/>
  <c r="U824" i="1"/>
  <c r="U981" i="1"/>
  <c r="T854" i="1"/>
  <c r="U289" i="1"/>
  <c r="U36" i="1"/>
  <c r="T295" i="1"/>
  <c r="T292" i="1"/>
  <c r="T735" i="1"/>
  <c r="T282" i="1"/>
  <c r="T39" i="1"/>
  <c r="U19" i="1"/>
  <c r="U156" i="1"/>
  <c r="T45" i="1"/>
  <c r="U174" i="1"/>
  <c r="U114" i="1"/>
  <c r="U166" i="1"/>
  <c r="U45" i="1"/>
  <c r="T46" i="1"/>
  <c r="T87" i="1"/>
  <c r="U349" i="1"/>
  <c r="U71" i="1"/>
  <c r="U204" i="1"/>
  <c r="T102" i="1"/>
  <c r="U461" i="1"/>
  <c r="U131" i="1"/>
  <c r="T165" i="1"/>
  <c r="U118" i="1"/>
  <c r="T150" i="1"/>
  <c r="U181" i="1"/>
  <c r="T78" i="1"/>
  <c r="T211" i="1"/>
  <c r="U108" i="1"/>
  <c r="T73" i="1"/>
  <c r="U103" i="1"/>
  <c r="T136" i="1"/>
  <c r="U303" i="1"/>
  <c r="U432" i="1"/>
  <c r="T262" i="1"/>
  <c r="T414" i="1"/>
  <c r="U355" i="1"/>
  <c r="T336" i="1"/>
  <c r="T465" i="1"/>
  <c r="U406" i="1"/>
  <c r="T348" i="1"/>
  <c r="T493" i="1"/>
  <c r="U336" i="1"/>
  <c r="U465" i="1"/>
  <c r="T351" i="1"/>
  <c r="T517" i="1"/>
  <c r="U315" i="1"/>
  <c r="U444" i="1"/>
  <c r="T346" i="1"/>
  <c r="U263" i="1"/>
  <c r="U415" i="1"/>
  <c r="T357" i="1"/>
  <c r="T577" i="1"/>
  <c r="U296" i="1"/>
  <c r="U426" i="1"/>
  <c r="T264" i="1"/>
  <c r="T416" i="1"/>
  <c r="T620" i="1"/>
  <c r="U607" i="1"/>
  <c r="T721" i="1"/>
  <c r="U512" i="1"/>
  <c r="U701" i="1"/>
  <c r="T595" i="1"/>
  <c r="U669" i="1"/>
  <c r="T513" i="1"/>
  <c r="U595" i="1"/>
  <c r="T671" i="1"/>
  <c r="T554" i="1"/>
  <c r="U495" i="1"/>
  <c r="U682" i="1"/>
  <c r="T873" i="1"/>
  <c r="U774" i="1"/>
  <c r="U902" i="1"/>
  <c r="T804" i="1"/>
  <c r="T961" i="1"/>
  <c r="T775" i="1"/>
  <c r="T903" i="1"/>
  <c r="U804" i="1"/>
  <c r="U961" i="1"/>
  <c r="T845" i="1"/>
  <c r="U991" i="1"/>
  <c r="U784" i="1"/>
  <c r="U941" i="1"/>
  <c r="T814" i="1"/>
  <c r="T971" i="1"/>
  <c r="U937" i="1"/>
  <c r="T921" i="1"/>
  <c r="U910" i="1"/>
  <c r="U567" i="1"/>
  <c r="U658" i="1"/>
  <c r="U664" i="1"/>
  <c r="T639" i="1"/>
  <c r="T912" i="1"/>
  <c r="T284" i="1"/>
  <c r="I140" i="1"/>
  <c r="F7" i="6"/>
  <c r="F8" i="6"/>
  <c r="D11" i="6"/>
  <c r="F6" i="3"/>
  <c r="D9" i="3"/>
  <c r="I231" i="1"/>
  <c r="I52" i="1"/>
  <c r="I233" i="1"/>
  <c r="C15" i="4" l="1"/>
  <c r="D5" i="12"/>
  <c r="F4" i="12"/>
  <c r="E16" i="3"/>
  <c r="C22" i="4" l="1"/>
  <c r="C20" i="4"/>
  <c r="C21" i="4"/>
  <c r="C16" i="4"/>
  <c r="C19" i="4"/>
  <c r="C25" i="4"/>
  <c r="C23" i="4"/>
  <c r="C17" i="4"/>
  <c r="C24" i="4"/>
  <c r="B12" i="4" l="1"/>
  <c r="B9" i="4"/>
  <c r="B6" i="4"/>
  <c r="B10" i="4"/>
  <c r="B7" i="4" l="1"/>
  <c r="B5" i="4" s="1"/>
  <c r="B11" i="4" s="1"/>
  <c r="E18" i="6" s="1"/>
  <c r="E17" i="12"/>
  <c r="F32" i="6"/>
  <c r="E32" i="6"/>
  <c r="F30" i="6"/>
  <c r="F23" i="6" s="1"/>
  <c r="F31" i="6"/>
  <c r="F24" i="6" s="1"/>
  <c r="F29" i="6"/>
  <c r="F22" i="6" s="1"/>
  <c r="E31" i="6"/>
  <c r="E24" i="6" s="1"/>
  <c r="C33" i="12"/>
  <c r="C32" i="12"/>
  <c r="C30" i="3"/>
  <c r="C31" i="3"/>
  <c r="C41" i="6"/>
  <c r="E29" i="6" l="1"/>
  <c r="E22" i="6" s="1"/>
  <c r="E30" i="6"/>
  <c r="E23" i="6" s="1"/>
  <c r="F16" i="12"/>
  <c r="F20" i="12"/>
  <c r="F23" i="12"/>
  <c r="E22" i="12"/>
  <c r="F22" i="12"/>
  <c r="E20" i="12"/>
  <c r="E23" i="12"/>
  <c r="F21" i="12"/>
  <c r="E21" i="12"/>
  <c r="F18" i="6" l="1"/>
  <c r="B8" i="4"/>
  <c r="C33" i="4" s="1"/>
  <c r="E24" i="12"/>
  <c r="E16" i="12" l="1"/>
  <c r="B37" i="6" l="1" a="1"/>
  <c r="C40" i="6" s="1"/>
  <c r="A35" i="4" a="1"/>
  <c r="A35" i="4" s="1"/>
  <c r="B28" i="12" a="1"/>
  <c r="C31" i="12" s="1"/>
  <c r="B26" i="3" a="1"/>
  <c r="C29" i="3" s="1"/>
  <c r="C39" i="6" l="1"/>
  <c r="B37" i="6"/>
  <c r="C38" i="6"/>
  <c r="B28" i="12"/>
  <c r="C29" i="12"/>
  <c r="C30" i="12"/>
  <c r="C28" i="3"/>
  <c r="B26" i="3"/>
  <c r="C27" i="3"/>
  <c r="C26" i="3" l="1"/>
  <c r="A26" i="3"/>
  <c r="A27" i="3" s="1"/>
  <c r="A28" i="3" s="1"/>
  <c r="A29" i="3" s="1"/>
  <c r="A30" i="3" s="1"/>
  <c r="A31" i="3" s="1"/>
  <c r="A28" i="12"/>
  <c r="A29" i="12" s="1"/>
  <c r="A30" i="12" s="1"/>
  <c r="A31" i="12" s="1"/>
  <c r="A32" i="12" s="1"/>
  <c r="A33" i="12" s="1"/>
  <c r="C28" i="12"/>
  <c r="A37" i="6"/>
  <c r="A38" i="6" s="1"/>
  <c r="A39" i="6" s="1"/>
  <c r="A40" i="6" s="1"/>
  <c r="A41" i="6" s="1"/>
  <c r="C3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Ethan Biery</author>
  </authors>
  <commentList>
    <comment ref="I6" authorId="0" shapeId="0" xr:uid="{6F367084-4EAF-406F-A3CC-62043C3802CE}">
      <text>
        <r>
          <rPr>
            <b/>
            <sz val="9"/>
            <color indexed="81"/>
            <rFont val="Tahoma"/>
            <family val="2"/>
          </rPr>
          <t>EC5 ballasts may have sensors or controls wired directly to the ballast; these installatoins require sepecial consideration, so indicate "Yes" here if that is the case.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Ethan Biery</author>
    <author>tc={769B1FD0-6B26-4250-A2E6-F1FFE227C7AE}</author>
    <author>tc={CAF0DC5E-F2AD-408E-8E60-360B72B98B42}</author>
  </authors>
  <commentList>
    <comment ref="A1" authorId="0" shapeId="0" xr:uid="{8C8934DC-E521-4A0D-BD7C-82D4B0869639}">
      <text>
        <r>
          <rPr>
            <b/>
            <sz val="14"/>
            <color indexed="81"/>
            <rFont val="Tahoma"/>
            <family val="2"/>
          </rPr>
          <t>This column MUST stay sorted in alphabetical order for the Grainger sheet to work properly.</t>
        </r>
      </text>
    </comment>
    <comment ref="G1" authorId="0" shapeId="0" xr:uid="{51A38C8A-5995-43FA-8186-A9A2B70F0F0F}">
      <text>
        <r>
          <rPr>
            <b/>
            <sz val="9"/>
            <color indexed="81"/>
            <rFont val="Tahoma"/>
            <family val="2"/>
          </rPr>
          <t>This represents ballasts that are for Reduced Wattage lamps, have a Custom Ballast Factor, or have a Ballast Factor &gt; 1.0</t>
        </r>
      </text>
    </comment>
    <comment ref="I1" authorId="0" shapeId="0" xr:uid="{DB37C366-7E55-4600-98DA-73AD0348973E}">
      <text>
        <r>
          <rPr>
            <b/>
            <sz val="9"/>
            <color indexed="81"/>
            <rFont val="Tahoma"/>
            <family val="2"/>
          </rPr>
          <t>All retrofit kits are M or K cases; all compacts are eqivalent (K is equivalent to A or B), but any other cases may not directly fit.</t>
        </r>
      </text>
    </comment>
    <comment ref="AL1" authorId="1" shapeId="0" xr:uid="{769B1FD0-6B26-4250-A2E6-F1FFE227C7AE}">
      <text>
        <t>[Threaded comment]
Your version of Excel allows you to read this threaded comment; however, any edits to it will get removed if the file is opened in a newer version of Excel. Learn more: https://go.microsoft.com/fwlink/?linkid=870924
Comment:
    Suggest deleting these columns; they're on the Lutron to Cflex Lookup tab</t>
      </text>
    </comment>
    <comment ref="G257" authorId="2" shapeId="0" xr:uid="{CAF0DC5E-F2AD-408E-8E60-360B72B98B42}">
      <text>
        <t>[Threaded comment]
Your version of Excel allows you to read this threaded comment; however, any edits to it will get removed if the file is opened in a newer version of Excel. Learn more: https://go.microsoft.com/fwlink/?linkid=870924
Comment:
    These "reduced wattage ballasts" are similar to CBF ballasts from a retrofit perspective.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Ethan Biery</author>
  </authors>
  <commentList>
    <comment ref="A1" authorId="0" shapeId="0" xr:uid="{D57559FD-E3CC-4002-9A3B-000EC722164B}">
      <text>
        <r>
          <rPr>
            <b/>
            <sz val="9"/>
            <color indexed="81"/>
            <rFont val="Tahoma"/>
            <family val="2"/>
          </rPr>
          <t>List of obsolete ballasts, effective 3/27/2023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Saveri</author>
  </authors>
  <commentList>
    <comment ref="K38" authorId="0" shapeId="0" xr:uid="{DA1250E6-FB7B-4642-AFD3-930BC04976BC}">
      <text>
        <r>
          <rPr>
            <b/>
            <sz val="9"/>
            <color indexed="81"/>
            <rFont val="Tahoma"/>
            <family val="2"/>
          </rPr>
          <t>David Saveri:</t>
        </r>
        <r>
          <rPr>
            <sz val="9"/>
            <color indexed="81"/>
            <rFont val="Tahoma"/>
            <family val="2"/>
          </rPr>
          <t xml:space="preserve">
Per Frank There would be about a 10% reduction in light output (compared to Ecosystem) for a 3L 3W kit based on driver max of 40W. This combination requires 45W</t>
        </r>
      </text>
    </comment>
    <comment ref="L38" authorId="0" shapeId="0" xr:uid="{4FCB2009-7B95-4C1E-BB75-6C1FE6101822}">
      <text>
        <r>
          <rPr>
            <b/>
            <sz val="9"/>
            <color indexed="81"/>
            <rFont val="Tahoma"/>
            <family val="2"/>
          </rPr>
          <t>David Saveri:</t>
        </r>
        <r>
          <rPr>
            <sz val="9"/>
            <color indexed="81"/>
            <rFont val="Tahoma"/>
            <family val="2"/>
          </rPr>
          <t xml:space="preserve">
Per Frank There would be about a 10% reduction in light output (compared to Ecosystem) for a 3L 3W kit based on driver max of 40W. This combination requires 45W</t>
        </r>
      </text>
    </comment>
    <comment ref="K39" authorId="0" shapeId="0" xr:uid="{800BA2B8-7F60-4D17-85EB-B0D19D2A3310}">
      <text>
        <r>
          <rPr>
            <b/>
            <sz val="9"/>
            <color indexed="81"/>
            <rFont val="Tahoma"/>
            <family val="2"/>
          </rPr>
          <t>David Saveri:</t>
        </r>
        <r>
          <rPr>
            <sz val="9"/>
            <color indexed="81"/>
            <rFont val="Tahoma"/>
            <family val="2"/>
          </rPr>
          <t xml:space="preserve">
Per Frank There would be about a 10% reduction in light output (compared to Ecosystem) for a 3L 3W kit based on driver max of 40W. This combination requires 45W</t>
        </r>
      </text>
    </comment>
    <comment ref="L39" authorId="0" shapeId="0" xr:uid="{C704CF44-C818-4766-ADA3-330B8DD248B2}">
      <text>
        <r>
          <rPr>
            <b/>
            <sz val="9"/>
            <color indexed="81"/>
            <rFont val="Tahoma"/>
            <family val="2"/>
          </rPr>
          <t>David Saveri:</t>
        </r>
        <r>
          <rPr>
            <sz val="9"/>
            <color indexed="81"/>
            <rFont val="Tahoma"/>
            <family val="2"/>
          </rPr>
          <t xml:space="preserve">
Per Frank There would be about a 10% reduction in light output (compared to Ecosystem) for a 3L 3W kit based on driver max of 40W. This combination requires 45W</t>
        </r>
      </text>
    </comment>
    <comment ref="K40" authorId="0" shapeId="0" xr:uid="{418FD739-8862-4CEB-BA2F-A93317D9ECCC}">
      <text>
        <r>
          <rPr>
            <b/>
            <sz val="9"/>
            <color indexed="81"/>
            <rFont val="Tahoma"/>
            <family val="2"/>
          </rPr>
          <t>David Saveri:</t>
        </r>
        <r>
          <rPr>
            <sz val="9"/>
            <color indexed="81"/>
            <rFont val="Tahoma"/>
            <family val="2"/>
          </rPr>
          <t xml:space="preserve">
Per Frank There would be about a 10% reduction in light output (compared to Ecosystem) for a 3L 3W kit based on driver max of 40W. This combination requires 45W</t>
        </r>
      </text>
    </comment>
    <comment ref="L40" authorId="0" shapeId="0" xr:uid="{98FE82A7-5FB9-490A-B45C-67B01E2E69DA}">
      <text>
        <r>
          <rPr>
            <b/>
            <sz val="9"/>
            <color indexed="81"/>
            <rFont val="Tahoma"/>
            <family val="2"/>
          </rPr>
          <t>David Saveri:</t>
        </r>
        <r>
          <rPr>
            <sz val="9"/>
            <color indexed="81"/>
            <rFont val="Tahoma"/>
            <family val="2"/>
          </rPr>
          <t xml:space="preserve">
Per Frank There would be about a 10% reduction in light output (compared to Ecosystem) for a 3L 3W kit based on driver max of 40W. This combination requires 45W</t>
        </r>
      </text>
    </comment>
    <comment ref="K41" authorId="0" shapeId="0" xr:uid="{2D0AEEC3-63D2-4895-94E5-57C50D1BBED6}">
      <text>
        <r>
          <rPr>
            <b/>
            <sz val="9"/>
            <color indexed="81"/>
            <rFont val="Tahoma"/>
            <family val="2"/>
          </rPr>
          <t>David Saveri:</t>
        </r>
        <r>
          <rPr>
            <sz val="9"/>
            <color indexed="81"/>
            <rFont val="Tahoma"/>
            <family val="2"/>
          </rPr>
          <t xml:space="preserve">
Per Frank There would be about a 10% reduction in light output (compared to Ecosystem) for a 3L 3W kit based on driver max of 40W. This combination requires 45W</t>
        </r>
      </text>
    </comment>
    <comment ref="L41" authorId="0" shapeId="0" xr:uid="{B3F59986-CDB7-4C0B-AEA9-D101BF07B1B2}">
      <text>
        <r>
          <rPr>
            <b/>
            <sz val="9"/>
            <color indexed="81"/>
            <rFont val="Tahoma"/>
            <family val="2"/>
          </rPr>
          <t>David Saveri:</t>
        </r>
        <r>
          <rPr>
            <sz val="9"/>
            <color indexed="81"/>
            <rFont val="Tahoma"/>
            <family val="2"/>
          </rPr>
          <t xml:space="preserve">
Per Frank There would be about a 10% reduction in light output (compared to Ecosystem) for a 3L 3W kit based on driver max of 40W. This combination requires 45W</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Ethan Biery</author>
  </authors>
  <commentList>
    <comment ref="P1" authorId="0" shapeId="0" xr:uid="{0ECEF642-6E4C-4F69-865A-18B000822ACE}">
      <text>
        <r>
          <rPr>
            <b/>
            <sz val="9"/>
            <color indexed="81"/>
            <rFont val="Tahoma"/>
            <family val="2"/>
          </rPr>
          <t>Update the drop-down lists to point to the second and last row of this column if new ballasts are added.</t>
        </r>
      </text>
    </comment>
    <comment ref="C15" authorId="0" shapeId="0" xr:uid="{253999A5-3FAD-4E12-B5AF-578AC4BB20D4}">
      <text>
        <r>
          <rPr>
            <b/>
            <sz val="9"/>
            <color indexed="81"/>
            <rFont val="Tahoma"/>
            <family val="2"/>
          </rPr>
          <t>If this is TRUE, then all other rows are irrelevant, and therefore false.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<sst xmlns="http://schemas.openxmlformats.org/spreadsheetml/2006/main" count="15944" uniqueCount="3403">
  <si>
    <t>Ballast to LED Upgrade Lookup Tool</t>
  </si>
  <si>
    <t>NOTE: This workbook will not operate properly when opened on a Mac or via the Web or Mobile versions of Excel.</t>
  </si>
  <si>
    <t>Instructions</t>
  </si>
  <si>
    <t>EcoSystem Control Wiring (2 purple wires)</t>
  </si>
  <si>
    <t>3-wire Control Wiring (1 orange wire)</t>
  </si>
  <si>
    <t>Select or Enter Lutron Ballast Model Number:</t>
  </si>
  <si>
    <t>Ballast Information:</t>
  </si>
  <si>
    <t>Control Type Supported:</t>
  </si>
  <si>
    <t>Lamp Type:</t>
  </si>
  <si>
    <t>3-Wire:</t>
  </si>
  <si>
    <t>Lamp Size:</t>
  </si>
  <si>
    <t>EcoSystem:</t>
  </si>
  <si>
    <t>Lamp Wattage:</t>
  </si>
  <si>
    <t>Other:</t>
  </si>
  <si>
    <t>Lamp Quantity:</t>
  </si>
  <si>
    <t>CCT</t>
  </si>
  <si>
    <t>EcoSystem Control</t>
  </si>
  <si>
    <t>3-Wire Control</t>
  </si>
  <si>
    <t>3000K</t>
  </si>
  <si>
    <t>3500K</t>
  </si>
  <si>
    <t>4000K</t>
  </si>
  <si>
    <t>Fluorescent lamp applications can have specific requirements, especially for compact fluorescent lamps, that are not compatible with the replacement LED lamp form factors in the kits listed above. Please validate the suggested replacement retrofit kit for your application by referring to the spec sheet and notes below before ordering.</t>
  </si>
  <si>
    <t>(Link to Lutron Spec)</t>
  </si>
  <si>
    <t>Reference Material</t>
  </si>
  <si>
    <t>Ballast Upgrade Playbook</t>
  </si>
  <si>
    <t>TLED Lighting Scenarios for Retrofit Applications Whitepaper</t>
  </si>
  <si>
    <t>Maintaining Performace when Upgrading Lutron Ballasts to TLEDs App Note (#744)</t>
  </si>
  <si>
    <t>How to upgrade a Lutron ballast with a TLED retrofit kit using C-Flex (YouTube video)</t>
  </si>
  <si>
    <t>Notes:</t>
  </si>
  <si>
    <t>Select Grainger Ballast Model Number:</t>
  </si>
  <si>
    <t>If no Grainger Ballast Model is available, select "No Grainger Part Number" above and Lutron model number here:</t>
  </si>
  <si>
    <t>Lutron Ballast Model Number:</t>
  </si>
  <si>
    <t>Reference Documents</t>
  </si>
  <si>
    <t>Lutron TLED Upgrade Worksheet</t>
  </si>
  <si>
    <t>For each Lutron ballast below, refer to the important NOTES section on the first tab of this workbook in order to understand any application-specific instructions.</t>
  </si>
  <si>
    <t>Use this worksheet as part of a job walk-though to capture information about the installed fixtures and create a preliminary Bill of Materials.</t>
  </si>
  <si>
    <t>Job Name:</t>
  </si>
  <si>
    <t>Job Number:</t>
  </si>
  <si>
    <t>System Type:</t>
  </si>
  <si>
    <t>Room Name</t>
  </si>
  <si>
    <t>Fixture Type/Description</t>
  </si>
  <si>
    <t>Quantity</t>
  </si>
  <si>
    <t>Lutron Ballast Model Number</t>
  </si>
  <si>
    <t>Lamp CCT</t>
  </si>
  <si>
    <t>Control Type</t>
  </si>
  <si>
    <t>Voltage</t>
  </si>
  <si>
    <t>Ballast Sensor Connections?</t>
  </si>
  <si>
    <r>
      <t xml:space="preserve">Example: 
</t>
    </r>
    <r>
      <rPr>
        <i/>
        <sz val="10"/>
        <color theme="0" tint="-0.499984740745262"/>
        <rFont val="Arial"/>
        <family val="2"/>
      </rPr>
      <t>Conference room 123</t>
    </r>
  </si>
  <si>
    <t>"L3" or "1x4 troffers"</t>
  </si>
  <si>
    <t>EC5T528J2772</t>
  </si>
  <si>
    <t>3-Wire</t>
  </si>
  <si>
    <t>Replace Fixture</t>
  </si>
  <si>
    <t>Model Number</t>
  </si>
  <si>
    <t>Control Eco</t>
  </si>
  <si>
    <t>Control 3W</t>
  </si>
  <si>
    <t>Control 2W</t>
  </si>
  <si>
    <t>Control 0-10</t>
  </si>
  <si>
    <t>Sensor Support</t>
  </si>
  <si>
    <t>Non Standard Output</t>
  </si>
  <si>
    <t>BAA Complaint</t>
  </si>
  <si>
    <t>Case Size Difference</t>
  </si>
  <si>
    <t>Lamp Type</t>
  </si>
  <si>
    <t>Lamp Wattage</t>
  </si>
  <si>
    <t>Lamp Length</t>
  </si>
  <si>
    <t>Lamp Qty</t>
  </si>
  <si>
    <t>Case Type</t>
  </si>
  <si>
    <t>Studs?</t>
  </si>
  <si>
    <t>Country</t>
  </si>
  <si>
    <t>C-Flex Eco Kit</t>
  </si>
  <si>
    <t>C3-Flex 3W Kit</t>
  </si>
  <si>
    <t>Lutron Eco Kit</t>
  </si>
  <si>
    <t>Lutron 3W Kit</t>
  </si>
  <si>
    <t>C-Flex 3000K Eco Part Number</t>
  </si>
  <si>
    <t>C-Flex 3500K Eco Part Number</t>
  </si>
  <si>
    <t>C-Flex 4000K Eco Part Number</t>
  </si>
  <si>
    <t>C-Flex 3000K 3W Part Number</t>
  </si>
  <si>
    <t>C-Flex 3500K 3W Part Number</t>
  </si>
  <si>
    <t>C-Flex 4000K 3W Part Number</t>
  </si>
  <si>
    <t>Lutron 3000K Eco Part Number</t>
  </si>
  <si>
    <t>Lutron 3500K Eco Part Number</t>
  </si>
  <si>
    <t>Lutron 4000K Eco Part Number</t>
  </si>
  <si>
    <t>Lutron 3000K 3W Part Number</t>
  </si>
  <si>
    <t>Lutron 3500K 3W Part Number</t>
  </si>
  <si>
    <t>Lutron 4000K 3W Part Number</t>
  </si>
  <si>
    <t>Is Obsolete?</t>
  </si>
  <si>
    <t>Prefix</t>
  </si>
  <si>
    <t>2W-T418-120-2</t>
  </si>
  <si>
    <t>T4</t>
  </si>
  <si>
    <t>CFL</t>
  </si>
  <si>
    <t>A</t>
  </si>
  <si>
    <t>2W-T418-120-2N</t>
  </si>
  <si>
    <t>MEX</t>
  </si>
  <si>
    <t>2W-T418-120-2-S</t>
  </si>
  <si>
    <t>2W-T426-120-1</t>
  </si>
  <si>
    <t>2W-T426-120-1N</t>
  </si>
  <si>
    <t>2W-T426-120-1-S</t>
  </si>
  <si>
    <t>2W-T426-120-1SN</t>
  </si>
  <si>
    <t>2W-T426-120-2</t>
  </si>
  <si>
    <t>2W-T426-120-2N</t>
  </si>
  <si>
    <t>2W-T426-120-2-S</t>
  </si>
  <si>
    <t>2W-T426-120-2SN</t>
  </si>
  <si>
    <t>2W-T432-120-1</t>
  </si>
  <si>
    <t>2W-T432-120-1N</t>
  </si>
  <si>
    <t>2W-T432-120-1-S</t>
  </si>
  <si>
    <t>2W-T432-120-1SN</t>
  </si>
  <si>
    <t>2W-T432-120-2</t>
  </si>
  <si>
    <t>B</t>
  </si>
  <si>
    <t>2W-T432-120-2N</t>
  </si>
  <si>
    <t>2W-T432-120-2-S</t>
  </si>
  <si>
    <t>2W-T432-120-2SN</t>
  </si>
  <si>
    <t>2W-T817-120-2</t>
  </si>
  <si>
    <t>T8</t>
  </si>
  <si>
    <t>24"</t>
  </si>
  <si>
    <t>C</t>
  </si>
  <si>
    <t>2W-T825-120-1</t>
  </si>
  <si>
    <t>36"</t>
  </si>
  <si>
    <t>2W-T825-120-2</t>
  </si>
  <si>
    <t>2W-T832-120-1</t>
  </si>
  <si>
    <t>48"</t>
  </si>
  <si>
    <t>2W-T832-120-1N</t>
  </si>
  <si>
    <t>2W-T832-120-2</t>
  </si>
  <si>
    <t>2W-T832-120-2N</t>
  </si>
  <si>
    <t>E3T514C1201</t>
  </si>
  <si>
    <t>T5</t>
  </si>
  <si>
    <t>RP-T5-2FT-1L-830-3W-M-G2</t>
  </si>
  <si>
    <t>RP-T5-2FT-1L-835-3W-M-G2</t>
  </si>
  <si>
    <t>RP-T5-2FT-1L-840-3W-M-G2</t>
  </si>
  <si>
    <t>E3T514C1202</t>
  </si>
  <si>
    <t>RP-T5-2FT-2L-830-3W-M-G2</t>
  </si>
  <si>
    <t>RP-T5-2FT-2L-835-3W-M-G2</t>
  </si>
  <si>
    <t>RP-T5-2FT-2L-840-3W-M-G2</t>
  </si>
  <si>
    <t>E3T514C2771</t>
  </si>
  <si>
    <t>E3T514C2772</t>
  </si>
  <si>
    <t>E3T521C1201</t>
  </si>
  <si>
    <t>RP-T5-3FT-1L-830-3W-M-G2</t>
  </si>
  <si>
    <t>RP-T5-3FT-1L-835-3W-M-G2</t>
  </si>
  <si>
    <t>RP-T5-3FT-1L-840-3W-M-G2</t>
  </si>
  <si>
    <t>E3T521C1202</t>
  </si>
  <si>
    <t>RP-T5-3FT-2L-830-3W-M-G2</t>
  </si>
  <si>
    <t>RP-T5-3FT-2L-835-3W-M-G2</t>
  </si>
  <si>
    <t>RP-T5-3FT-2L-840-3W-M-G2</t>
  </si>
  <si>
    <t>E3T521C2771</t>
  </si>
  <si>
    <t>E3T521C2772</t>
  </si>
  <si>
    <t>E3T832C2772</t>
  </si>
  <si>
    <t>F</t>
  </si>
  <si>
    <t>RP-T8-4FT-2L-830-3W-M-G2</t>
  </si>
  <si>
    <t>RP-T8-4FT-2L-835-3W-M-G2</t>
  </si>
  <si>
    <t>RP-T8-4FT-2L-840-3W-M-G2</t>
  </si>
  <si>
    <t>EC3DT418KU1</t>
  </si>
  <si>
    <t>UNV</t>
  </si>
  <si>
    <t>K</t>
  </si>
  <si>
    <t>RP-G24Q-126m-1L-830-E1-KN-G2</t>
  </si>
  <si>
    <t>RP-G24Q-126m-1L-835-E1-KN-G2</t>
  </si>
  <si>
    <t>RP-G24Q-126m-1L-840-E1-KN-G2</t>
  </si>
  <si>
    <t>RP-G24Q-126m-1L-830-3W-KN-G2</t>
  </si>
  <si>
    <t>RP-G24Q-126m-1L-835-3W-KN-G2</t>
  </si>
  <si>
    <t>RP-G24Q-126m-1L-840-3W-KN-G2</t>
  </si>
  <si>
    <t>EC3DT418KU1S</t>
  </si>
  <si>
    <t>RP-G24Q-126m-1L-830-E1-K-G2</t>
  </si>
  <si>
    <t>RP-G24Q-126m-1L-835-E1-K-G2</t>
  </si>
  <si>
    <t>RP-G24Q-126m-1L-840-E1-K-G2</t>
  </si>
  <si>
    <t>RP-G24Q-126m-1L-830-3W-K-G2</t>
  </si>
  <si>
    <t>RP-G24Q-126m-1L-835-3W-K-G2</t>
  </si>
  <si>
    <t>RP-G24Q-126m-1L-840-3W-K-G2</t>
  </si>
  <si>
    <t>EC3DT418KU2</t>
  </si>
  <si>
    <t>EC3DT418KU2S</t>
  </si>
  <si>
    <t>EC3DT418KU2SN</t>
  </si>
  <si>
    <t>EC3DT442KU1</t>
  </si>
  <si>
    <t>RP-G24Q-142m-1L-830-E1-KN-G2</t>
  </si>
  <si>
    <t>RP-G24Q-142m-1L-835-E1-KN-G2</t>
  </si>
  <si>
    <t>RP-G24Q-142m-1L-840-E1-KN-G2</t>
  </si>
  <si>
    <t>RP-G24Q-142m-1L-830-3W-KN-G2</t>
  </si>
  <si>
    <t>RP-G24Q-142m-1L-835-3W-KN-G2</t>
  </si>
  <si>
    <t>RP-G24Q-142m-1L-840-3W-KN-G2</t>
  </si>
  <si>
    <t>EC3DT442KU1N</t>
  </si>
  <si>
    <t>EC3DT442KU1S</t>
  </si>
  <si>
    <t>RP-G24Q-142m-1L-830-E1-K-G2</t>
  </si>
  <si>
    <t>RP-G24Q-142m-1L-835-E1-K-G2</t>
  </si>
  <si>
    <t>RP-G24Q-142m-1L-840-E1-K-G2</t>
  </si>
  <si>
    <t>RP-G24Q-142m-1L-830-3W-K-G2</t>
  </si>
  <si>
    <t>RP-G24Q-142m-1L-835-3W-K-G2</t>
  </si>
  <si>
    <t>RP-G24Q-142m-1L-840-3W-K-G2</t>
  </si>
  <si>
    <t>EC3DT442KU1SC80</t>
  </si>
  <si>
    <t>EC3DT442KU1SN</t>
  </si>
  <si>
    <t>EC3DT442KU2</t>
  </si>
  <si>
    <t>EC3DT442KU2N</t>
  </si>
  <si>
    <t>EC3DT442KU2S</t>
  </si>
  <si>
    <t>EC3DT442KU2SC80</t>
  </si>
  <si>
    <t>EC3DT442KU2SN</t>
  </si>
  <si>
    <t>EC3DT4MWKU1</t>
  </si>
  <si>
    <t>MW</t>
  </si>
  <si>
    <t>RP-G24Q-1wwm-1L-830-E1-KN-G2</t>
  </si>
  <si>
    <t>RP-G24Q-1wwm-1L-835-E1-KN-G2</t>
  </si>
  <si>
    <t>RP-G24Q-1wwm-1L-840-E1-KN-G2</t>
  </si>
  <si>
    <t>RP-G24Q-1wwm-1L-830-3W-KN-G2</t>
  </si>
  <si>
    <t>RP-G24Q-1wwm-1L-835-3W-KN-G2</t>
  </si>
  <si>
    <t>RP-G24Q-1wwm-1L-840-3W-KN-G2</t>
  </si>
  <si>
    <t>EC3DT4MWKU1N</t>
  </si>
  <si>
    <t>EC3DT4MWKU1S</t>
  </si>
  <si>
    <t>RP-G24Q-1wwm-1L-830-E1-K-G2</t>
  </si>
  <si>
    <t>RP-G24Q-1wwm-1L-835-E1-K-G2</t>
  </si>
  <si>
    <t>RP-G24Q-1wwm-1L-840-E1-K-G2</t>
  </si>
  <si>
    <t>RP-G24Q-1wwm-1L-830-3W-K-G2</t>
  </si>
  <si>
    <t>RP-G24Q-1wwm-1L-835-3W-K-G2</t>
  </si>
  <si>
    <t>RP-G24Q-1wwm-1L-840-3W-K-G2</t>
  </si>
  <si>
    <t>EC3DT4MWKU1SC55</t>
  </si>
  <si>
    <t>EC3DT4MWKU1SC78</t>
  </si>
  <si>
    <t>EC3DT4MWKU1SC80</t>
  </si>
  <si>
    <t>EC3DT4MWKU1SC85</t>
  </si>
  <si>
    <t>EC3DT4MWKU1SN</t>
  </si>
  <si>
    <t>EC3DT4MWKU2</t>
  </si>
  <si>
    <t>EC3DT4MWKU2N</t>
  </si>
  <si>
    <t>EC3DT4MWKU2S</t>
  </si>
  <si>
    <t>EC3DT4MWKU2SN</t>
  </si>
  <si>
    <t>EC3T536GU110</t>
  </si>
  <si>
    <t>BIAX</t>
  </si>
  <si>
    <t>16"</t>
  </si>
  <si>
    <t>G</t>
  </si>
  <si>
    <t>EC3T536GU210</t>
  </si>
  <si>
    <t>EC3T540GU110</t>
  </si>
  <si>
    <t>60"</t>
  </si>
  <si>
    <t>EC3T540GU210</t>
  </si>
  <si>
    <t>EC3T540GU210N</t>
  </si>
  <si>
    <t>EC3T540GU310</t>
  </si>
  <si>
    <t>EC3T550GU110</t>
  </si>
  <si>
    <t>22.5"</t>
  </si>
  <si>
    <t>RP-PLL-2.5K-1L-830-E1-M-G2</t>
  </si>
  <si>
    <t>RP-PLL-2.5K-1L-835-E1-M-G2</t>
  </si>
  <si>
    <t>RP-PLL-2.5K-1L-840-E1-M-G2</t>
  </si>
  <si>
    <t>RP-PLL-2.5K-1L-830-3W-M-G2</t>
  </si>
  <si>
    <t>RP-PLL-2.5K-1L-835-3W-M-G2</t>
  </si>
  <si>
    <t>RP-PLL-2.5K-1L-840-3W-M-G2</t>
  </si>
  <si>
    <t>EC3T550GU210</t>
  </si>
  <si>
    <t>RP-PLL-5.0K-2L-830-E1-M-G2</t>
  </si>
  <si>
    <t>RP-PLL-5.0K-2L-835-E1-M-G2</t>
  </si>
  <si>
    <t>RP-PLL-5.0K-2L-840-E1-M-G2</t>
  </si>
  <si>
    <t>RP-PLL-5.0K-2L-830-3W-M-G2</t>
  </si>
  <si>
    <t>RP-PLL-5.0K-2L-835-3W-M-G2</t>
  </si>
  <si>
    <t>RP-PLL-5.0K-2L-840-3W-M-G2</t>
  </si>
  <si>
    <t>EC3T817CU110</t>
  </si>
  <si>
    <t>RP-T8-2FT-1L-830-3W-M-G2</t>
  </si>
  <si>
    <t>RP-T8-2FT-1L-835-3W-M-G2</t>
  </si>
  <si>
    <t>RP-T8-2FT-1L-840-3W-M-G2</t>
  </si>
  <si>
    <t>EC3T817CU210</t>
  </si>
  <si>
    <t>RP-T8-2FT-2L-830-3W-M-G2</t>
  </si>
  <si>
    <t>RP-T8-2FT-2L-835-3W-M-G2</t>
  </si>
  <si>
    <t>RP-T8-2FT-2L-840-3W-M-G2</t>
  </si>
  <si>
    <t>EC3T817GU110</t>
  </si>
  <si>
    <t>EC3T817GU210</t>
  </si>
  <si>
    <t>EC3T817GU210N</t>
  </si>
  <si>
    <t>EC3T817GU310</t>
  </si>
  <si>
    <t>RP-T8-2FT-3L-830-3W-M-G2</t>
  </si>
  <si>
    <t>RP-T8-2FT-3L-835-3W-M-G2</t>
  </si>
  <si>
    <t>RP-T8-2FT-3L-840-3W-M-G2</t>
  </si>
  <si>
    <t>EC3T825CU110</t>
  </si>
  <si>
    <t>RP-T8-3FT-1L-830-3W-M-G2</t>
  </si>
  <si>
    <t>RP-T8-3FT-1L-835-3W-M-G2</t>
  </si>
  <si>
    <t>RP-T8-3FT-1L-840-3W-M-G2</t>
  </si>
  <si>
    <t>EC3T825CU210</t>
  </si>
  <si>
    <t>RP-T8-3FT-2L-830-3W-M-G2</t>
  </si>
  <si>
    <t>RP-T8-3FT-2L-835-3W-M-G2</t>
  </si>
  <si>
    <t>RP-T8-3FT-2L-840-3W-M-G2</t>
  </si>
  <si>
    <t>EC3T825GU110</t>
  </si>
  <si>
    <t>EC3T832CU110</t>
  </si>
  <si>
    <t>RP-T8-4FT-1L-830-3W-M-G2</t>
  </si>
  <si>
    <t>RP-T8-4FT-1L-835-3W-M-G2</t>
  </si>
  <si>
    <t>RP-T8-4FT-1L-840-3W-M-G2</t>
  </si>
  <si>
    <t>EC3T832CU117</t>
  </si>
  <si>
    <t>EC3T832CU210</t>
  </si>
  <si>
    <t>EC3T832CU217</t>
  </si>
  <si>
    <t>EC3T832GU110</t>
  </si>
  <si>
    <t>EC3T832GU110N</t>
  </si>
  <si>
    <t>EC3T832GU117</t>
  </si>
  <si>
    <t>EC3T832GU210</t>
  </si>
  <si>
    <t>EC3T832GU210N</t>
  </si>
  <si>
    <t>EC3T832GU217</t>
  </si>
  <si>
    <t>EC3T832GU310</t>
  </si>
  <si>
    <t>RP-T8-4FT-3L-830-3W-M-G2</t>
  </si>
  <si>
    <t>RP-T8-4FT-3L-835-3W-M-G2</t>
  </si>
  <si>
    <t>RP-T8-4FT-3L-840-3W-M-G2</t>
  </si>
  <si>
    <t>EC3T832GU310N</t>
  </si>
  <si>
    <t>EC3T832GU317</t>
  </si>
  <si>
    <t>EC5NST528CU110R</t>
  </si>
  <si>
    <t>RP-T5-4FT-1L-830-E1-M-G2</t>
  </si>
  <si>
    <t>RP-T5-4FT-1L-835-E1-M-G2</t>
  </si>
  <si>
    <t>RP-T5-4FT-1L-840-E1-M-G2</t>
  </si>
  <si>
    <t>RP-T5-4FT-1L-830-3W-M-G2</t>
  </si>
  <si>
    <t>RP-T5-4FT-1L-835-3W-M-G2</t>
  </si>
  <si>
    <t>RP-T5-4FT-1L-840-3W-M-G2</t>
  </si>
  <si>
    <t>EC5NST528CU210R</t>
  </si>
  <si>
    <t>RP-T5-4FT-2L-830-E1-M-G2</t>
  </si>
  <si>
    <t>RP-T5-4FT-2L-835-E1-M-G2</t>
  </si>
  <si>
    <t>RP-T5-4FT-2L-840-E1-M-G2</t>
  </si>
  <si>
    <t>RP-T5-4FT-2L-830-3W-M-G2</t>
  </si>
  <si>
    <t>RP-T5-4FT-2L-835-3W-M-G2</t>
  </si>
  <si>
    <t>RP-T5-4FT-2L-840-3W-M-G2</t>
  </si>
  <si>
    <t>EC5NST554CU110R</t>
  </si>
  <si>
    <t>T5HO</t>
  </si>
  <si>
    <t>RP-T5HO-4FT-1L-830-E1-M-G2</t>
  </si>
  <si>
    <t>RP-T5HO-4FT-1L-835-E1-M-G2</t>
  </si>
  <si>
    <t>RP-T5HO-4FT-1L-840-E1-M-G2</t>
  </si>
  <si>
    <t>RP-T5HO-4FT-1L-830-3W-M-G2</t>
  </si>
  <si>
    <t>RP-T5HO-4FT-1L-835-3W-M-G2</t>
  </si>
  <si>
    <t>RP-T5HO-4FT-1L-840-3W-M-G2</t>
  </si>
  <si>
    <t>EC5NST554CU210R</t>
  </si>
  <si>
    <t>RP-T5HO-4FT-2L-830-E1-M-G2</t>
  </si>
  <si>
    <t>RP-T5HO-4FT-2L-835-E1-M-G2</t>
  </si>
  <si>
    <t>RP-T5HO-4FT-2L-840-E1-M-G2</t>
  </si>
  <si>
    <t>RP-T5HO-4FT-2L-830-3W-M-G2</t>
  </si>
  <si>
    <t>RP-T5HO-4FT-2L-835-3W-M-G2</t>
  </si>
  <si>
    <t>RP-T5HO-4FT-2L-840-3W-M-G2</t>
  </si>
  <si>
    <t>EC5NST832CU1C85R</t>
  </si>
  <si>
    <t>RP-T8-4FT-1L-830-E1-M-G2</t>
  </si>
  <si>
    <t>RP-T8-4FT-1L-835-E1-M-G2</t>
  </si>
  <si>
    <t>RP-T8-4FT-1L-840-E1-M-G2</t>
  </si>
  <si>
    <t>EC5NST832CU2C85R</t>
  </si>
  <si>
    <t>RP-T8-4FT-2L-830-E1-M-G2</t>
  </si>
  <si>
    <t>RP-T8-4FT-2L-835-E1-M-G2</t>
  </si>
  <si>
    <t>RP-T8-4FT-2L-840-E1-M-G2</t>
  </si>
  <si>
    <t>EC5T514J1201</t>
  </si>
  <si>
    <t>J</t>
  </si>
  <si>
    <t>RP-T5-2FT-1L-830-E1-M-G2</t>
  </si>
  <si>
    <t>RP-T5-2FT-1L-835-E1-M-G2</t>
  </si>
  <si>
    <t>RP-T5-2FT-1L-840-E1-M-G2</t>
  </si>
  <si>
    <t>EC5T514J1202</t>
  </si>
  <si>
    <t>RP-T5-2FT-2L-830-E1-M-G2</t>
  </si>
  <si>
    <t>RP-T5-2FT-2L-835-E1-M-G2</t>
  </si>
  <si>
    <t>RP-T5-2FT-2L-840-E1-M-G2</t>
  </si>
  <si>
    <t>EC5T514J2771</t>
  </si>
  <si>
    <t>EC5T514J2772</t>
  </si>
  <si>
    <t>EC5T514JUNV1</t>
  </si>
  <si>
    <t>EC5T514JUNV1C85</t>
  </si>
  <si>
    <t>EC5T514JUNV1N</t>
  </si>
  <si>
    <t>EC5T514JUNV2</t>
  </si>
  <si>
    <t>EC5T514JUNV2C88</t>
  </si>
  <si>
    <t>EC5T514JUNV2N</t>
  </si>
  <si>
    <t>EC5T521J1201</t>
  </si>
  <si>
    <t>RP-T5-3FT-1L-830-E1-M-G2</t>
  </si>
  <si>
    <t>RP-T5-3FT-1L-835-E1-M-G2</t>
  </si>
  <si>
    <t>RP-T5-3FT-1L-840-E1-M-G2</t>
  </si>
  <si>
    <t>EC5T521J1202</t>
  </si>
  <si>
    <t>RP-T5-3FT-2L-830-E1-M-G2</t>
  </si>
  <si>
    <t>RP-T5-3FT-2L-835-E1-M-G2</t>
  </si>
  <si>
    <t>RP-T5-3FT-2L-840-E1-M-G2</t>
  </si>
  <si>
    <t>EC5T521J2771</t>
  </si>
  <si>
    <t>EC5T521J2772</t>
  </si>
  <si>
    <t>EC5T521JUNV1</t>
  </si>
  <si>
    <t>EC5T521JUNV1C85</t>
  </si>
  <si>
    <t>EC5T521JUNV1C88</t>
  </si>
  <si>
    <t>EC5T521JUNV1N</t>
  </si>
  <si>
    <t>EC5T521JUNV2</t>
  </si>
  <si>
    <t>EC5T521JUNV2C85</t>
  </si>
  <si>
    <t>EC5T521JUNV2C88</t>
  </si>
  <si>
    <t>EC5T521JUNV2N</t>
  </si>
  <si>
    <t>EC5T524J1201</t>
  </si>
  <si>
    <t>RP-T5HO-2FT-1L-830-E1-M-G2</t>
  </si>
  <si>
    <t>RP-T5HO-2FT-1L-835-E1-M-G2</t>
  </si>
  <si>
    <t>RP-T5HO-2FT-1L-840-E1-M-G2</t>
  </si>
  <si>
    <t>RP-T5HO-2FT-1L-830-3W-M-G2</t>
  </si>
  <si>
    <t>RP-T5HO-2FT-1L-835-3W-M-G2</t>
  </si>
  <si>
    <t>RP-T5HO-2FT-1L-840-3W-M-G2</t>
  </si>
  <si>
    <t>EC5T524J1202</t>
  </si>
  <si>
    <t>RP-T5HO-2FT-2L-830-E1-M-G2</t>
  </si>
  <si>
    <t>RP-T5HO-2FT-2L-835-E1-M-G2</t>
  </si>
  <si>
    <t>RP-T5HO-2FT-2L-840-E1-M-G2</t>
  </si>
  <si>
    <t>RP-T5HO-2FT-2L-830-3W-M-G2</t>
  </si>
  <si>
    <t>RP-T5HO-2FT-2L-835-3W-M-G2</t>
  </si>
  <si>
    <t>RP-T5HO-2FT-2L-840-3W-M-G2</t>
  </si>
  <si>
    <t>EC5T524J2771</t>
  </si>
  <si>
    <t>EC5T524J2772</t>
  </si>
  <si>
    <t>EC5T524J2772N</t>
  </si>
  <si>
    <t>EC5T524JUNV1</t>
  </si>
  <si>
    <t>EC5T524JUNV1C88</t>
  </si>
  <si>
    <t>EC5T524JUNV1N</t>
  </si>
  <si>
    <t>EC5T524JUNV2</t>
  </si>
  <si>
    <t>EC5T524JUNV2C88</t>
  </si>
  <si>
    <t>EC5T524JUNV2N</t>
  </si>
  <si>
    <t>EC5T528J1201</t>
  </si>
  <si>
    <t>EC5T528J1202</t>
  </si>
  <si>
    <t>EC5T528J1202N</t>
  </si>
  <si>
    <t>EC5T528J2771</t>
  </si>
  <si>
    <t>EC5T528J2771C85</t>
  </si>
  <si>
    <t>EC5T528JUNV1</t>
  </si>
  <si>
    <t>EC5T528JUNV1C85</t>
  </si>
  <si>
    <t>EC5T528JUNV1C88</t>
  </si>
  <si>
    <t>EC5T528JUNV1N</t>
  </si>
  <si>
    <t>EC5T528JUNV2</t>
  </si>
  <si>
    <t>EC5T528JUNV2C60</t>
  </si>
  <si>
    <t>EC5T528JUNV2C70</t>
  </si>
  <si>
    <t>EC5T528JUNV2C83</t>
  </si>
  <si>
    <t>EC5T528JUNV2C85</t>
  </si>
  <si>
    <t>EC5T528JUNV2C88</t>
  </si>
  <si>
    <t>EC5T528JUNV2C93</t>
  </si>
  <si>
    <t>EC5T528JUNV2N</t>
  </si>
  <si>
    <t>EC5T535JUNV1</t>
  </si>
  <si>
    <t>EC5T535JUNV1C50</t>
  </si>
  <si>
    <t>EC5T535JUNV1C70</t>
  </si>
  <si>
    <t>EC5T535JUNV1C88</t>
  </si>
  <si>
    <t>EC5T535JUNV1N</t>
  </si>
  <si>
    <t>EC5T536JUNV1</t>
  </si>
  <si>
    <t>EC5T536JUNV2</t>
  </si>
  <si>
    <t>EC5T536JUNV2N</t>
  </si>
  <si>
    <t>EC5T539J1201</t>
  </si>
  <si>
    <t>EC5T539J1202</t>
  </si>
  <si>
    <t>EC5T539J2771</t>
  </si>
  <si>
    <t>RP-T5HO-3FT-1L-830-E1-M-G2</t>
  </si>
  <si>
    <t>RP-T5HO-3FT-1L-835-E1-M-G2</t>
  </si>
  <si>
    <t>RP-T5HO-3FT-1L-840-E1-M-G2</t>
  </si>
  <si>
    <t>RP-T5HO-3FT-1L-830-3W-M-G2</t>
  </si>
  <si>
    <t>RP-T5HO-3FT-1L-835-3W-M-G2</t>
  </si>
  <si>
    <t>RP-T5HO-3FT-1L-840-3W-M-G2</t>
  </si>
  <si>
    <t>EC5T539J2772</t>
  </si>
  <si>
    <t>RP-T5HO-3FT-2L-830-E1-M-G2</t>
  </si>
  <si>
    <t>RP-T5HO-3FT-2L-835-E1-M-G2</t>
  </si>
  <si>
    <t>RP-T5HO-3FT-2L-840-E1-M-G2</t>
  </si>
  <si>
    <t>RP-T5HO-3FT-2L-830-3W-M-G2</t>
  </si>
  <si>
    <t>RP-T5HO-3FT-2L-835-3W-M-G2</t>
  </si>
  <si>
    <t>RP-T5HO-3FT-2L-840-3W-M-G2</t>
  </si>
  <si>
    <t>EC5T539JUNV1</t>
  </si>
  <si>
    <t>EC5T539JUNV1N</t>
  </si>
  <si>
    <t>EC5T539JUNV2</t>
  </si>
  <si>
    <t>EC5T539JUNV2C88</t>
  </si>
  <si>
    <t>EC5T539JUNV2N</t>
  </si>
  <si>
    <t>EC5T540GUNV3L</t>
  </si>
  <si>
    <t>RP-PLL-7.5K-3L-830-E1-M-G2</t>
  </si>
  <si>
    <t>RP-PLL-7.5K-3L-835-E1-M-G2</t>
  </si>
  <si>
    <t>RP-PLL-7.5K-3L-840-E1-M-G2</t>
  </si>
  <si>
    <t>EC5T540JUNV1</t>
  </si>
  <si>
    <t>EC5T540JUNV1C70</t>
  </si>
  <si>
    <t>EC5T540JUNV1N</t>
  </si>
  <si>
    <t>EC5T540JUNV2</t>
  </si>
  <si>
    <t>EC5T540JUNV2C66</t>
  </si>
  <si>
    <t>EC5T540JUNV2C70</t>
  </si>
  <si>
    <t>EC5T540JUNV2C75</t>
  </si>
  <si>
    <t>EC5T540JUNV2N</t>
  </si>
  <si>
    <t>EC5T540RWJUNV1</t>
  </si>
  <si>
    <t>EC5T540RWJUNV2</t>
  </si>
  <si>
    <t>EC5T550JUNV1</t>
  </si>
  <si>
    <t>EC5T550JUNV2</t>
  </si>
  <si>
    <t>EC5T554J1201</t>
  </si>
  <si>
    <t>EC5T554J1202</t>
  </si>
  <si>
    <t>EC5T554J2771</t>
  </si>
  <si>
    <t>EC5T554J2772</t>
  </si>
  <si>
    <t>EC5T554JUNV1</t>
  </si>
  <si>
    <t>EC5T554JUNV1C50</t>
  </si>
  <si>
    <t>EC5T554JUNV1C68</t>
  </si>
  <si>
    <t>EC5T554JUNV1C88</t>
  </si>
  <si>
    <t>EC5T554JUNV1N</t>
  </si>
  <si>
    <t>EC5T554JUNV2</t>
  </si>
  <si>
    <t>EC5T554JUNV2C68</t>
  </si>
  <si>
    <t>EC5T554JUNV2C70</t>
  </si>
  <si>
    <t>EC5T554JUNV2C80</t>
  </si>
  <si>
    <t>EC5T554JUNV2C88</t>
  </si>
  <si>
    <t>EC5T554JUNV2C93</t>
  </si>
  <si>
    <t>EC5T554JUNV2N</t>
  </si>
  <si>
    <t>EC5T555J2202</t>
  </si>
  <si>
    <t>EUR</t>
  </si>
  <si>
    <t>EC5T555JUNV1</t>
  </si>
  <si>
    <t>EC5T555JUNV1N</t>
  </si>
  <si>
    <t>EC5T555JUNV2</t>
  </si>
  <si>
    <t>EC5T555JUNV2N</t>
  </si>
  <si>
    <t>EC5T817J1201</t>
  </si>
  <si>
    <t>RP-T8-2FT-1L-830-E1-M-G2</t>
  </si>
  <si>
    <t>RP-T8-2FT-1L-835-E1-M-G2</t>
  </si>
  <si>
    <t>RP-T8-2FT-1L-840-E1-M-G2</t>
  </si>
  <si>
    <t>EC5T817J1202</t>
  </si>
  <si>
    <t>RP-T8-2FT-2L-830-E1-M-G2</t>
  </si>
  <si>
    <t>RP-T8-2FT-2L-835-E1-M-G2</t>
  </si>
  <si>
    <t>RP-T8-2FT-2L-840-E1-M-G2</t>
  </si>
  <si>
    <t>EC5T817J2771</t>
  </si>
  <si>
    <t>EC5T817J2772</t>
  </si>
  <si>
    <t>EC5T817JUNV1</t>
  </si>
  <si>
    <t>EC5T817JUNV1C71</t>
  </si>
  <si>
    <t>EC5T817JUNV1N</t>
  </si>
  <si>
    <t>EC5T817JUNV2</t>
  </si>
  <si>
    <t>EC5T817JUNV2C71</t>
  </si>
  <si>
    <t>EC5T817JUNV2N</t>
  </si>
  <si>
    <t>EC5T825J1201</t>
  </si>
  <si>
    <t>RP-T8-3FT-1L-830-E1-M-G2</t>
  </si>
  <si>
    <t>RP-T8-3FT-1L-835-E1-M-G2</t>
  </si>
  <si>
    <t>RP-T8-3FT-1L-840-E1-M-G2</t>
  </si>
  <si>
    <t>EC5T825J1202</t>
  </si>
  <si>
    <t>RP-T8-3FT-2L-830-E1-M-G2</t>
  </si>
  <si>
    <t>RP-T8-3FT-2L-835-E1-M-G2</t>
  </si>
  <si>
    <t>RP-T8-3FT-2L-840-E1-M-G2</t>
  </si>
  <si>
    <t>EC5T825J2771</t>
  </si>
  <si>
    <t>EC5T825J2772</t>
  </si>
  <si>
    <t>EC5T825JUNV1</t>
  </si>
  <si>
    <t>EC5T825JUNV1C71</t>
  </si>
  <si>
    <t>EC5T825JUNV1N</t>
  </si>
  <si>
    <t>EC5T825JUNV2</t>
  </si>
  <si>
    <t>EC5T825JUNV2C71</t>
  </si>
  <si>
    <t>EC5T825JUNV2N</t>
  </si>
  <si>
    <t>EC5T832G1202L</t>
  </si>
  <si>
    <t>EC5T832G1203L</t>
  </si>
  <si>
    <t>RP-T8-4FT-3L-830-E1-M-G2</t>
  </si>
  <si>
    <t>RP-T8-4FT-3L-835-E1-M-G2</t>
  </si>
  <si>
    <t>RP-T8-4FT-3L-840-E1-M-G2</t>
  </si>
  <si>
    <t>EC5T832G2772L</t>
  </si>
  <si>
    <t>EC5T832G2772LC01</t>
  </si>
  <si>
    <t>EC5T832G2772LN</t>
  </si>
  <si>
    <t>EC5T832G2773L</t>
  </si>
  <si>
    <t>EC5T832G2773LC01</t>
  </si>
  <si>
    <t>EC5T832GUNV2</t>
  </si>
  <si>
    <t>EC5T832GUNV2C64</t>
  </si>
  <si>
    <t>EC5T832GUNV2C71</t>
  </si>
  <si>
    <t>EC5T832GUNV2L</t>
  </si>
  <si>
    <t>EC5T832GUNV2LC55</t>
  </si>
  <si>
    <t>EC5T832GUNV2LC71</t>
  </si>
  <si>
    <t>EC5T832GUNV2LC74</t>
  </si>
  <si>
    <t>EC5T832GUNV317L</t>
  </si>
  <si>
    <t>EC5T832GUNV3L</t>
  </si>
  <si>
    <t>EC5T832GUNV3LC80</t>
  </si>
  <si>
    <t>EC5T832GUNV3LC95</t>
  </si>
  <si>
    <t>EC5T832J1201</t>
  </si>
  <si>
    <t>EC5T832J1201TN</t>
  </si>
  <si>
    <t>EC5T832J1202</t>
  </si>
  <si>
    <t>EC5T832J1202TN</t>
  </si>
  <si>
    <t>EC5T832J2771</t>
  </si>
  <si>
    <t>EC5T832J2772</t>
  </si>
  <si>
    <t>EC5T832J2772C01</t>
  </si>
  <si>
    <t>EC5T832JUNV1</t>
  </si>
  <si>
    <t>EC5T832JUNV1C52</t>
  </si>
  <si>
    <t>EC5T832JUNV1C71</t>
  </si>
  <si>
    <t>EC5T832JUNV1N</t>
  </si>
  <si>
    <t>EC5T832JUNV2</t>
  </si>
  <si>
    <t>EC5T832JUNV2C52</t>
  </si>
  <si>
    <t>EC5T832JUNV2C59</t>
  </si>
  <si>
    <t>EC5T832JUNV2C71</t>
  </si>
  <si>
    <t>EC5T832JUNV2N</t>
  </si>
  <si>
    <t>EC5T8RWGUNV3L</t>
  </si>
  <si>
    <t>RW</t>
  </si>
  <si>
    <t>EC5T8RWJUNV1</t>
  </si>
  <si>
    <t>EC5T8RWJUNV2</t>
  </si>
  <si>
    <t>ECDT521C3472</t>
  </si>
  <si>
    <t>CAN</t>
  </si>
  <si>
    <t>ECDT554C3471</t>
  </si>
  <si>
    <t>ECDT554C3472</t>
  </si>
  <si>
    <t>ECO-T524-120-1</t>
  </si>
  <si>
    <t>ECO-T524-120-2</t>
  </si>
  <si>
    <t>ECO-T524-277-1</t>
  </si>
  <si>
    <t>ECO-T524-277-2</t>
  </si>
  <si>
    <t>ECO-T528-120-1</t>
  </si>
  <si>
    <t>ECO-T528-120-1N</t>
  </si>
  <si>
    <t>ECO-T528-120-2</t>
  </si>
  <si>
    <t>ECO-T528-120-2N</t>
  </si>
  <si>
    <t>ECO-T528-277-1</t>
  </si>
  <si>
    <t>ECO-T528-277-2</t>
  </si>
  <si>
    <t>ECO-T536-240-2</t>
  </si>
  <si>
    <t>ECO-T539-120-1</t>
  </si>
  <si>
    <t>ECO-T539-120-1N</t>
  </si>
  <si>
    <t>ECO-T539-120-2</t>
  </si>
  <si>
    <t>ECO-T539-120-2N</t>
  </si>
  <si>
    <t>ECO-T539-120-3</t>
  </si>
  <si>
    <t>ECO-T539-277-1</t>
  </si>
  <si>
    <t>ECO-T539-277-2</t>
  </si>
  <si>
    <t>ECO-T539-277-3</t>
  </si>
  <si>
    <t>ECO-T540-120-1</t>
  </si>
  <si>
    <t>ECO-T540-120-1N</t>
  </si>
  <si>
    <t>ECO-T540-120-2</t>
  </si>
  <si>
    <t>ECO-T540-120-2N</t>
  </si>
  <si>
    <t>ECO-T540-120-3</t>
  </si>
  <si>
    <t>ECO-T540-277-1</t>
  </si>
  <si>
    <t>ECO-T540-277-2</t>
  </si>
  <si>
    <t>ECO-T540-277-3</t>
  </si>
  <si>
    <t>ECO-T550-120-1</t>
  </si>
  <si>
    <t>ECO-T550-120-1N</t>
  </si>
  <si>
    <t>ECO-T550-120-2</t>
  </si>
  <si>
    <t>ECO-T550-120-2N</t>
  </si>
  <si>
    <t>ECO-T550-277-1</t>
  </si>
  <si>
    <t>ECO-T550-277-2</t>
  </si>
  <si>
    <t>ECO-T554-120-1</t>
  </si>
  <si>
    <t>ECO-T554-120-1N</t>
  </si>
  <si>
    <t>ECO-T554-120-2</t>
  </si>
  <si>
    <t>ECO-T554-120-2-C</t>
  </si>
  <si>
    <t>ECO-T554-120-2N</t>
  </si>
  <si>
    <t>ECO-T554-277-1</t>
  </si>
  <si>
    <t>ECO-T554-277-2</t>
  </si>
  <si>
    <t>ECO-T5H39-120-1</t>
  </si>
  <si>
    <t>ECO-T5H39-120-1N</t>
  </si>
  <si>
    <t>ECO-T5H39-120-2</t>
  </si>
  <si>
    <t>ECO-T5H39-120-2N</t>
  </si>
  <si>
    <t>ECO-T5H39-277-1</t>
  </si>
  <si>
    <t>ECO-T5H39-277-2</t>
  </si>
  <si>
    <t>ECO-T817-120-1</t>
  </si>
  <si>
    <t>ECO-T817-120-1N</t>
  </si>
  <si>
    <t>ECO-T817-120-2</t>
  </si>
  <si>
    <t>ECO-T817-120-2N</t>
  </si>
  <si>
    <t>ECO-T817-120-3</t>
  </si>
  <si>
    <t>ECO-T817-277-1</t>
  </si>
  <si>
    <t>ECO-T817-277-2</t>
  </si>
  <si>
    <t>ECO-T817-277-3</t>
  </si>
  <si>
    <t>ECO-T818-240-1</t>
  </si>
  <si>
    <t>ECO-T818-240-2</t>
  </si>
  <si>
    <t>ECO-T825-120-1</t>
  </si>
  <si>
    <t>ECO-T825-120-1N</t>
  </si>
  <si>
    <t>ECO-T825-120-2</t>
  </si>
  <si>
    <t>ECO-T825-120-2N</t>
  </si>
  <si>
    <t>ECO-T825-277-1</t>
  </si>
  <si>
    <t>ECO-T825-277-2</t>
  </si>
  <si>
    <t>ECO-T832-120-1</t>
  </si>
  <si>
    <t>ECO-T832-120-1-L</t>
  </si>
  <si>
    <t>D</t>
  </si>
  <si>
    <t>ECO-T832-120-1LN</t>
  </si>
  <si>
    <t>ECO-T832-120-1-T</t>
  </si>
  <si>
    <t>ECO-T832-120-1TN</t>
  </si>
  <si>
    <t>ECO-T832-120-2</t>
  </si>
  <si>
    <t>ECO-T832-120-2-L</t>
  </si>
  <si>
    <t>ECO-T832-120-2LN</t>
  </si>
  <si>
    <t>ECO-T832-120-2-T</t>
  </si>
  <si>
    <t>ECO-T832-120-2TN</t>
  </si>
  <si>
    <t>ECO-T832-120-3</t>
  </si>
  <si>
    <t>ECO-T832-120-3N</t>
  </si>
  <si>
    <t>ECO-T832-240-2</t>
  </si>
  <si>
    <t>ECO-T832-277-1</t>
  </si>
  <si>
    <t>ECO-T832-277-1-L</t>
  </si>
  <si>
    <t>ECO-T832-277-1LN</t>
  </si>
  <si>
    <t>ECO-T832-277-1-T</t>
  </si>
  <si>
    <t>ECO-T832-277-1TN</t>
  </si>
  <si>
    <t>ECO-T832-277-2</t>
  </si>
  <si>
    <t>ECO-T832-277-2-L</t>
  </si>
  <si>
    <t>ECO-T832-277-2LN</t>
  </si>
  <si>
    <t>ECO-T832-277-2N</t>
  </si>
  <si>
    <t>ECO-T832-277-2-T</t>
  </si>
  <si>
    <t>ECO-T832-277-2TN</t>
  </si>
  <si>
    <t>ECO-T832-277-3</t>
  </si>
  <si>
    <t>ECO-T836-240-1</t>
  </si>
  <si>
    <t>ECO-T836-240-2</t>
  </si>
  <si>
    <t>ECO-T858-240-1</t>
  </si>
  <si>
    <t>ECO-T858-240-2</t>
  </si>
  <si>
    <t>EHDT513ME110</t>
  </si>
  <si>
    <t>220/240</t>
  </si>
  <si>
    <t>M</t>
  </si>
  <si>
    <t>EHDT513ME1RW-B</t>
  </si>
  <si>
    <t>EHDT513ME210</t>
  </si>
  <si>
    <t>EHDT513ME2RW-B</t>
  </si>
  <si>
    <t>EHDT513MU2RW</t>
  </si>
  <si>
    <t>EHDT514ME110</t>
  </si>
  <si>
    <t>EHDT514ME110-B</t>
  </si>
  <si>
    <t>EHDT514ME110-C</t>
  </si>
  <si>
    <t>CHN</t>
  </si>
  <si>
    <t>EHDT514ME210</t>
  </si>
  <si>
    <t>EHDT514ME210-B</t>
  </si>
  <si>
    <t>BRA</t>
  </si>
  <si>
    <t>EHDT514ME210-C</t>
  </si>
  <si>
    <t>EHDT514ME210-R</t>
  </si>
  <si>
    <t>ARG</t>
  </si>
  <si>
    <t>EHDT514MU110</t>
  </si>
  <si>
    <t>EHDT514MU110N</t>
  </si>
  <si>
    <t>EHDT514MU1C50</t>
  </si>
  <si>
    <t>EHDT514MU1C70</t>
  </si>
  <si>
    <t>EHDT514MU1C85</t>
  </si>
  <si>
    <t>EHDT514MU210</t>
  </si>
  <si>
    <t>EHDT514MU210N</t>
  </si>
  <si>
    <t>EHDT514MU2C70</t>
  </si>
  <si>
    <t>EHDT521ME110</t>
  </si>
  <si>
    <t>EHDT521ME210</t>
  </si>
  <si>
    <t>EHDT521MU110</t>
  </si>
  <si>
    <t>EHDT521MU110N</t>
  </si>
  <si>
    <t>EHDT521MU1C50</t>
  </si>
  <si>
    <t>EHDT521MU1C70</t>
  </si>
  <si>
    <t>EHDT521MU1C85</t>
  </si>
  <si>
    <t>EHDT521MU1C90</t>
  </si>
  <si>
    <t>EHDT521MU210</t>
  </si>
  <si>
    <t>EHDT521MU210N</t>
  </si>
  <si>
    <t>EHDT521MU2C85</t>
  </si>
  <si>
    <t>EHDT521MU2C90</t>
  </si>
  <si>
    <t>EHDT524C347210</t>
  </si>
  <si>
    <t>EHDT524ME110</t>
  </si>
  <si>
    <t>EHDT524ME210</t>
  </si>
  <si>
    <t>EHDT524ME210-B</t>
  </si>
  <si>
    <t>EHDT524MU110</t>
  </si>
  <si>
    <t>EHDT524MU110N</t>
  </si>
  <si>
    <t>EHDT524MU1C88</t>
  </si>
  <si>
    <t>EHDT524MU210</t>
  </si>
  <si>
    <t>EHDT524MU210N</t>
  </si>
  <si>
    <t>EHDT525ME1RW-B</t>
  </si>
  <si>
    <t>EHDT525ME2RW-B</t>
  </si>
  <si>
    <t>EHDT525MU1RWN</t>
  </si>
  <si>
    <t>EHDT525MU2RW</t>
  </si>
  <si>
    <t>EHDT525MU2RWN</t>
  </si>
  <si>
    <t>EHDT528C347110</t>
  </si>
  <si>
    <t>EHDT528C347210</t>
  </si>
  <si>
    <t>EHDT528CU110</t>
  </si>
  <si>
    <t>EHDT528CU110-</t>
  </si>
  <si>
    <t>EHDT528CU210</t>
  </si>
  <si>
    <t>EHDT528CU210-</t>
  </si>
  <si>
    <t>EHDT528ME110</t>
  </si>
  <si>
    <t>EHDT528ME110-B</t>
  </si>
  <si>
    <t>EHDT528ME110-C</t>
  </si>
  <si>
    <t>EHDT528ME210</t>
  </si>
  <si>
    <t>EHDT528ME210-B</t>
  </si>
  <si>
    <t>EHDT528ME210-C</t>
  </si>
  <si>
    <t>EHDT528ME210-R</t>
  </si>
  <si>
    <t>EHDT528MU110</t>
  </si>
  <si>
    <t>EHDT528MU110N</t>
  </si>
  <si>
    <t>EHDT528MU1C50</t>
  </si>
  <si>
    <t>EHDT528MU1C70</t>
  </si>
  <si>
    <t>EHDT528MU1C71</t>
  </si>
  <si>
    <t>EHDT528MU1C77</t>
  </si>
  <si>
    <t>EHDT528MU1C85</t>
  </si>
  <si>
    <t>EHDT528MU1C88</t>
  </si>
  <si>
    <t>EHDT528MU1C90</t>
  </si>
  <si>
    <t>EHDT528MU210</t>
  </si>
  <si>
    <t>EHDT528MU210N</t>
  </si>
  <si>
    <t>EHDT528MU2C70</t>
  </si>
  <si>
    <t>EHDT528MU2C85</t>
  </si>
  <si>
    <t>EHDT528MU2C88</t>
  </si>
  <si>
    <t>EHDT528MU2C90</t>
  </si>
  <si>
    <t>EHDT539ME110</t>
  </si>
  <si>
    <t>EHDT539ME210</t>
  </si>
  <si>
    <t>EHDT539MU110</t>
  </si>
  <si>
    <t>EHDT539MU110N</t>
  </si>
  <si>
    <t>EHDT539MU1C90</t>
  </si>
  <si>
    <t>EHDT539MU210</t>
  </si>
  <si>
    <t>EHDT539MU210N</t>
  </si>
  <si>
    <t>EHDT539MU2C80</t>
  </si>
  <si>
    <t>EHDT539MU2C90</t>
  </si>
  <si>
    <t>EHDT549ME1RW-B</t>
  </si>
  <si>
    <t>EHDT549MU1RW</t>
  </si>
  <si>
    <t>EHDT549MU1RWN</t>
  </si>
  <si>
    <t>EHDT549MU2RW</t>
  </si>
  <si>
    <t>EHDT549MU2RWN</t>
  </si>
  <si>
    <t>EHDT554C347110</t>
  </si>
  <si>
    <t>EHDT554C347210</t>
  </si>
  <si>
    <t>EHDT554CU110</t>
  </si>
  <si>
    <t>EHDT554CU110-</t>
  </si>
  <si>
    <t>EHDT554CU1C80</t>
  </si>
  <si>
    <t>EHDT554CU1C88</t>
  </si>
  <si>
    <t>EHDT554CU210</t>
  </si>
  <si>
    <t>EHDT554CU210-</t>
  </si>
  <si>
    <t>EHDT554ME110</t>
  </si>
  <si>
    <t>EHDT554ME110-B</t>
  </si>
  <si>
    <t>EHDT554ME110-R</t>
  </si>
  <si>
    <t>EHDT554ME210</t>
  </si>
  <si>
    <t>EHDT554ME210-B</t>
  </si>
  <si>
    <t>EHDT554ME210-C</t>
  </si>
  <si>
    <t>EHDT554ME210-R</t>
  </si>
  <si>
    <t>EHDT554MU110</t>
  </si>
  <si>
    <t>EHDT554MU110N</t>
  </si>
  <si>
    <t>EHDT554MU1C70</t>
  </si>
  <si>
    <t>EHDT554MU1C80</t>
  </si>
  <si>
    <t>EHDT554MU1C88</t>
  </si>
  <si>
    <t>EHDT554MU1C93</t>
  </si>
  <si>
    <t>EHDT554MU210</t>
  </si>
  <si>
    <t>EHDT554MU210N</t>
  </si>
  <si>
    <t>EHDT554MU2C70</t>
  </si>
  <si>
    <t>EHDT554MU2C80</t>
  </si>
  <si>
    <t>EHDT554MU2C88</t>
  </si>
  <si>
    <t>EHDT554MU2C93</t>
  </si>
  <si>
    <t>EHDT817MU110</t>
  </si>
  <si>
    <t>EHDT817MU110N</t>
  </si>
  <si>
    <t>EHDT817MU1C11</t>
  </si>
  <si>
    <t>EHDT817MU1C80</t>
  </si>
  <si>
    <t>EHDT817MU210</t>
  </si>
  <si>
    <t>EHDT817MU210N</t>
  </si>
  <si>
    <t>EHDT817MU2C80</t>
  </si>
  <si>
    <t>EHDT825MU110</t>
  </si>
  <si>
    <t>EHDT825MU1C11</t>
  </si>
  <si>
    <t>EHDT825MU1C58</t>
  </si>
  <si>
    <t>EHDT825MU1C72</t>
  </si>
  <si>
    <t>EHDT825MU1C78</t>
  </si>
  <si>
    <t>EHDT825MU1C80</t>
  </si>
  <si>
    <t>EHDT825MU1C83</t>
  </si>
  <si>
    <t>EHDT825MU1C88</t>
  </si>
  <si>
    <t>EHDT825MU210</t>
  </si>
  <si>
    <t>EHDT825MU210N</t>
  </si>
  <si>
    <t>EHDT825MU2C11</t>
  </si>
  <si>
    <t>EHDT825MU2C72</t>
  </si>
  <si>
    <t>EHDT825MU2C78</t>
  </si>
  <si>
    <t>EHDT825MU2C80</t>
  </si>
  <si>
    <t>EHDT825MU2C88</t>
  </si>
  <si>
    <t>EHDT828MU1RW</t>
  </si>
  <si>
    <t>EHDT828MU2RW</t>
  </si>
  <si>
    <t>EHDT832C347110</t>
  </si>
  <si>
    <t>EHDT832C347117</t>
  </si>
  <si>
    <t>EHDT832C347210</t>
  </si>
  <si>
    <t>EHDT832C347217</t>
  </si>
  <si>
    <t>EHDT832C3472C88</t>
  </si>
  <si>
    <t>EHDT832CU110</t>
  </si>
  <si>
    <t>EHDT832CU110-</t>
  </si>
  <si>
    <t>EHDT832CU117</t>
  </si>
  <si>
    <t>EHDT832CU117-</t>
  </si>
  <si>
    <t>EHDT832CU1C71</t>
  </si>
  <si>
    <t>EHDT832CU1C83</t>
  </si>
  <si>
    <t>EHDT832CU1C85</t>
  </si>
  <si>
    <t>EHDT832CU1C88</t>
  </si>
  <si>
    <t>EHDT832CU210</t>
  </si>
  <si>
    <t>EHDT832CU210-</t>
  </si>
  <si>
    <t>EHDT832CU217</t>
  </si>
  <si>
    <t>EHDT832CU217-</t>
  </si>
  <si>
    <t>EHDT832CU2C15</t>
  </si>
  <si>
    <t>EHDT832CU2C71</t>
  </si>
  <si>
    <t>EHDT832CU2C83</t>
  </si>
  <si>
    <t>EHDT832CU2C85</t>
  </si>
  <si>
    <t>EHDT832CU2C88</t>
  </si>
  <si>
    <t>EHDT832GU310</t>
  </si>
  <si>
    <t>EHDT832GU317</t>
  </si>
  <si>
    <t>EHDT832GU3C71</t>
  </si>
  <si>
    <t>EHDT832GU3C80</t>
  </si>
  <si>
    <t>EHDT832GU3C88</t>
  </si>
  <si>
    <t>EHDT832ME110-B</t>
  </si>
  <si>
    <t>EHDT832ME210-B</t>
  </si>
  <si>
    <t>EHDT832MU110</t>
  </si>
  <si>
    <t>EHDT832MU110N</t>
  </si>
  <si>
    <t>EHDT832MU117</t>
  </si>
  <si>
    <t>EHDT832MU1C11</t>
  </si>
  <si>
    <t>EHDT832MU1C15</t>
  </si>
  <si>
    <t>EHDT832MU1C50</t>
  </si>
  <si>
    <t>EHDT832MU1C58</t>
  </si>
  <si>
    <t>EHDT832MU1C70</t>
  </si>
  <si>
    <t>EHDT832MU1C72</t>
  </si>
  <si>
    <t>EHDT832MU1C78</t>
  </si>
  <si>
    <t>EHDT832MU1C80</t>
  </si>
  <si>
    <t>EHDT832MU1C88</t>
  </si>
  <si>
    <t>EHDT832MU210</t>
  </si>
  <si>
    <t>EHDT832MU210N</t>
  </si>
  <si>
    <t>EHDT832MU217</t>
  </si>
  <si>
    <t>EHDT832MU217N</t>
  </si>
  <si>
    <t>EHDT832MU2C11</t>
  </si>
  <si>
    <t>EHDT832MU2C15</t>
  </si>
  <si>
    <t>EHDT832MU2C50</t>
  </si>
  <si>
    <t>EHDT832MU2C70</t>
  </si>
  <si>
    <t>EHDT832MU2C71</t>
  </si>
  <si>
    <t>EHDT832MU2C72</t>
  </si>
  <si>
    <t>EHDT832MU2C78</t>
  </si>
  <si>
    <t>EHDT832MU2C80</t>
  </si>
  <si>
    <t>EHDT832MU2C83</t>
  </si>
  <si>
    <t>EHDT832MU2C85</t>
  </si>
  <si>
    <t>EHDT832MU2C86</t>
  </si>
  <si>
    <t>EHDT832MU2C88</t>
  </si>
  <si>
    <t>EHDT836ME110</t>
  </si>
  <si>
    <t>FCE-0626-240-1</t>
  </si>
  <si>
    <t>FCE-0626-240-2</t>
  </si>
  <si>
    <t>FCE-1226-240-1</t>
  </si>
  <si>
    <t>FCE-1226-240-2</t>
  </si>
  <si>
    <t>FCE-1526-240-1</t>
  </si>
  <si>
    <t>FCE-1526-240-2</t>
  </si>
  <si>
    <t>FCE-CF18-240-1</t>
  </si>
  <si>
    <t>FCE-CF18-240-2</t>
  </si>
  <si>
    <t>FCE-CF26-240-1</t>
  </si>
  <si>
    <t>FCE-CF26-240-2</t>
  </si>
  <si>
    <t>FCE-CFL36-240-1</t>
  </si>
  <si>
    <t>FCE-CFL36-240-2</t>
  </si>
  <si>
    <t>FDB-0626-240-2-E</t>
  </si>
  <si>
    <t>FDB-1226-240-1-E</t>
  </si>
  <si>
    <t>FDB-1226-240-2-E</t>
  </si>
  <si>
    <t>FDB-1526-240-1-E</t>
  </si>
  <si>
    <t>FDB-1526-240-2-E</t>
  </si>
  <si>
    <t>FDB-1643-120-1</t>
  </si>
  <si>
    <t>FDB-1643-120-2</t>
  </si>
  <si>
    <t>FDB-1643-120-3</t>
  </si>
  <si>
    <t>FDB-1643-277-1</t>
  </si>
  <si>
    <t>FDB-1643-277-2</t>
  </si>
  <si>
    <t>FDB-1643-277-3</t>
  </si>
  <si>
    <t>FDB-1826-240-1-E</t>
  </si>
  <si>
    <t>FDB-2227-120-1</t>
  </si>
  <si>
    <t>FDB-2227-120-2</t>
  </si>
  <si>
    <t>FDB-2227-120-3</t>
  </si>
  <si>
    <t>FDB-2227-277-1</t>
  </si>
  <si>
    <t>FDB-2227-277-2</t>
  </si>
  <si>
    <t>FDB-2227-277-3</t>
  </si>
  <si>
    <t>FDB-2243-120-1</t>
  </si>
  <si>
    <t>FDB-2243-120-2</t>
  </si>
  <si>
    <t>FDB-2243-277-1</t>
  </si>
  <si>
    <t>FDB-2243-277-2</t>
  </si>
  <si>
    <t>FDB-2427-120-1</t>
  </si>
  <si>
    <t>FDB-2427-120-1N</t>
  </si>
  <si>
    <t>FDB-2427-120-2</t>
  </si>
  <si>
    <t>FDB-2427-120-2N</t>
  </si>
  <si>
    <t>FDB-2427-120-3</t>
  </si>
  <si>
    <t>FDB-2427-277-1</t>
  </si>
  <si>
    <t>FDB-2427-277-2</t>
  </si>
  <si>
    <t>FDB-2427-277-3</t>
  </si>
  <si>
    <t>FDB-3627-120-1</t>
  </si>
  <si>
    <t>FDB-3627-120-1N</t>
  </si>
  <si>
    <t>FDB-3627-120-2</t>
  </si>
  <si>
    <t>FDB-3627-120-2N</t>
  </si>
  <si>
    <t>FDB-3627-120-3</t>
  </si>
  <si>
    <t>RP-T8-3FT-3L-830-3W-M-G2</t>
  </si>
  <si>
    <t>RP-T8-3FT-3L-835-3W-M-G2</t>
  </si>
  <si>
    <t>RP-T8-3FT-3L-840-3W-M-G2</t>
  </si>
  <si>
    <t>FDB-3627-277-1</t>
  </si>
  <si>
    <t>FDB-3627-277-2</t>
  </si>
  <si>
    <t>FDB-3627-277-3</t>
  </si>
  <si>
    <t>FDB-3643-120-1</t>
  </si>
  <si>
    <t>T12</t>
  </si>
  <si>
    <t>FDB-3643-120-2</t>
  </si>
  <si>
    <t>FDB-3643-277-1</t>
  </si>
  <si>
    <t>FDB-3643-277-2</t>
  </si>
  <si>
    <t>FDB-3680-120-1</t>
  </si>
  <si>
    <t>FDB-4826-100-1</t>
  </si>
  <si>
    <t>JAP</t>
  </si>
  <si>
    <t>FDB-4826-100-2</t>
  </si>
  <si>
    <t>FDB-4826-200-1</t>
  </si>
  <si>
    <t>FDB-4826-200-2</t>
  </si>
  <si>
    <t>FDB-4827-120-1</t>
  </si>
  <si>
    <t>FDB-4827-120-1N</t>
  </si>
  <si>
    <t>FDB-4827-120-2</t>
  </si>
  <si>
    <t>FDB-4827-120-2N</t>
  </si>
  <si>
    <t>FDB-4827-120-3</t>
  </si>
  <si>
    <t>FDB-4827-120-3N</t>
  </si>
  <si>
    <t>FDB-4827-240-1</t>
  </si>
  <si>
    <t>FDB-4827-240-2</t>
  </si>
  <si>
    <t>FDB-4827-277-1</t>
  </si>
  <si>
    <t>FDB-4827-277-2</t>
  </si>
  <si>
    <t>FDB-4827-277-3</t>
  </si>
  <si>
    <t>FDB-4843-100-1</t>
  </si>
  <si>
    <t>FDB-4843-100-2</t>
  </si>
  <si>
    <t>FDB-4843-120-1</t>
  </si>
  <si>
    <t>FDB-4843-120-2</t>
  </si>
  <si>
    <t>FDB-4843-200-1</t>
  </si>
  <si>
    <t>FDB-4843-200-2</t>
  </si>
  <si>
    <t>FDB-4843-277-1</t>
  </si>
  <si>
    <t>FDB-4843-277-2</t>
  </si>
  <si>
    <t>FDB-4880-120-1</t>
  </si>
  <si>
    <t>FDB-6027-120-1</t>
  </si>
  <si>
    <t>FDB-6027-120-2</t>
  </si>
  <si>
    <t>FDB-6027-277-1</t>
  </si>
  <si>
    <t>FDB-6027-277-2</t>
  </si>
  <si>
    <t>FDB-7280-120-1</t>
  </si>
  <si>
    <t>72"</t>
  </si>
  <si>
    <t>FDB-8480-120-1</t>
  </si>
  <si>
    <t>84"</t>
  </si>
  <si>
    <t>FDB-9680-120-1</t>
  </si>
  <si>
    <t>96"</t>
  </si>
  <si>
    <t>FDB-CF18-120-1-B</t>
  </si>
  <si>
    <t>FDB-CF18-120-1-E</t>
  </si>
  <si>
    <t>FDB-CF18-120-2-B</t>
  </si>
  <si>
    <t>FDB-CF18-120-2-E</t>
  </si>
  <si>
    <t>FDB-CF18-240-1-E</t>
  </si>
  <si>
    <t>FDB-CF18-277-1-B</t>
  </si>
  <si>
    <t>FDB-CF18-277-1-E</t>
  </si>
  <si>
    <t>FDB-CF18-277-2-B</t>
  </si>
  <si>
    <t>FDB-CF18-277-2-E</t>
  </si>
  <si>
    <t>FDB-CF26-120-1-B</t>
  </si>
  <si>
    <t>FDB-CF26-120-1-E</t>
  </si>
  <si>
    <t>FDB-CF26-120-2-B</t>
  </si>
  <si>
    <t>FDB-CF26-120-2-E</t>
  </si>
  <si>
    <t>FDB-CF26-240-1-E</t>
  </si>
  <si>
    <t>FDB-CF26-240-2-E</t>
  </si>
  <si>
    <t>FDB-CF26-277-1-B</t>
  </si>
  <si>
    <t>FDB-CF26-277-1-E</t>
  </si>
  <si>
    <t>FDB-CF26-277-2-B</t>
  </si>
  <si>
    <t>FDB-CF26-277-2-E</t>
  </si>
  <si>
    <t>FDB-CFL36-240-1E</t>
  </si>
  <si>
    <t>FDB-CFL36-240-2E</t>
  </si>
  <si>
    <t>FDB-CT32-120-1-B</t>
  </si>
  <si>
    <t>RP-G24Q-132m-1L-830-3W-K-G2</t>
  </si>
  <si>
    <t>RP-G24Q-132m-1L-835-3W-K-G2</t>
  </si>
  <si>
    <t>RP-G24Q-132m-1L-840-3W-K-G2</t>
  </si>
  <si>
    <t>FDB-CT32-120-1-E</t>
  </si>
  <si>
    <t>RP-G24Q-132m-1L-830-3W-KN-G2</t>
  </si>
  <si>
    <t>RP-G24Q-132m-1L-835-3W-KN-G2</t>
  </si>
  <si>
    <t>RP-G24Q-132m-1L-840-3W-KN-G2</t>
  </si>
  <si>
    <t>FDB-CT32-277-1-B</t>
  </si>
  <si>
    <t>FDB-CT32-277-1-E</t>
  </si>
  <si>
    <t>FDB-CT42-120-1-B</t>
  </si>
  <si>
    <t>FDB-CT42-120-1-E</t>
  </si>
  <si>
    <t>FDB-CT42-277-1-B</t>
  </si>
  <si>
    <t>FDB-CT42-277-1-E</t>
  </si>
  <si>
    <t>FDB-T418-120-1</t>
  </si>
  <si>
    <t>FDB-T418-120-1-S</t>
  </si>
  <si>
    <t>FDB-T418-120-1SN</t>
  </si>
  <si>
    <t>FDB-T418-120-2</t>
  </si>
  <si>
    <t>FDB-T418-120-2N</t>
  </si>
  <si>
    <t>FDB-T418-120-2-S</t>
  </si>
  <si>
    <t>FDB-T418-120-2SN</t>
  </si>
  <si>
    <t>FDB-T418-240-1-S</t>
  </si>
  <si>
    <t>FDBT4182401SME</t>
  </si>
  <si>
    <t>FDB-T418-277-1</t>
  </si>
  <si>
    <t>FDB-T418-277-1-S</t>
  </si>
  <si>
    <t>FDB-T418-277-2</t>
  </si>
  <si>
    <t>FDB-T418-277-2-S</t>
  </si>
  <si>
    <t>FDB-T426-120-1</t>
  </si>
  <si>
    <t>FDB-T426-120-1N</t>
  </si>
  <si>
    <t>FDB-T426-120-1-S</t>
  </si>
  <si>
    <t>FDB-T426-120-1SN</t>
  </si>
  <si>
    <t>FDB-T426-120-2</t>
  </si>
  <si>
    <t>FDB-T426-120-2N</t>
  </si>
  <si>
    <t>FDB-T426-120-2-S</t>
  </si>
  <si>
    <t>FDB-T426-120-2SN</t>
  </si>
  <si>
    <t>FDB-T426-220-2</t>
  </si>
  <si>
    <t>FDB-T426-277-1</t>
  </si>
  <si>
    <t>FDB-T426-277-1-S</t>
  </si>
  <si>
    <t>FDB-T426-277-2</t>
  </si>
  <si>
    <t>FDB-T426-277-2N</t>
  </si>
  <si>
    <t>FDB-T426-277-2-S</t>
  </si>
  <si>
    <t>FDB-T432-100-1</t>
  </si>
  <si>
    <t>FDB-T432-120-1</t>
  </si>
  <si>
    <t>FDB-T432-120-1N</t>
  </si>
  <si>
    <t>FDB-T432-120-1-S</t>
  </si>
  <si>
    <t>FDB-T432-120-1SN</t>
  </si>
  <si>
    <t>FDB-T432-120-2</t>
  </si>
  <si>
    <t>RP-G24Q-232H-2L-830-3W-KN-G2</t>
  </si>
  <si>
    <t>RP-G24Q-232H-2L-835-3W-KN-G2</t>
  </si>
  <si>
    <t>RP-G24Q-232H-2L-840-3W-KN-G2</t>
  </si>
  <si>
    <t>FDB-T432-120-2N</t>
  </si>
  <si>
    <t>FDB-T432-120-2-S</t>
  </si>
  <si>
    <t>RP-G24Q-232H-2L-830-3W-K-G2</t>
  </si>
  <si>
    <t>RP-G24Q-232H-2L-835-3W-K-G2</t>
  </si>
  <si>
    <t>RP-G24Q-232H-2L-840-3W-K-G2</t>
  </si>
  <si>
    <t>FDB-T432-120-2SN</t>
  </si>
  <si>
    <t>FDB-T432-277-1</t>
  </si>
  <si>
    <t>FDB-T432-277-1-S</t>
  </si>
  <si>
    <t>FDB-T432-277-2</t>
  </si>
  <si>
    <t>FDB-T432-277-2-S</t>
  </si>
  <si>
    <t>FDB-T442-120-1</t>
  </si>
  <si>
    <t>FDB-T442-120-1N</t>
  </si>
  <si>
    <t>FDB-T442-120-1-S</t>
  </si>
  <si>
    <t>FDB-T442-120-1SN</t>
  </si>
  <si>
    <t>FDB-T442-120-2</t>
  </si>
  <si>
    <t>FDB-T442-120-2N</t>
  </si>
  <si>
    <t>FDB-T442-120-2-S</t>
  </si>
  <si>
    <t>FDB-T442-120-2SN</t>
  </si>
  <si>
    <t>FDB-T442-277-1</t>
  </si>
  <si>
    <t>FDB-T442-277-1-S</t>
  </si>
  <si>
    <t>FDB-T442-277-2</t>
  </si>
  <si>
    <t>FDB-T442-277-2-S</t>
  </si>
  <si>
    <t>FDB-T524-120-1</t>
  </si>
  <si>
    <t>FDB-T524-120-2</t>
  </si>
  <si>
    <t>FDB-T524-277-1</t>
  </si>
  <si>
    <t>FDB-T524-277-2</t>
  </si>
  <si>
    <t>FDB-T539-120-1</t>
  </si>
  <si>
    <t>FDB-T539-120-2</t>
  </si>
  <si>
    <t>FDB-T539-277-1</t>
  </si>
  <si>
    <t>FDB-T539-277-2</t>
  </si>
  <si>
    <t>FDB-T554-120-1</t>
  </si>
  <si>
    <t>FDB-T554-120-1N</t>
  </si>
  <si>
    <t>FDB-T554-120-2</t>
  </si>
  <si>
    <t>FDB-T554-120-2-C</t>
  </si>
  <si>
    <t>FDB-T554-120-2N</t>
  </si>
  <si>
    <t>FDB-T554-277-1</t>
  </si>
  <si>
    <t>FDB-T554-277-2</t>
  </si>
  <si>
    <t>FDB-T817-277-1</t>
  </si>
  <si>
    <t>FDB-T832-120-1</t>
  </si>
  <si>
    <t>FDB-T832-120-2</t>
  </si>
  <si>
    <t>FDB-T832-277-2</t>
  </si>
  <si>
    <t>FDB-T832-277-3</t>
  </si>
  <si>
    <t>H3DT514CU110</t>
  </si>
  <si>
    <t>H3DT514CU110N</t>
  </si>
  <si>
    <t>H3DT514CU1C85</t>
  </si>
  <si>
    <t>H3DT514CU1C90</t>
  </si>
  <si>
    <t>H3DT514CU210</t>
  </si>
  <si>
    <t>H3DT514CU210N</t>
  </si>
  <si>
    <t>H3DT514CU2C90</t>
  </si>
  <si>
    <t>H3DT514CUNV110</t>
  </si>
  <si>
    <t>H3DT514CUNV1C95</t>
  </si>
  <si>
    <t>H3DT514CUNV210</t>
  </si>
  <si>
    <t>H3DT521CU110</t>
  </si>
  <si>
    <t>H3DT521CU110N</t>
  </si>
  <si>
    <t>H3DT521CU1C50</t>
  </si>
  <si>
    <t>H3DT521CU1C60</t>
  </si>
  <si>
    <t>H3DT521CU1C70</t>
  </si>
  <si>
    <t>H3DT521CU1C85</t>
  </si>
  <si>
    <t>H3DT521CU1C90</t>
  </si>
  <si>
    <t>H3DT521CU210</t>
  </si>
  <si>
    <t>H3DT521CU210N</t>
  </si>
  <si>
    <t>H3DT521CU2C50</t>
  </si>
  <si>
    <t>H3DT521CU2C85</t>
  </si>
  <si>
    <t>H3DT521CU2C90</t>
  </si>
  <si>
    <t>H3DT521CUNV110</t>
  </si>
  <si>
    <t>H3DT521CUNV210</t>
  </si>
  <si>
    <t>H3DT524CU110</t>
  </si>
  <si>
    <t>H3DT524CU110N</t>
  </si>
  <si>
    <t>H3DT524CU1C50</t>
  </si>
  <si>
    <t>H3DT524CU210</t>
  </si>
  <si>
    <t>H3DT524CU210N</t>
  </si>
  <si>
    <t>H3DT524CU2C50</t>
  </si>
  <si>
    <t>H3DT524CU2C80</t>
  </si>
  <si>
    <t>H3DT528CU110</t>
  </si>
  <si>
    <t>H3DT528CU110N</t>
  </si>
  <si>
    <t>H3DT528CU1C50</t>
  </si>
  <si>
    <t>H3DT528CU1C60</t>
  </si>
  <si>
    <t>H3DT528CU1C70</t>
  </si>
  <si>
    <t>H3DT528CU1C85</t>
  </si>
  <si>
    <t>H3DT528CU1C90</t>
  </si>
  <si>
    <t>H3DT528CU210</t>
  </si>
  <si>
    <t>H3DT528CU210N</t>
  </si>
  <si>
    <t>H3DT528CU2C50</t>
  </si>
  <si>
    <t>H3DT528CU2C85</t>
  </si>
  <si>
    <t>H3DT528CU2C90</t>
  </si>
  <si>
    <t>H3DT528CUNV110</t>
  </si>
  <si>
    <t>H3DT528CUNV1C95</t>
  </si>
  <si>
    <t>H3DT528CUNV210</t>
  </si>
  <si>
    <t>H3DT536GU110</t>
  </si>
  <si>
    <t>H3DT536GU1C70</t>
  </si>
  <si>
    <t>H3DT536GU210</t>
  </si>
  <si>
    <t>H3DT539CU110</t>
  </si>
  <si>
    <t>H3DT539CU110N</t>
  </si>
  <si>
    <t>H3DT539CU1C50</t>
  </si>
  <si>
    <t>H3DT539CU210</t>
  </si>
  <si>
    <t>H3DT539CU210N</t>
  </si>
  <si>
    <t>H3DT539CU2C50</t>
  </si>
  <si>
    <t>H3DT539CU2C80</t>
  </si>
  <si>
    <t>H3DT540GU110</t>
  </si>
  <si>
    <t>H3DT540GU110N</t>
  </si>
  <si>
    <t>H3DT540GU1C70</t>
  </si>
  <si>
    <t>H3DT540GU210</t>
  </si>
  <si>
    <t>H3DT540GU210N</t>
  </si>
  <si>
    <t>H3DT540GU2C70</t>
  </si>
  <si>
    <t>H3DT540GU2C85</t>
  </si>
  <si>
    <t>H3DT540GU310</t>
  </si>
  <si>
    <t>H3DT540GU310N</t>
  </si>
  <si>
    <t>H3DT550GU110</t>
  </si>
  <si>
    <t>H3DT550GU210</t>
  </si>
  <si>
    <t>H3DT550GU2C85</t>
  </si>
  <si>
    <t>H3DT554CU110</t>
  </si>
  <si>
    <t>H3DT554CU110N</t>
  </si>
  <si>
    <t>H3DT554CU1C50</t>
  </si>
  <si>
    <t>H3DT554CU1C70</t>
  </si>
  <si>
    <t>H3DT554CU1C80</t>
  </si>
  <si>
    <t>H3DT554CU210</t>
  </si>
  <si>
    <t>H3DT554CU210N</t>
  </si>
  <si>
    <t>H3DT554CU2C50</t>
  </si>
  <si>
    <t>H3DT554CU2C80</t>
  </si>
  <si>
    <t>H3DT554CU2C90</t>
  </si>
  <si>
    <t>H3DT580CU110</t>
  </si>
  <si>
    <t>H3DT817CU110</t>
  </si>
  <si>
    <t>H3DT817CU117</t>
  </si>
  <si>
    <t>H3DT817CU1C50</t>
  </si>
  <si>
    <t>H3DT817CU1C80</t>
  </si>
  <si>
    <t>H3DT817CU210</t>
  </si>
  <si>
    <t>H3DT817CU210N</t>
  </si>
  <si>
    <t>H3DT817CU217</t>
  </si>
  <si>
    <t>H3DT817CU2C50</t>
  </si>
  <si>
    <t>H3DT817CUNV110</t>
  </si>
  <si>
    <t>H3DT817CUNV117</t>
  </si>
  <si>
    <t>H3DT817CUNV210</t>
  </si>
  <si>
    <t>H3DT817CUNV217</t>
  </si>
  <si>
    <t>H3DT817GU110</t>
  </si>
  <si>
    <t>H3DT817GU110N</t>
  </si>
  <si>
    <t>H3DT817GU117</t>
  </si>
  <si>
    <t>H3DT817GU210</t>
  </si>
  <si>
    <t>H3DT817GU210N</t>
  </si>
  <si>
    <t>H3DT817GU217</t>
  </si>
  <si>
    <t>H3DT817GU310</t>
  </si>
  <si>
    <t>RP-T8-2FT-3L-830-E1-M-G2</t>
  </si>
  <si>
    <t>RP-T8-2FT-3L-835-E1-M-G2</t>
  </si>
  <si>
    <t>RP-T8-2FT-3L-840-E1-M-G2</t>
  </si>
  <si>
    <t>H3DT817GU317</t>
  </si>
  <si>
    <t>H3DT825CU110</t>
  </si>
  <si>
    <t>H3DT825CU117</t>
  </si>
  <si>
    <t>H3DT825CU1C50</t>
  </si>
  <si>
    <t>H3DT825CU1C63</t>
  </si>
  <si>
    <t>H3DT825CU1C80</t>
  </si>
  <si>
    <t>H3DT825CU210</t>
  </si>
  <si>
    <t>H3DT825CU210N</t>
  </si>
  <si>
    <t>H3DT825CU217</t>
  </si>
  <si>
    <t>H3DT825CU2C50</t>
  </si>
  <si>
    <t>H3DT825CU2C86</t>
  </si>
  <si>
    <t>H3DT825CUNV110</t>
  </si>
  <si>
    <t>H3DT825CUNV117</t>
  </si>
  <si>
    <t>H3DT825CUNV210</t>
  </si>
  <si>
    <t>H3DT825CUNV217</t>
  </si>
  <si>
    <t>H3DT825GU110</t>
  </si>
  <si>
    <t>H3DT825GU210</t>
  </si>
  <si>
    <t>H3DT832CU110</t>
  </si>
  <si>
    <t>H3DT832CU110N</t>
  </si>
  <si>
    <t>H3DT832CU117</t>
  </si>
  <si>
    <t>H3DT832CU1C50</t>
  </si>
  <si>
    <t>H3DT832CU1C55</t>
  </si>
  <si>
    <t>H3DT832CU1C75</t>
  </si>
  <si>
    <t>H3DT832CU1C80</t>
  </si>
  <si>
    <t>H3DT832CU1C86</t>
  </si>
  <si>
    <t>H3DT832CU210</t>
  </si>
  <si>
    <t>H3DT832CU210N</t>
  </si>
  <si>
    <t>H3DT832CU217</t>
  </si>
  <si>
    <t>H3DT832CU217N</t>
  </si>
  <si>
    <t>H3DT832CU2C50</t>
  </si>
  <si>
    <t>H3DT832CU2C71</t>
  </si>
  <si>
    <t>H3DT832CU2C86</t>
  </si>
  <si>
    <t>H3DT832CU2C88</t>
  </si>
  <si>
    <t>H3DT832CU2C90</t>
  </si>
  <si>
    <t>H3DT832CUNV110</t>
  </si>
  <si>
    <t>H3DT832CUNV117</t>
  </si>
  <si>
    <t>H3DT832CUNV1C50</t>
  </si>
  <si>
    <t>H3DT832CUNV210</t>
  </si>
  <si>
    <t>H3DT832CUNV217</t>
  </si>
  <si>
    <t>H3DT832CUNV2C50</t>
  </si>
  <si>
    <t>H3DT832GU110</t>
  </si>
  <si>
    <t>H3DT832GU110N</t>
  </si>
  <si>
    <t>H3DT832GU117</t>
  </si>
  <si>
    <t>H3DT832GU210</t>
  </si>
  <si>
    <t>H3DT832GU210N</t>
  </si>
  <si>
    <t>H3DT832GU217</t>
  </si>
  <si>
    <t>H3DT832GU310</t>
  </si>
  <si>
    <t>H3DT832GU310N</t>
  </si>
  <si>
    <t>H3DT832GU317</t>
  </si>
  <si>
    <t>H3DT832GU3C85</t>
  </si>
  <si>
    <t>H3DT832GUNV310</t>
  </si>
  <si>
    <t>H3DT832GUNV317</t>
  </si>
  <si>
    <t>H3DT832MU210</t>
  </si>
  <si>
    <t>H3DT840CU110</t>
  </si>
  <si>
    <t>H3DT840CU117</t>
  </si>
  <si>
    <t>H3DT840CU1C50</t>
  </si>
  <si>
    <t>H3DT840CU210</t>
  </si>
  <si>
    <t>H3DT840CU217</t>
  </si>
  <si>
    <t>H3DT840CU2C50</t>
  </si>
  <si>
    <t>H3T432K1001J</t>
  </si>
  <si>
    <t>H3T832CUNV2J</t>
  </si>
  <si>
    <t>H3T832GU310</t>
  </si>
  <si>
    <t>H3T832GU317</t>
  </si>
  <si>
    <t>H3T832GU3C85</t>
  </si>
  <si>
    <t>H3T832GUNV1J</t>
  </si>
  <si>
    <t>H3T832GUNV2J</t>
  </si>
  <si>
    <t>HL3-T426-120-1</t>
  </si>
  <si>
    <t>HL3-T426-120-1-S</t>
  </si>
  <si>
    <t>HL3-T426-277-1</t>
  </si>
  <si>
    <t>HL3-T426-277-1-S</t>
  </si>
  <si>
    <t>HL3-T432-120-1</t>
  </si>
  <si>
    <t>HL3-T432-120-1-S</t>
  </si>
  <si>
    <t>HL3-T432-277-1</t>
  </si>
  <si>
    <t>HL3-T432-277-1-S</t>
  </si>
  <si>
    <t>RSPCU-1643-277/1</t>
  </si>
  <si>
    <t>RSPCU-1643-277/2</t>
  </si>
  <si>
    <t>RSPCU-2227-120/1</t>
  </si>
  <si>
    <t>RSPCU-2227-120/2</t>
  </si>
  <si>
    <t>RSPCU-2227-277/1</t>
  </si>
  <si>
    <t>RSPCU-2227-277/2</t>
  </si>
  <si>
    <t>RSPCU-3627-120/1</t>
  </si>
  <si>
    <t>RSPCU-3627-120/2</t>
  </si>
  <si>
    <t>RSPCU-3643-120/1</t>
  </si>
  <si>
    <t>RSPCU-3643-120/2</t>
  </si>
  <si>
    <t>RSPCU-3680-120/1</t>
  </si>
  <si>
    <t>RSPCU-4827-120/1</t>
  </si>
  <si>
    <t>RSPCU-4827-120/2</t>
  </si>
  <si>
    <t>RSPCU-4827-277/1</t>
  </si>
  <si>
    <t>RSPCU-4827-277/2</t>
  </si>
  <si>
    <t>RSPCU-4843-120/1</t>
  </si>
  <si>
    <t>RSPCU-4843-120/2</t>
  </si>
  <si>
    <t>RSPCU-4843-277/1</t>
  </si>
  <si>
    <t>RSPCU-4843-277/2</t>
  </si>
  <si>
    <t>RSPCU-4880-120/1</t>
  </si>
  <si>
    <t>RSPCU-6027-120/1</t>
  </si>
  <si>
    <t>RSPCU-7280-120/1</t>
  </si>
  <si>
    <t>RSPCU-8480-120/1</t>
  </si>
  <si>
    <t>RSPCU-9680-120/1</t>
  </si>
  <si>
    <t>TVE-CT32-120-1-B</t>
  </si>
  <si>
    <t>TVE-CT32-120-1-E</t>
  </si>
  <si>
    <t>TVE-T540-120-2</t>
  </si>
  <si>
    <t>TVE-T540-120-3</t>
  </si>
  <si>
    <t>TVE-T540-277-2</t>
  </si>
  <si>
    <t>TVE-T817-120-1</t>
  </si>
  <si>
    <t>TVE-T825-120-1</t>
  </si>
  <si>
    <t>TVE-T832-120-1</t>
  </si>
  <si>
    <t>TVE-T832-120-2</t>
  </si>
  <si>
    <t>TVE-T832-120-3</t>
  </si>
  <si>
    <t>TVE-T832-277-1</t>
  </si>
  <si>
    <t>TVE-T832-277-2</t>
  </si>
  <si>
    <t>TVE-T832-277-3</t>
  </si>
  <si>
    <t>TVE-T832-347-1</t>
  </si>
  <si>
    <t>TVE-T832-347-2</t>
  </si>
  <si>
    <t>TVE-T845-200-1</t>
  </si>
  <si>
    <t>TVE-T845-200-2</t>
  </si>
  <si>
    <t>U2W-T832-120-2</t>
  </si>
  <si>
    <t>UEC3DT4MWKU1</t>
  </si>
  <si>
    <t>UEC3DT4MWKU1S</t>
  </si>
  <si>
    <t>UEC3DT4MWKU2</t>
  </si>
  <si>
    <t>UEC3DT4MWKU2S</t>
  </si>
  <si>
    <t>UEC3T540GU210</t>
  </si>
  <si>
    <t>UEC3T817GU210</t>
  </si>
  <si>
    <t>UEC3T832CU210</t>
  </si>
  <si>
    <t>UEC3T832GU210</t>
  </si>
  <si>
    <t>UEC5T528JUNV1</t>
  </si>
  <si>
    <t>UEC5T528JUNV2</t>
  </si>
  <si>
    <t>UEC5T540JUNV2</t>
  </si>
  <si>
    <t>UEC5T554JUNV1</t>
  </si>
  <si>
    <t>UEC5T554JUNV2</t>
  </si>
  <si>
    <t>UEC5T817JUNV2</t>
  </si>
  <si>
    <t>UEC5T825JUNV1</t>
  </si>
  <si>
    <t>UEC5T832GUNV2C50</t>
  </si>
  <si>
    <t>UEC5T832GUNV2L</t>
  </si>
  <si>
    <t>UEC5T832GUNV3L</t>
  </si>
  <si>
    <t>UEC5T832JUNV1</t>
  </si>
  <si>
    <t>UEC5T832JUNV2</t>
  </si>
  <si>
    <t>UEC5T8RWGUNV3</t>
  </si>
  <si>
    <t>UEHDT521MU110</t>
  </si>
  <si>
    <t>UEHDT528CU210</t>
  </si>
  <si>
    <t>UEHDT528MU110</t>
  </si>
  <si>
    <t>UEHDT554CU210</t>
  </si>
  <si>
    <t>UEHDT554MU110</t>
  </si>
  <si>
    <t>UEHDT554MU210</t>
  </si>
  <si>
    <t>UEHDT825MU210</t>
  </si>
  <si>
    <t>UEHDT832CU110</t>
  </si>
  <si>
    <t>UEHDT832CU210</t>
  </si>
  <si>
    <t>UEHDT832GU310</t>
  </si>
  <si>
    <t>UEHDT832GU317</t>
  </si>
  <si>
    <t>UEHDT832MU110</t>
  </si>
  <si>
    <t>UEHDT832MU117</t>
  </si>
  <si>
    <t>UEHDT832MU210</t>
  </si>
  <si>
    <t>UEHDT832MU217</t>
  </si>
  <si>
    <t>UFDB-T554-120-2</t>
  </si>
  <si>
    <t>UH3DT524CU210</t>
  </si>
  <si>
    <t>UH3DT528CU110</t>
  </si>
  <si>
    <t>UH3DT528CU210</t>
  </si>
  <si>
    <t>UH3DT817CU217</t>
  </si>
  <si>
    <t>UH3DT817GU210</t>
  </si>
  <si>
    <t>UH3DT817GU310</t>
  </si>
  <si>
    <t>UH3DT817GU317</t>
  </si>
  <si>
    <t>UH3DT825CU210</t>
  </si>
  <si>
    <t>UH3DT832CU210</t>
  </si>
  <si>
    <t>UH3DT832CU217</t>
  </si>
  <si>
    <t>UH3DT832GU110</t>
  </si>
  <si>
    <t>UH3DT832GU210</t>
  </si>
  <si>
    <t>UH3DT832GU310</t>
  </si>
  <si>
    <t>UH3DT832GU317</t>
  </si>
  <si>
    <t>UHL3-T432-120-1S</t>
  </si>
  <si>
    <t>Grainger Ballast PN</t>
  </si>
  <si>
    <t>Lutron Ballast PN</t>
  </si>
  <si>
    <t>Lutron TLED PN</t>
  </si>
  <si>
    <t>Grainger TLED PN</t>
  </si>
  <si>
    <t>18C847</t>
  </si>
  <si>
    <t>3LD4T5-1M40-24</t>
  </si>
  <si>
    <t>18C848</t>
  </si>
  <si>
    <t>ELD4T5H-1M30-24</t>
  </si>
  <si>
    <t>18C849</t>
  </si>
  <si>
    <t>18C850</t>
  </si>
  <si>
    <t>18C851</t>
  </si>
  <si>
    <t>18C852</t>
  </si>
  <si>
    <t>18C853</t>
  </si>
  <si>
    <t>18C854</t>
  </si>
  <si>
    <t>18C855</t>
  </si>
  <si>
    <t>18C856</t>
  </si>
  <si>
    <t>18C857</t>
  </si>
  <si>
    <t>18C858</t>
  </si>
  <si>
    <t>18C859</t>
  </si>
  <si>
    <t>18C860</t>
  </si>
  <si>
    <t>18C861</t>
  </si>
  <si>
    <t>18C862</t>
  </si>
  <si>
    <t>18C863</t>
  </si>
  <si>
    <t>18C864</t>
  </si>
  <si>
    <t>18C865</t>
  </si>
  <si>
    <t>18C866</t>
  </si>
  <si>
    <t>18C867</t>
  </si>
  <si>
    <t>18C868</t>
  </si>
  <si>
    <t>18C869</t>
  </si>
  <si>
    <t>18C870</t>
  </si>
  <si>
    <t>4LFV6</t>
  </si>
  <si>
    <t>4LFV7</t>
  </si>
  <si>
    <t>4LFV8</t>
  </si>
  <si>
    <t>4LFV9</t>
  </si>
  <si>
    <t>4LFW1</t>
  </si>
  <si>
    <t>4LFW2</t>
  </si>
  <si>
    <t>4LFW3</t>
  </si>
  <si>
    <t>4LFW4</t>
  </si>
  <si>
    <t>4LFW5</t>
  </si>
  <si>
    <t>4LFW6</t>
  </si>
  <si>
    <t>4LFW7</t>
  </si>
  <si>
    <t>4LFW8</t>
  </si>
  <si>
    <t>4LFW9</t>
  </si>
  <si>
    <t>4LFX1</t>
  </si>
  <si>
    <t>4LFX2</t>
  </si>
  <si>
    <t>4LFX3</t>
  </si>
  <si>
    <t>4LFX4</t>
  </si>
  <si>
    <t>4LFX5</t>
  </si>
  <si>
    <t>4LFX6</t>
  </si>
  <si>
    <t>4LFX7</t>
  </si>
  <si>
    <t>5NUJ0</t>
  </si>
  <si>
    <t>5NUJ1</t>
  </si>
  <si>
    <t>60AR98</t>
  </si>
  <si>
    <t>60AR99</t>
  </si>
  <si>
    <t>60AT01</t>
  </si>
  <si>
    <t>60AT02</t>
  </si>
  <si>
    <t>60AT03</t>
  </si>
  <si>
    <t>60AT04</t>
  </si>
  <si>
    <t>60AT05</t>
  </si>
  <si>
    <t>60AT06</t>
  </si>
  <si>
    <t>60AT07</t>
  </si>
  <si>
    <t>60AT08</t>
  </si>
  <si>
    <t>61UM54</t>
  </si>
  <si>
    <t>61UM55</t>
  </si>
  <si>
    <t>6FVX9</t>
  </si>
  <si>
    <t>6FVY0</t>
  </si>
  <si>
    <t>6ZER0</t>
  </si>
  <si>
    <t>6ZER1</t>
  </si>
  <si>
    <t>6ZER2</t>
  </si>
  <si>
    <t>6ZER3</t>
  </si>
  <si>
    <t>6ZER4</t>
  </si>
  <si>
    <t>6ZER5</t>
  </si>
  <si>
    <t>6ZER6</t>
  </si>
  <si>
    <t>6ZER7</t>
  </si>
  <si>
    <t>6ZER8</t>
  </si>
  <si>
    <t>6ZER9</t>
  </si>
  <si>
    <t>6ZET0</t>
  </si>
  <si>
    <t>6ZET1</t>
  </si>
  <si>
    <t>6ZET2</t>
  </si>
  <si>
    <t>6ZET3</t>
  </si>
  <si>
    <t>6ZET4</t>
  </si>
  <si>
    <t>6ZET5</t>
  </si>
  <si>
    <t>6ZET6</t>
  </si>
  <si>
    <t>6ZET7</t>
  </si>
  <si>
    <t>6ZET8</t>
  </si>
  <si>
    <t>6ZET9</t>
  </si>
  <si>
    <t>780U68</t>
  </si>
  <si>
    <t>780U69</t>
  </si>
  <si>
    <t>780U70</t>
  </si>
  <si>
    <t>780U71</t>
  </si>
  <si>
    <t>No Grainger Part Number</t>
  </si>
  <si>
    <t>None</t>
  </si>
  <si>
    <t>Lamp Size</t>
  </si>
  <si>
    <t>Color Temp (K)</t>
  </si>
  <si>
    <t>Lumens (lm)</t>
  </si>
  <si>
    <t>Driver Case Type</t>
  </si>
  <si>
    <t>C-FLEX Individual Kit</t>
  </si>
  <si>
    <t>EcoSystem</t>
  </si>
  <si>
    <t>4'</t>
  </si>
  <si>
    <t>ELD4T8-1M30-24</t>
  </si>
  <si>
    <t>ELD4T8-1M35-24</t>
  </si>
  <si>
    <t>ELD4T8-1M40-24</t>
  </si>
  <si>
    <t>ELD4T8-2M30-12</t>
  </si>
  <si>
    <t>ELD4T8-2M35-12</t>
  </si>
  <si>
    <t>ELD4T8-2M40-12</t>
  </si>
  <si>
    <t>ELD4T5-1M30-24</t>
  </si>
  <si>
    <t>ELD4T5-1M35-24</t>
  </si>
  <si>
    <t>ELD4T5-1M40-24</t>
  </si>
  <si>
    <t>ELD4T5-2M30-12</t>
  </si>
  <si>
    <t>ELD4T5-2M35-12</t>
  </si>
  <si>
    <t>ELD4T5-2M40-12</t>
  </si>
  <si>
    <t>ELD4T5H-1M35-24</t>
  </si>
  <si>
    <t>ELD4T5H-1M40-24</t>
  </si>
  <si>
    <t>ELD4T5H-2M30-12</t>
  </si>
  <si>
    <t>ELD4T5H-2M35-12</t>
  </si>
  <si>
    <t>ELD4T5H-2M40-12</t>
  </si>
  <si>
    <t>COMPACT 1 4-PIN</t>
  </si>
  <si>
    <t>VERTICAL PL LED G24Q BASE</t>
  </si>
  <si>
    <t>ELDVCF-1K30-24</t>
  </si>
  <si>
    <t>ELDVCF-1K35-24</t>
  </si>
  <si>
    <t>ELDVCF-1K40-24</t>
  </si>
  <si>
    <t>COMPACT 2 4-PIN</t>
  </si>
  <si>
    <t>HORIZONTAL PL LED G24Q BASE</t>
  </si>
  <si>
    <t>ELDHCF-1K30-24</t>
  </si>
  <si>
    <t>ELDHCF-1K35-24</t>
  </si>
  <si>
    <t>ELDHCF-1K40-24</t>
  </si>
  <si>
    <t>COMPACT 3 4-PIN</t>
  </si>
  <si>
    <t>ELDHCF-2K30-12</t>
  </si>
  <si>
    <t>ELDHCF-2K35-12</t>
  </si>
  <si>
    <t>ELDHCF-2K40-12</t>
  </si>
  <si>
    <t>3LD4T8-1M30-24</t>
  </si>
  <si>
    <t>3LD4T8-1M35-24</t>
  </si>
  <si>
    <t>3LD4T8-1M40-24</t>
  </si>
  <si>
    <t>3LD4T8-2M30-12</t>
  </si>
  <si>
    <t>3LD4T8-2M35-12</t>
  </si>
  <si>
    <t>3LD4T8-2M40-12</t>
  </si>
  <si>
    <t>3LD4T5-1M30-24</t>
  </si>
  <si>
    <t>3LD4T5-1M35-24</t>
  </si>
  <si>
    <t>3LD4T5-2M30-12</t>
  </si>
  <si>
    <t>3LD4T5-2M35-12</t>
  </si>
  <si>
    <t>3LD4T5-2M40-12</t>
  </si>
  <si>
    <t>3LD4T5H-1M30-24</t>
  </si>
  <si>
    <t>3LD4T5H-1M35-24</t>
  </si>
  <si>
    <t>3LD4T5H-1M40-24</t>
  </si>
  <si>
    <t>3LD4T5H-2M30-12</t>
  </si>
  <si>
    <t>3LD4T5H-2M35-12</t>
  </si>
  <si>
    <t>3LD4T5H-2M40-12</t>
  </si>
  <si>
    <t>3LDVCF-1K30-24</t>
  </si>
  <si>
    <t>3LDVCF-1K35-24</t>
  </si>
  <si>
    <t>3LDVCF-1K40-24</t>
  </si>
  <si>
    <t>3LDHCF-1K30-24</t>
  </si>
  <si>
    <t>3LDHCF-1K35-24</t>
  </si>
  <si>
    <t>3LDHCF-1K40-24</t>
  </si>
  <si>
    <t>3LDHCF-2K30-12</t>
  </si>
  <si>
    <t>3LDHCF-2K35-12</t>
  </si>
  <si>
    <t>3LDHCF-2K40-12</t>
  </si>
  <si>
    <t>Obsolete Models</t>
  </si>
  <si>
    <t>Model Number Selected:</t>
  </si>
  <si>
    <t>Upgrade Plan</t>
  </si>
  <si>
    <t>System Types</t>
  </si>
  <si>
    <t>All Ballasts (sorted)</t>
  </si>
  <si>
    <t>Lutron Ballast Model:</t>
  </si>
  <si>
    <t>TLED Kit</t>
  </si>
  <si>
    <t>Grafik Eye</t>
  </si>
  <si>
    <t>Grainger Model Number:</t>
  </si>
  <si>
    <t>Grafik 4000</t>
  </si>
  <si>
    <t>Other</t>
  </si>
  <si>
    <t>Grafik 5000/6000</t>
  </si>
  <si>
    <t>Notes</t>
  </si>
  <si>
    <t>Unknown</t>
  </si>
  <si>
    <t>Grafik 7000</t>
  </si>
  <si>
    <t>Note Type</t>
  </si>
  <si>
    <t>Note Text</t>
  </si>
  <si>
    <t>Applies</t>
  </si>
  <si>
    <t>Image</t>
  </si>
  <si>
    <t>LCP/XPS</t>
  </si>
  <si>
    <t>No Matches Found</t>
  </si>
  <si>
    <t>Standalone (Wallbox)</t>
  </si>
  <si>
    <t>Quantum</t>
  </si>
  <si>
    <t>The ballast being used has a lower lumen output than standard (for model numbers including RW or Cxx), or higher lumen output than standard (for model numbers including 17).  Follow recommendations in the Ballast Upgrade Playbook, available to Lutron Representatives.</t>
  </si>
  <si>
    <t>The case size of the replacement TLED kit has different mounting hole locations than the currently-installed ballast.  The installer will need to drill at least one new mounting hole.</t>
  </si>
  <si>
    <t>Multi-Watt CFL</t>
  </si>
  <si>
    <t>CFL Mounting</t>
  </si>
  <si>
    <t>EcoSystem and 3-Wire</t>
  </si>
  <si>
    <t>Lower Ouput (18W) CFL</t>
  </si>
  <si>
    <t>The currently-installed CFL ballast has a lower lumen output than the replacement LED kit.  High end trim may be required after installation.</t>
  </si>
  <si>
    <t>U-Bend T8</t>
  </si>
  <si>
    <t>4-Foot T8 lamps may be used in a U-Bend configuration in 2 x 2 troffers.  The TLED kit recommended here will not fit U-Bend applications; please use a retrofit door kit instead.</t>
  </si>
  <si>
    <t>Rev</t>
  </si>
  <si>
    <t>Date</t>
  </si>
  <si>
    <t>Comments</t>
  </si>
  <si>
    <t>Initial Public release on myLutron</t>
  </si>
  <si>
    <t>Added Grainger-specific tab</t>
  </si>
  <si>
    <t>E</t>
  </si>
  <si>
    <t>•	Adds more ballasts to the list of cross-references (including many obsolete ones)
•	Adds TLED kit cross-references to more ballasts than before
•	Adds a new “Upgrade Workbook” that can be used in conjunction with a site walk-through to capture information and cross-references on the fixtures
•	Indication of “OBSOLETE” model numbers, when selected from the drop-down
•	Added or corrected many pieces of parametric ballast data that were wrong (case type, lamp wattage, etc.)
•	Fixed a few errors with wrong TLED cross-reference information</t>
  </si>
  <si>
    <t>Added cross-reference for parts included in Kits (visible to Lutron only)</t>
  </si>
  <si>
    <t>If multiple ballasts are utilized on an installation, you can utilize the table in the "Upgrade Workbook" tab to capture information across multiple ballast/fixture types and rooms.  The grey cells will fill in automatically if there are available kits based on the information you provide in the row.</t>
  </si>
  <si>
    <t>Removed C-Flex BOM data (that was added in Rev F)
Hid link to Playbook, which is only in myLutron, in preparation for wider distribution
Added link to app notes
Added Instruction tab
Shows Lutron part numbers on "Upgrade Tool" and "Upgrade Workbook" tabs
Added note about "NON-US BALLASTS"</t>
  </si>
  <si>
    <t>H</t>
  </si>
  <si>
    <t>Proposed Upgrade</t>
  </si>
  <si>
    <t>806PC5</t>
  </si>
  <si>
    <t>806PC6</t>
  </si>
  <si>
    <t>806PC7</t>
  </si>
  <si>
    <t>806PC8</t>
  </si>
  <si>
    <t>806PC9</t>
  </si>
  <si>
    <t>806PD0</t>
  </si>
  <si>
    <t>806PD1</t>
  </si>
  <si>
    <t>806PD2</t>
  </si>
  <si>
    <t>806PD3</t>
  </si>
  <si>
    <t>806PD4</t>
  </si>
  <si>
    <t>806PD5</t>
  </si>
  <si>
    <t>806PD6</t>
  </si>
  <si>
    <t>806PD7</t>
  </si>
  <si>
    <t>806PD8</t>
  </si>
  <si>
    <t>806PD9</t>
  </si>
  <si>
    <t>806PE0</t>
  </si>
  <si>
    <t>806PE1</t>
  </si>
  <si>
    <t>806PE2</t>
  </si>
  <si>
    <t>806PE3</t>
  </si>
  <si>
    <t>806PE4</t>
  </si>
  <si>
    <t>806PE5</t>
  </si>
  <si>
    <t>806PE6</t>
  </si>
  <si>
    <t>806PE7</t>
  </si>
  <si>
    <t>806PE8</t>
  </si>
  <si>
    <t>806PE9</t>
  </si>
  <si>
    <t>806PF0</t>
  </si>
  <si>
    <t>806PF1</t>
  </si>
  <si>
    <t>806PF2</t>
  </si>
  <si>
    <t>806PF3</t>
  </si>
  <si>
    <t>806PF4</t>
  </si>
  <si>
    <t>806PF5</t>
  </si>
  <si>
    <t>806PF6</t>
  </si>
  <si>
    <t>806PF7</t>
  </si>
  <si>
    <t>806PF8</t>
  </si>
  <si>
    <t>806PF9</t>
  </si>
  <si>
    <t>806PG0</t>
  </si>
  <si>
    <t>806PG1</t>
  </si>
  <si>
    <t>806PG2</t>
  </si>
  <si>
    <t>806PG3</t>
  </si>
  <si>
    <t>806PG4</t>
  </si>
  <si>
    <t>806PG5</t>
  </si>
  <si>
    <t>806PG6</t>
  </si>
  <si>
    <t>806PG7</t>
  </si>
  <si>
    <t>806PG8</t>
  </si>
  <si>
    <t>806PG9</t>
  </si>
  <si>
    <t>806PH0</t>
  </si>
  <si>
    <t>806PH1</t>
  </si>
  <si>
    <t>806PH2</t>
  </si>
  <si>
    <t>806PH3</t>
  </si>
  <si>
    <t>806PH4</t>
  </si>
  <si>
    <t>806PH5</t>
  </si>
  <si>
    <t>806PH6</t>
  </si>
  <si>
    <t>806PH7</t>
  </si>
  <si>
    <t>806PH8</t>
  </si>
  <si>
    <r>
      <rPr>
        <b/>
        <sz val="12"/>
        <color rgb="FFC00000"/>
        <rFont val="Arial"/>
        <family val="2"/>
      </rPr>
      <t>Grainger</t>
    </r>
    <r>
      <rPr>
        <b/>
        <sz val="12"/>
        <color theme="1"/>
        <rFont val="Arial"/>
        <family val="2"/>
      </rPr>
      <t xml:space="preserve"> model numbers for Lutron Retrofit kits (includes Lutron driver &amp; LED lamps)::</t>
    </r>
  </si>
  <si>
    <r>
      <t xml:space="preserve">Replacement </t>
    </r>
    <r>
      <rPr>
        <b/>
        <sz val="12"/>
        <color rgb="FF0070C0"/>
        <rFont val="Arial"/>
        <family val="2"/>
      </rPr>
      <t>Lutron</t>
    </r>
    <r>
      <rPr>
        <b/>
        <sz val="12"/>
        <color theme="1"/>
        <rFont val="Arial"/>
        <family val="2"/>
      </rPr>
      <t xml:space="preserve"> Retrofit kit model numbers (includes Lutron driver &amp; LED lamps):</t>
    </r>
  </si>
  <si>
    <t>RP-G24Q-226m-2L-830-E1-KN-G2</t>
  </si>
  <si>
    <t>RP-G24Q-226m-2L-835-E1-KN-G2</t>
  </si>
  <si>
    <t>RP-G24Q-226m-2L-840-E1-KN-G2</t>
  </si>
  <si>
    <t>RP-G24Q-226m-2L-830-3W-KN-G2</t>
  </si>
  <si>
    <t>RP-G24Q-226m-2L-835-3W-KN-G2</t>
  </si>
  <si>
    <t>RP-G24Q-226m-2L-840-3W-KN-G2</t>
  </si>
  <si>
    <t>RP-G24Q-226m-2L-830-E1-K-G2</t>
  </si>
  <si>
    <t>RP-G24Q-226m-2L-835-E1-K-G2</t>
  </si>
  <si>
    <t>RP-G24Q-226m-2L-840-E1-K-G2</t>
  </si>
  <si>
    <t>RP-G24Q-226m-2L-830-3W-K-G2</t>
  </si>
  <si>
    <t>RP-G24Q-226m-2L-835-3W-K-G2</t>
  </si>
  <si>
    <t>RP-G24Q-226m-2L-840-3W-K-G2</t>
  </si>
  <si>
    <t>RP-G24Q-2wwm-2L-830-E1-KN-G2</t>
  </si>
  <si>
    <t>RP-G24Q-2wwm-2L-835-E1-KN-G2</t>
  </si>
  <si>
    <t>RP-G24Q-2wwm-2L-840-E1-KN-G2</t>
  </si>
  <si>
    <t>RP-G24Q-2wwm-2L-830-3W-KN-G2</t>
  </si>
  <si>
    <t>RP-G24Q-2wwm-2L-835-3W-KN-G2</t>
  </si>
  <si>
    <t>RP-G24Q-2wwm-2L-840-3W-KN-G2</t>
  </si>
  <si>
    <t>RP-G24Q-2wwm-2L-830-E1-K-G2</t>
  </si>
  <si>
    <t>RP-G24Q-2wwm-2L-835-E1-K-G2</t>
  </si>
  <si>
    <t>RP-G24Q-2wwm-2L-840-E1-K-G2</t>
  </si>
  <si>
    <t>RP-G24Q-2wwm-2L-830-3W-K-G2</t>
  </si>
  <si>
    <t>RP-G24Q-2wwm-2L-835-3W-K-G2</t>
  </si>
  <si>
    <t>RP-G24Q-2wwm-2L-840-3W-K-G2</t>
  </si>
  <si>
    <t>Light Efficient Designs C-Flex Retrofit Kit Spec Sheet</t>
  </si>
  <si>
    <t>Lutron Retrofit Kits by C-Flex Spec Sheet</t>
  </si>
  <si>
    <t>Swapped position of "Replacement Lutron Retrofit Kits" and "Replacement C-Flex Retrofit Kits"
Updated instruction wording re: C-Flex rep
Updated Upgrade Workbook wording
Moved Lutron parts to the top
Added Lutron spec sheet (uses non-myLutron link); moved Reference links to the bottom
Corrected some data for EHDT521MU110
Corrected C-Flex model numbers for most 2-lamp T4 solutions
Added red note under C-Flex table for incomplete model numbers</t>
  </si>
  <si>
    <t>Always read and understand any important information provided in the Notes table to determine if there are any application-specific details</t>
  </si>
  <si>
    <t>RP-G24Q-242H-1L-830-E1-KN-G2</t>
  </si>
  <si>
    <t>RP-G24Q-242H-1L-835-E1-KN-G2</t>
  </si>
  <si>
    <t>RP-G24Q-242H-1L-840-E1-KN-G2</t>
  </si>
  <si>
    <t>RP-G24Q-242H-1L-830-3W-KN-G2</t>
  </si>
  <si>
    <t>RP-G24Q-242H-1L-835-3W-KN-G2</t>
  </si>
  <si>
    <t>RP-G24Q-242H-1L-840-3W-KN-G2</t>
  </si>
  <si>
    <t>RP-G24Q-242H-1L-830-E1-K-G2</t>
  </si>
  <si>
    <t>RP-G24Q-242H-1L-835-E1-K-G2</t>
  </si>
  <si>
    <t>RP-G24Q-242H-1L-840-E1-K-G2</t>
  </si>
  <si>
    <t>RP-G24Q-242H-1L-830-3W-K-G2</t>
  </si>
  <si>
    <t>RP-G24Q-242H-1L-835-3W-K-G2</t>
  </si>
  <si>
    <t>RP-G24Q-242H-1L-840-3W-K-G2</t>
  </si>
  <si>
    <t>3-Lamp replace with 2 ballasts</t>
  </si>
  <si>
    <t>ELD4T8-2M30-q</t>
  </si>
  <si>
    <t>ELD4T8-2M35-q</t>
  </si>
  <si>
    <t>ELD4T8-2M40-q</t>
  </si>
  <si>
    <t>ELD4T5-2M30-q</t>
  </si>
  <si>
    <t>ELD4T5-2M35-q</t>
  </si>
  <si>
    <t>ELD4T5-2M40-q</t>
  </si>
  <si>
    <t>ELD4T5H-2M30-q</t>
  </si>
  <si>
    <t>ELD4T5H-2M35-q</t>
  </si>
  <si>
    <t>ELD4T5H-2M40-q</t>
  </si>
  <si>
    <t>ELDHCF-2K30-q</t>
  </si>
  <si>
    <t>ELDHCF-2K35-q</t>
  </si>
  <si>
    <t>ELDHCF-2K40-q</t>
  </si>
  <si>
    <t>3LD4T8-2M30-q</t>
  </si>
  <si>
    <t>3LD4T8-2M35-q</t>
  </si>
  <si>
    <t>3LD4T8-2M40-q</t>
  </si>
  <si>
    <t>3LD4T5-2M30-q</t>
  </si>
  <si>
    <t>3LD4T5-2M35-q</t>
  </si>
  <si>
    <t>3LD4T5-2M40-q</t>
  </si>
  <si>
    <t>3LD4T5H-2M30-q</t>
  </si>
  <si>
    <t>3LD4T5H-2M35-q</t>
  </si>
  <si>
    <t>3LD4T5H-2M40-q</t>
  </si>
  <si>
    <t>3LDHCF-2K30-q</t>
  </si>
  <si>
    <t>3LDHCF-2K35-q</t>
  </si>
  <si>
    <t>3LDHCF-2K40-q</t>
  </si>
  <si>
    <t>ELD4T8-1M30-q</t>
  </si>
  <si>
    <t>ELD4T8-1M35-q</t>
  </si>
  <si>
    <t>ELD4T8-1M40-q</t>
  </si>
  <si>
    <t>ELD4T5-1M30-q</t>
  </si>
  <si>
    <t>ELD4T5-1M35-q</t>
  </si>
  <si>
    <t>ELD4T5-1M40-q</t>
  </si>
  <si>
    <t>ELD4T5H-1M30-q</t>
  </si>
  <si>
    <t>ELD4T5H-1M35-q</t>
  </si>
  <si>
    <t>ELD4T5H-1M40-q</t>
  </si>
  <si>
    <t>ELDVCF-1K30-q</t>
  </si>
  <si>
    <t>ELDVCF-1K35-q</t>
  </si>
  <si>
    <t>ELDVCF-1K40-q</t>
  </si>
  <si>
    <t>ELDHCF-1K30-q</t>
  </si>
  <si>
    <t>ELDHCF-1K35-q</t>
  </si>
  <si>
    <t>ELDHCF-1K40-q</t>
  </si>
  <si>
    <t>3LD4T8-1M30-q</t>
  </si>
  <si>
    <t>3LD4T8-1M35-q</t>
  </si>
  <si>
    <t>3LD4T8-1M40-q</t>
  </si>
  <si>
    <t>3LD4T5-1M30-q</t>
  </si>
  <si>
    <t>3LD4T5-1M35-q</t>
  </si>
  <si>
    <t>3LD4T5-1M40-q</t>
  </si>
  <si>
    <t>3LD4T5H-1M30-q</t>
  </si>
  <si>
    <t>3LD4T5H-1M35-q</t>
  </si>
  <si>
    <t>3LD4T5H-1M40-q</t>
  </si>
  <si>
    <t>3LDVCF-1K30-q</t>
  </si>
  <si>
    <t>3LDVCF-1K35-q</t>
  </si>
  <si>
    <t>3LDVCF-1K40-q</t>
  </si>
  <si>
    <t>3LDHCF-1K30-q</t>
  </si>
  <si>
    <t>3LDHCF-1K35-q</t>
  </si>
  <si>
    <t>3LDHCF-1K40-q</t>
  </si>
  <si>
    <t>Corrected T4 42W 2-lamp ballasts to show a 1-lamp kit
Fixed 3-lamp BIAX to remove 3-wire options
Added note for 3-lamp 3-wire &amp; Eco US-based ballasts (without solution) that it can be replaced with two TLED kits
Added Lutron CFLs (for 1-lamp kits)
Added note and warning for Lutron model number single-unit kits; made model number generic with -q
Added 6th row of notes, needed for certain ballasts</t>
  </si>
  <si>
    <t>This 3-lamp ballast does not have a direct TLED substitution; consider using a 1-lamp and 2-lamp TLED kit instead.  Look up the 1-lamp and 2-lamp ballast model equivalents to determine their respective TLED equivalent.</t>
  </si>
  <si>
    <t>This tool contains ballasts that have been manufactured within the last 20 years.  For ballasts not on this tool, contact ledupgrades@lutron.com.  For more resources, see www.lutron.com/ballastupgrade.</t>
  </si>
  <si>
    <r>
      <t>Replacement</t>
    </r>
    <r>
      <rPr>
        <b/>
        <sz val="12"/>
        <color theme="4"/>
        <rFont val="Arial"/>
        <family val="2"/>
      </rPr>
      <t xml:space="preserve"> Lutron</t>
    </r>
    <r>
      <rPr>
        <b/>
        <sz val="12"/>
        <color theme="1"/>
        <rFont val="Arial"/>
        <family val="2"/>
      </rPr>
      <t xml:space="preserve"> Retrofit Kits </t>
    </r>
    <r>
      <rPr>
        <sz val="12"/>
        <color theme="1"/>
        <rFont val="Arial"/>
        <family val="2"/>
      </rPr>
      <t xml:space="preserve">(includes Lutron driver &amp; LED lamps; </t>
    </r>
    <r>
      <rPr>
        <b/>
        <sz val="12"/>
        <color theme="4"/>
        <rFont val="Arial"/>
        <family val="2"/>
      </rPr>
      <t>order from Lutron</t>
    </r>
    <r>
      <rPr>
        <sz val="12"/>
        <color theme="1"/>
        <rFont val="Arial"/>
        <family val="2"/>
      </rPr>
      <t>):</t>
    </r>
  </si>
  <si>
    <r>
      <t xml:space="preserve">Replacement </t>
    </r>
    <r>
      <rPr>
        <b/>
        <sz val="12"/>
        <color theme="5" tint="-0.249977111117893"/>
        <rFont val="Arial"/>
        <family val="2"/>
      </rPr>
      <t>C-Flex</t>
    </r>
    <r>
      <rPr>
        <b/>
        <sz val="12"/>
        <color theme="1"/>
        <rFont val="Arial"/>
        <family val="2"/>
      </rPr>
      <t xml:space="preserve"> Retrofit Kits</t>
    </r>
    <r>
      <rPr>
        <sz val="12"/>
        <color theme="1"/>
        <rFont val="Arial"/>
        <family val="2"/>
      </rPr>
      <t xml:space="preserve"> </t>
    </r>
    <r>
      <rPr>
        <sz val="11"/>
        <color theme="1"/>
        <rFont val="Arial"/>
        <family val="2"/>
      </rPr>
      <t xml:space="preserve">(includes Lutron driver &amp; LED lamps; </t>
    </r>
    <r>
      <rPr>
        <b/>
        <sz val="11"/>
        <color theme="5" tint="-0.249977111117893"/>
        <rFont val="Arial"/>
        <family val="2"/>
      </rPr>
      <t>order from Light Efficient Design</t>
    </r>
    <r>
      <rPr>
        <sz val="11"/>
        <color theme="1"/>
        <rFont val="Arial"/>
        <family val="2"/>
      </rPr>
      <t>)</t>
    </r>
    <r>
      <rPr>
        <b/>
        <sz val="12"/>
        <color theme="1"/>
        <rFont val="Arial"/>
        <family val="2"/>
      </rPr>
      <t>:</t>
    </r>
  </si>
  <si>
    <t>Rev K</t>
  </si>
  <si>
    <t>26H</t>
  </si>
  <si>
    <t>KN</t>
  </si>
  <si>
    <t>RP-G24Q-126H-1L-830-E1-KN-G2</t>
  </si>
  <si>
    <t>RP-G24Q-126H-1L-835-E1-KN-G2</t>
  </si>
  <si>
    <t>RP-G24Q-126H-1L-840-E1-KN-G2</t>
  </si>
  <si>
    <t>RP-G24Q-226H-2L-830-E1-KN-G2</t>
  </si>
  <si>
    <t>RP-G24Q-226H-2L-835-E1-KN-G2</t>
  </si>
  <si>
    <t>RP-G24Q-226H-2L-840-E1-KN-G2</t>
  </si>
  <si>
    <t>26V</t>
  </si>
  <si>
    <t>RP-G24Q-126V-1L-830-E1-KN-G2</t>
  </si>
  <si>
    <t>RP-G24Q-126V-1L-835-E1-KN-G2</t>
  </si>
  <si>
    <t>RP-G24Q-126V-1L-840-E1-KN-G2</t>
  </si>
  <si>
    <t>RP-G24Q-226V-2L-830-E1-K-G2</t>
  </si>
  <si>
    <t>RP-G24Q-226V-2L-830-E1-KN-G2</t>
  </si>
  <si>
    <t>RP-G24Q-226V-2L-835-E1-K-G2</t>
  </si>
  <si>
    <t>RP-G24Q-226V-2L-835-E1-KN-G2</t>
  </si>
  <si>
    <t>RP-G24Q-226V-2L-840-E1-K-G2</t>
  </si>
  <si>
    <t>RP-G24Q-226V-2L-840-E1-KN-G2</t>
  </si>
  <si>
    <t>P</t>
  </si>
  <si>
    <t>RP-G24Q-142V-1L-830-E1-K-G2</t>
  </si>
  <si>
    <t>RP-G24Q-142V-1L-830-E1-KN-G2</t>
  </si>
  <si>
    <t>RP-G24Q-142V-1L-835-E1-K-G2</t>
  </si>
  <si>
    <t>RP-G24Q-142V-1L-835-E1-KN-G2</t>
  </si>
  <si>
    <t>RP-G24Q-142V-1L-840-E1-K-G2</t>
  </si>
  <si>
    <t>RP-G24Q-142V-1L-840-E1-KN-G2</t>
  </si>
  <si>
    <t>P+V2H</t>
  </si>
  <si>
    <t>RP-G24Q-142H-1L-830-E1-K-G2</t>
  </si>
  <si>
    <t>RP-G24Q-142H-1L-830-E1-KN-G2</t>
  </si>
  <si>
    <t>RP-G24Q-142H-1L-835-E1-K-G2</t>
  </si>
  <si>
    <t>RP-G24Q-142H-1L-835-E1-KN-G2</t>
  </si>
  <si>
    <t>RP-G24Q-142H-1L-840-E1-K-G2</t>
  </si>
  <si>
    <t>RP-G24Q-142H-1L-840-E1-KN-G2</t>
  </si>
  <si>
    <t>R</t>
  </si>
  <si>
    <t>RP-G24Q-132V-1L-830-E1-K-G2</t>
  </si>
  <si>
    <t>RP-G24Q-132V-1L-830-E1-KN-G2</t>
  </si>
  <si>
    <t>RP-G24Q-132V-1L-835-E1-K-G2</t>
  </si>
  <si>
    <t>RP-G24Q-132V-1L-835-E1-KN-G2</t>
  </si>
  <si>
    <t>RP-G24Q-132V-1L-840-E1-K-G2</t>
  </si>
  <si>
    <t>RP-G24Q-132V-1L-840-E1-KN-G2</t>
  </si>
  <si>
    <t>R+V2H</t>
  </si>
  <si>
    <t>RP-G24Q-132H-1L-830-E1-K-G2</t>
  </si>
  <si>
    <t>RP-G24Q-132H-1L-830-E1-KN-G2</t>
  </si>
  <si>
    <t>RP-G24Q-132H-1L-835-E1-K-G2</t>
  </si>
  <si>
    <t>RP-G24Q-132H-1L-835-E1-KN-G2</t>
  </si>
  <si>
    <t>RP-G24Q-132H-1L-840-E1-K-G2</t>
  </si>
  <si>
    <t>RP-G24Q-132H-1L-840-E1-KN-G2</t>
  </si>
  <si>
    <t>single length</t>
  </si>
  <si>
    <t>RP-PLL-2.5K-1L-850-E1-M-G2</t>
  </si>
  <si>
    <t>RP-PLL-5.0K-2L-850-E1-M-G2</t>
  </si>
  <si>
    <t>RP-PLL-7.5K-3L-850-E1-M-G2</t>
  </si>
  <si>
    <t>RP-T5-2FT-1L-850-E1-M-G2</t>
  </si>
  <si>
    <t>RP-T5-2FT-2L-850-E1-M-G2</t>
  </si>
  <si>
    <t>RP-T5-3FT-1L-850-E1-M-G2</t>
  </si>
  <si>
    <t>RP-T5-3FT-2L-850-E1-M-G2</t>
  </si>
  <si>
    <t>RP-T5-4FT-1L-850-E1-M-G2</t>
  </si>
  <si>
    <t>RP-T5-4FT-2L-850-E1-M-G2</t>
  </si>
  <si>
    <t>RP-T5HO-2FT-1L-850-E1-M-G2</t>
  </si>
  <si>
    <t>RP-T5HO-2FT-2L-850-E1-M-G2</t>
  </si>
  <si>
    <t>RP-T5HO-2FT-3L-830-E1-M-G2</t>
  </si>
  <si>
    <t>RP-T5HO-2FT-3L-835-E1-M-G2</t>
  </si>
  <si>
    <t>RP-T5HO-2FT-3L-840-E1-M-G2</t>
  </si>
  <si>
    <t>RP-T5HO-2FT-3L-850-E1-M-G2</t>
  </si>
  <si>
    <t>RP-T5HO-3FT-1L-850-E1-M-G2</t>
  </si>
  <si>
    <t>RP-T5HO-3FT-2L-850-E1-M-G2</t>
  </si>
  <si>
    <t>RP-T5HO-3FT-3L-830-E1-M-G2</t>
  </si>
  <si>
    <t>RP-T5HO-3FT-3L-835-E1-M-G2</t>
  </si>
  <si>
    <t>RP-T5HO-3FT-3L-840-E1-M-G2</t>
  </si>
  <si>
    <t>RP-T5HO-3FT-3L-850-E1-M-G2</t>
  </si>
  <si>
    <t>RP-T5HO-4FT-1L-850-E1-M-G2</t>
  </si>
  <si>
    <t>RP-T5HO-4FT-2L-850-E1-M-G2</t>
  </si>
  <si>
    <t>RP-T8-2FT-1L-850-E1-M-G2</t>
  </si>
  <si>
    <t>RP-T8-2FT-2L-850-E1-M-G2</t>
  </si>
  <si>
    <t>RP-T8-2FT-3L-850-E1-M-G2</t>
  </si>
  <si>
    <t>RP-T8-3FT-1L-850-E1-M-G2</t>
  </si>
  <si>
    <t>RP-T8-3FT-2L-850-E1-M-G2</t>
  </si>
  <si>
    <t>RP-T8-3FT-3L-830-E1-M-G2</t>
  </si>
  <si>
    <t>RP-T8-3FT-3L-835-E1-M-G2</t>
  </si>
  <si>
    <t>RP-T8-3FT-3L-840-E1-M-G2</t>
  </si>
  <si>
    <t>RP-T8-3FT-3L-850-E1-M-G2</t>
  </si>
  <si>
    <t>RP-T8-4FT-1L-850-E1-M-G2</t>
  </si>
  <si>
    <t>RP-T8-4FT-2L-850-E1-M-G2</t>
  </si>
  <si>
    <t>RP-T8-4FT-3L-850-E1-M-G2</t>
  </si>
  <si>
    <t>RP-T8HO-4FT-1L-830-E1-M-G2</t>
  </si>
  <si>
    <t>RP-T8HO-4FT-1L-835-E1-M-G2</t>
  </si>
  <si>
    <t>RP-T8HO-4FT-1L-840-E1-M-G2</t>
  </si>
  <si>
    <t>RP-T8HO-4FT-1L-850-E1-M-G2</t>
  </si>
  <si>
    <t>RP-T8HO-4FT-2L-830-E1-M-G2</t>
  </si>
  <si>
    <t>RP-T8HO-4FT-2L-835-E1-M-G2</t>
  </si>
  <si>
    <t>RP-T8HO-4FT-2L-840-E1-M-G2</t>
  </si>
  <si>
    <t>RP-T8HO-4FT-2L-850-E1-M-G2</t>
  </si>
  <si>
    <t>RP-T8HO-4FT-3L-830-E1-M-G2</t>
  </si>
  <si>
    <t>RP-T8HO-4FT-3L-835-E1-M-G2</t>
  </si>
  <si>
    <t>RP-T8HO-4FT-3L-840-E1-M-G2</t>
  </si>
  <si>
    <t>RP-T8HO-4FT-3L-850-E1-M-G2</t>
  </si>
  <si>
    <t>G24Q</t>
  </si>
  <si>
    <t>PLL</t>
  </si>
  <si>
    <t>T8HO</t>
  </si>
  <si>
    <t>RP-G24Q-126H-1L-830-3W-KN-G2</t>
  </si>
  <si>
    <t>RP-G24Q-126H-1L-835-3W-KN-G2</t>
  </si>
  <si>
    <t>RP-G24Q-126H-1L-840-3W-KN-G2</t>
  </si>
  <si>
    <t>RP-G24Q-226H-2L-830-3W-KN-G2</t>
  </si>
  <si>
    <t>RP-G24Q-226H-2L-835-3W-KN-G2</t>
  </si>
  <si>
    <t>RP-G24Q-226H-2L-840-3W-KN-G2</t>
  </si>
  <si>
    <t>RP-G24Q-126V-1L-830-3W-KN-G2</t>
  </si>
  <si>
    <t>RP-G24Q-126V-1L-835-3W-KN-G2</t>
  </si>
  <si>
    <t>RP-G24Q-126V-1L-840-3W-KN-G2</t>
  </si>
  <si>
    <t>RP-G24Q-226V-2L-830-3W-K-G2</t>
  </si>
  <si>
    <t>RP-G24Q-226V-2L-830-3W-KN-G2</t>
  </si>
  <si>
    <t>RP-G24Q-226V-2L-835-3W-K-G2</t>
  </si>
  <si>
    <t>RP-G24Q-226V-2L-835-3W-KN-G2</t>
  </si>
  <si>
    <t>RP-G24Q-226V-2L-840-3W-K-G2</t>
  </si>
  <si>
    <t>RP-G24Q-226V-2L-840-3W-KN-G2</t>
  </si>
  <si>
    <t>RP-G24Q-142V-1L-830-3W-K-G2</t>
  </si>
  <si>
    <t>RP-G24Q-142V-1L-830-3W-KN-G2</t>
  </si>
  <si>
    <t>RP-G24Q-142V-1L-835-3W-K-G2</t>
  </si>
  <si>
    <t>RP-G24Q-142V-1L-835-3W-KN-G2</t>
  </si>
  <si>
    <t>RP-G24Q-142V-1L-840-3W-K-G2</t>
  </si>
  <si>
    <t>RP-G24Q-142V-1L-840-3W-KN-G2</t>
  </si>
  <si>
    <t>RP-G24Q-142H-1L-830-3W-K-G2</t>
  </si>
  <si>
    <t>RP-G24Q-142H-1L-830-3W-KN-G2</t>
  </si>
  <si>
    <t>RP-G24Q-142H-1L-835-3W-K-G2</t>
  </si>
  <si>
    <t>RP-G24Q-142H-1L-835-3W-KN-G2</t>
  </si>
  <si>
    <t>RP-G24Q-142H-1L-840-3W-K-G2</t>
  </si>
  <si>
    <t>RP-G24Q-142H-1L-840-3W-KN-G2</t>
  </si>
  <si>
    <t>RP-G24Q-132V-1L-830-3W-K-G2</t>
  </si>
  <si>
    <t>RP-G24Q-132V-1L-830-3W-KN-G2</t>
  </si>
  <si>
    <t>RP-G24Q-132V-1L-835-3W-K-G2</t>
  </si>
  <si>
    <t>RP-G24Q-132V-1L-835-3W-KN-G2</t>
  </si>
  <si>
    <t>RP-G24Q-132V-1L-840-3W-K-G2</t>
  </si>
  <si>
    <t>RP-G24Q-132V-1L-840-3W-KN-G2</t>
  </si>
  <si>
    <t>RP-G24Q-132H-1L-830-3W-K-G2</t>
  </si>
  <si>
    <t>RP-G24Q-132H-1L-830-3W-KN-G2</t>
  </si>
  <si>
    <t>RP-G24Q-132H-1L-835-3W-K-G2</t>
  </si>
  <si>
    <t>RP-G24Q-132H-1L-835-3W-KN-G2</t>
  </si>
  <si>
    <t>RP-G24Q-132H-1L-840-3W-K-G2</t>
  </si>
  <si>
    <t>RP-G24Q-132H-1L-840-3W-KN-G2</t>
  </si>
  <si>
    <t>RP-PLL-2.5K-1L-850-3W-M-G2</t>
  </si>
  <si>
    <t>RP-PLL-5.0K-2L-850-3W-M-G2</t>
  </si>
  <si>
    <t>RP-T5-2FT-1L-850-3W-M-G2</t>
  </si>
  <si>
    <t>RP-T5-2FT-2L-850-3W-M-G2</t>
  </si>
  <si>
    <t>RP-T5-3FT-1L-850-3W-M-G2</t>
  </si>
  <si>
    <t>RP-T5-3FT-2L-850-3W-M-G2</t>
  </si>
  <si>
    <t>RP-T5-4FT-1L-850-3W-M-G2</t>
  </si>
  <si>
    <t>RP-T5-4FT-2L-850-3W-M-G2</t>
  </si>
  <si>
    <t>RP-T5HO-2FT-1L-850-3W-M-G2</t>
  </si>
  <si>
    <t>RP-T5HO-2FT-2L-850-3W-M-G2</t>
  </si>
  <si>
    <t>RP-T5HO-2FT-3L-830-3W-M-G2</t>
  </si>
  <si>
    <t>RP-T5HO-2FT-3L-835-3W-M-G2</t>
  </si>
  <si>
    <t>RP-T5HO-2FT-3L-840-3W-M-G2</t>
  </si>
  <si>
    <t>RP-T5HO-2FT-3L-850-3W-M-G2</t>
  </si>
  <si>
    <t>RP-T5HO-3FT-1L-850-3W-M-G2</t>
  </si>
  <si>
    <t>RP-T5HO-3FT-2L-850-3W-M-G2</t>
  </si>
  <si>
    <t>RP-T5HO-3FT-3L-830-3W-M-G2</t>
  </si>
  <si>
    <t>RP-T5HO-3FT-3L-835-3W-M-G2</t>
  </si>
  <si>
    <t>RP-T5HO-3FT-3L-840-3W-M-G2</t>
  </si>
  <si>
    <t>RP-T5HO-3FT-3L-850-3W-M-G2</t>
  </si>
  <si>
    <t>RP-T5HO-4FT-1L-850-3W-M-G2</t>
  </si>
  <si>
    <t>RP-T5HO-4FT-2L-850-3W-M-G2</t>
  </si>
  <si>
    <t>RP-T8-2FT-1L-850-3W-M-G2</t>
  </si>
  <si>
    <t>RP-T8-2FT-2L-850-3W-M-G2</t>
  </si>
  <si>
    <t>RP-T8-2FT-3L-850-3W-M-G2</t>
  </si>
  <si>
    <t>RP-T8-3FT-1L-850-3W-M-G2</t>
  </si>
  <si>
    <t>RP-T8-3FT-2L-850-3W-M-G2</t>
  </si>
  <si>
    <t>RP-T8-3FT-3L-850-3W-M-G2</t>
  </si>
  <si>
    <t>RP-T8-4FT-1L-850-3W-M-G2</t>
  </si>
  <si>
    <t>RP-T8-4FT-2L-850-3W-M-G2</t>
  </si>
  <si>
    <t>RP-T8-4FT-3L-850-3W-M-G2</t>
  </si>
  <si>
    <t>RP-T8HO-4FT-1L-830-3W-M-G2</t>
  </si>
  <si>
    <t>RP-T8HO-4FT-1L-835-3W-M-G2</t>
  </si>
  <si>
    <t>RP-T8HO-4FT-1L-840-3W-M-G2</t>
  </si>
  <si>
    <t>RP-T8HO-4FT-1L-850-3W-M-G2</t>
  </si>
  <si>
    <t>RP-T8HO-4FT-2L-830-3W-M-G2</t>
  </si>
  <si>
    <t>RP-T8HO-4FT-2L-835-3W-M-G2</t>
  </si>
  <si>
    <t>RP-T8HO-4FT-2L-840-3W-M-G2</t>
  </si>
  <si>
    <t>RP-T8HO-4FT-2L-850-3W-M-G2</t>
  </si>
  <si>
    <t>Lutron Kit PN with BMF</t>
  </si>
  <si>
    <t>Sensor on ballast:</t>
  </si>
  <si>
    <t>CFL lamp wattage:</t>
  </si>
  <si>
    <t>Lamp CCT:</t>
  </si>
  <si>
    <t>Packaging:</t>
  </si>
  <si>
    <t>Recommended Lutron Kit:</t>
  </si>
  <si>
    <t>Control Type:</t>
  </si>
  <si>
    <t>ELDHCF-2C30-q</t>
  </si>
  <si>
    <t>ELDHCF-2C35-q</t>
  </si>
  <si>
    <t>ELDHCF-2C40-q</t>
  </si>
  <si>
    <t>ELDVCF-2K30-q</t>
  </si>
  <si>
    <t>ELDVCF-2C30-q</t>
  </si>
  <si>
    <t>ELDVCF-2K35-q</t>
  </si>
  <si>
    <t>ELDVCF-2C35-q</t>
  </si>
  <si>
    <t>ELDVCF-2K40-q</t>
  </si>
  <si>
    <t>ELDVCF-2C40-q</t>
  </si>
  <si>
    <t>ELD-TT-2M30-q</t>
  </si>
  <si>
    <t>ELD-TT-2M35-q</t>
  </si>
  <si>
    <t>ELD-TT-2M40-q</t>
  </si>
  <si>
    <t>ELD-TT-2M50-q</t>
  </si>
  <si>
    <t>ELD2T5-2M30-q</t>
  </si>
  <si>
    <t>ELD2T5-2M35-q</t>
  </si>
  <si>
    <t>ELD2T5-2M40-q</t>
  </si>
  <si>
    <t>ELD2T5-2M50-q</t>
  </si>
  <si>
    <t>ELD3T5-2M30-q</t>
  </si>
  <si>
    <t>ELD3T5-2M35-q</t>
  </si>
  <si>
    <t>ELD3T5-2M40-q</t>
  </si>
  <si>
    <t>ELD3T5-2M50-q</t>
  </si>
  <si>
    <t>ELD4T5-2M50-q</t>
  </si>
  <si>
    <t>ELD2T5H-2M30-q</t>
  </si>
  <si>
    <t>ELD2T5H-2M35-q</t>
  </si>
  <si>
    <t>ELD2T5H-2M40-q</t>
  </si>
  <si>
    <t>ELD2T5H-2M50-q</t>
  </si>
  <si>
    <t>ELD3T5H-2M30-q</t>
  </si>
  <si>
    <t>ELD3T5H-2M35-q</t>
  </si>
  <si>
    <t>ELD3T5H-2M40-q</t>
  </si>
  <si>
    <t>ELD3T5H-2M50-q</t>
  </si>
  <si>
    <t>ELD4T5H-2M50-q</t>
  </si>
  <si>
    <t>ELD2T8-2M30-q</t>
  </si>
  <si>
    <t>ELD2T8-2M35-q</t>
  </si>
  <si>
    <t>ELD2T8-2M40-q</t>
  </si>
  <si>
    <t>ELD2T8-2M50-q</t>
  </si>
  <si>
    <t>ELD3T8-2M30-q</t>
  </si>
  <si>
    <t>ELD3T8-2M35-q</t>
  </si>
  <si>
    <t>ELD3T8-2M40-q</t>
  </si>
  <si>
    <t>ELD3T8-2M50-q</t>
  </si>
  <si>
    <t>ELD4T8-2M50-q</t>
  </si>
  <si>
    <t>ELD4T8H-2M30-q</t>
  </si>
  <si>
    <t>ELD4T8H-2M35-q</t>
  </si>
  <si>
    <t>ELD4T8H-2M40-q</t>
  </si>
  <si>
    <t>ELD4T8H-2M50-q</t>
  </si>
  <si>
    <t>3LDHCF-2C30-q</t>
  </si>
  <si>
    <t>3LDHCF-2C35-q</t>
  </si>
  <si>
    <t>3LDHCF-2C40-q</t>
  </si>
  <si>
    <t>3LDVCF-2K30-q</t>
  </si>
  <si>
    <t>3LDVCF-2C30-q</t>
  </si>
  <si>
    <t>3LDVCF-2K35-q</t>
  </si>
  <si>
    <t>3LDVCF-2C35-q</t>
  </si>
  <si>
    <t>3LDVCF-2K40-q</t>
  </si>
  <si>
    <t>3LDVCF-2C40-q</t>
  </si>
  <si>
    <t>3LD-TT-2M30-q</t>
  </si>
  <si>
    <t>3LD-TT-2M35-q</t>
  </si>
  <si>
    <t>3LD-TT-2M40-q</t>
  </si>
  <si>
    <t>3LD-TT-2M50-q</t>
  </si>
  <si>
    <t>3LD2T5-2M30-q</t>
  </si>
  <si>
    <t>3LD2T5-2M35-q</t>
  </si>
  <si>
    <t>3LD2T5-2M40-q</t>
  </si>
  <si>
    <t>3LD2T5-2M50-q</t>
  </si>
  <si>
    <t>3LD3T5-2M30-q</t>
  </si>
  <si>
    <t>3LD3T5-2M35-q</t>
  </si>
  <si>
    <t>3LD3T5-2M40-q</t>
  </si>
  <si>
    <t>3LD3T5-2M50-q</t>
  </si>
  <si>
    <t>3LD4T5-2M50-q</t>
  </si>
  <si>
    <t>3LD2T5H-2M30-q</t>
  </si>
  <si>
    <t>3LD2T5H-2M35-q</t>
  </si>
  <si>
    <t>3LD2T5H-2M40-q</t>
  </si>
  <si>
    <t>3LD2T5H-2M50-q</t>
  </si>
  <si>
    <t>3LD3T5H-2M30-q</t>
  </si>
  <si>
    <t>3LD3T5H-2M35-q</t>
  </si>
  <si>
    <t>3LD3T5H-2M40-q</t>
  </si>
  <si>
    <t>3LD3T5H-2M50-q</t>
  </si>
  <si>
    <t>3LD4T5H-2M50-q</t>
  </si>
  <si>
    <t>3LD2T8-2M30-q</t>
  </si>
  <si>
    <t>3LD2T8-2M35-q</t>
  </si>
  <si>
    <t>3LD2T8-2M40-q</t>
  </si>
  <si>
    <t>3LD2T8-2M50-q</t>
  </si>
  <si>
    <t>3LD3T8-2M30-q</t>
  </si>
  <si>
    <t>3LD3T8-2M35-q</t>
  </si>
  <si>
    <t>3LD3T8-2M40-q</t>
  </si>
  <si>
    <t>3LD3T8-2M50-q</t>
  </si>
  <si>
    <t>3LD4T8-2M50-q</t>
  </si>
  <si>
    <t>3LD4T8H-2M30-q</t>
  </si>
  <si>
    <t>3LD4T8H-2M35-q</t>
  </si>
  <si>
    <t>3LD4T8H-2M40-q</t>
  </si>
  <si>
    <t>3LD4T8H-2M50-q</t>
  </si>
  <si>
    <t>ELDHCF-1C30-q</t>
  </si>
  <si>
    <t>ELDHCF-1C35-q</t>
  </si>
  <si>
    <t>ELDHCF-1C40-q</t>
  </si>
  <si>
    <t>ELDVCF-1C30-q</t>
  </si>
  <si>
    <t>ELDVCF-1C35-q</t>
  </si>
  <si>
    <t>ELDVCF-1C40-q</t>
  </si>
  <si>
    <t>ELDPCF-1K30-q</t>
  </si>
  <si>
    <t>ELDPCF-1C30-q</t>
  </si>
  <si>
    <t>ELDPCF-1K35-q</t>
  </si>
  <si>
    <t>ELDPCF-1C35-q</t>
  </si>
  <si>
    <t>ELDPCF-1K40-q</t>
  </si>
  <si>
    <t>ELDPCF-1C40-q</t>
  </si>
  <si>
    <t>ELDPCA-1K30-q</t>
  </si>
  <si>
    <t>ELDPCA-1C30-q</t>
  </si>
  <si>
    <t>ELDPCAH-1K30-q</t>
  </si>
  <si>
    <t>ELDPCAH-1C30-q</t>
  </si>
  <si>
    <t>ELDPCA-1K35-q</t>
  </si>
  <si>
    <t>ELDPCA-1C35-q</t>
  </si>
  <si>
    <t>ELDPCAH-1K35-q</t>
  </si>
  <si>
    <t>ELDPCAH-1C35-q</t>
  </si>
  <si>
    <t>ELDPCA-1K40-q</t>
  </si>
  <si>
    <t>ELDPCA-1C40-q</t>
  </si>
  <si>
    <t>ELDPCAH-1K40-q</t>
  </si>
  <si>
    <t>ELDPCAH-1C40-q</t>
  </si>
  <si>
    <t>ELDRCF-1K30-q</t>
  </si>
  <si>
    <t>ELDRCF-1C30-q</t>
  </si>
  <si>
    <t>ELDRCF-1K35-q</t>
  </si>
  <si>
    <t>ELDRCF-1C35-q</t>
  </si>
  <si>
    <t>ELDRCF-1K40-q</t>
  </si>
  <si>
    <t>ELDRCF-1C40-q</t>
  </si>
  <si>
    <t>ELDRCA-1K30-q</t>
  </si>
  <si>
    <t>ELDRCA-1C30-q</t>
  </si>
  <si>
    <t>ELDRCA-1K35-q</t>
  </si>
  <si>
    <t>ELDRCA-1C35-q</t>
  </si>
  <si>
    <t>ELDRCA-1K40-q</t>
  </si>
  <si>
    <t>ELDRCA-1C40-q</t>
  </si>
  <si>
    <t>ELD-TT-1M30-q</t>
  </si>
  <si>
    <t>ELD-TT-1M35-q</t>
  </si>
  <si>
    <t>ELD-TT-1M40-q</t>
  </si>
  <si>
    <t>ELD-TT-1M50-q</t>
  </si>
  <si>
    <t>ELD2T5-1M30-q</t>
  </si>
  <si>
    <t>ELD2T5-1M35-q</t>
  </si>
  <si>
    <t>ELD2T5-1M40-q</t>
  </si>
  <si>
    <t>ELD2T5-1M50-q</t>
  </si>
  <si>
    <t>ELD3T5-1M30-q</t>
  </si>
  <si>
    <t>ELD3T5-1M35-q</t>
  </si>
  <si>
    <t>ELD3T5-1M40-q</t>
  </si>
  <si>
    <t>ELD3T5-1M50-q</t>
  </si>
  <si>
    <t>ELD4T5-1M50-q</t>
  </si>
  <si>
    <t>ELD2T5H-1M30-q</t>
  </si>
  <si>
    <t>ELD2T5H-1M35-q</t>
  </si>
  <si>
    <t>ELD2T5H-1M40-q</t>
  </si>
  <si>
    <t>ELD2T5H-1M50-q</t>
  </si>
  <si>
    <t>ELD3T5H-1M30-q</t>
  </si>
  <si>
    <t>ELD3T5H-1M35-q</t>
  </si>
  <si>
    <t>ELD3T5H-1M40-q</t>
  </si>
  <si>
    <t>ELD3T5H-1M50-q</t>
  </si>
  <si>
    <t>ELD4T5H-1M50-q</t>
  </si>
  <si>
    <t>ELD2T8-1M30-q</t>
  </si>
  <si>
    <t>ELD2T8-1M35-q</t>
  </si>
  <si>
    <t>ELD2T8-1M40-q</t>
  </si>
  <si>
    <t>ELD2T8-1M50-q</t>
  </si>
  <si>
    <t>ELD3T8-1M30-q</t>
  </si>
  <si>
    <t>ELD3T8-1M35-q</t>
  </si>
  <si>
    <t>ELD3T8-1M40-q</t>
  </si>
  <si>
    <t>ELD3T8-1M50-q</t>
  </si>
  <si>
    <t>ELD4T8-1M50-q</t>
  </si>
  <si>
    <t>ELD4T8H-1M30-q</t>
  </si>
  <si>
    <t>ELD4T8H-1M35-q</t>
  </si>
  <si>
    <t>ELD4T8H-1M50-q</t>
  </si>
  <si>
    <t>3LDHCF-1C30-q</t>
  </si>
  <si>
    <t>3LDHCF-1C35-q</t>
  </si>
  <si>
    <t>3LDHCF-1C40-q</t>
  </si>
  <si>
    <t>3LDVCF-1C30-q</t>
  </si>
  <si>
    <t>3LDVCF-1C35-q</t>
  </si>
  <si>
    <t>3LDVCF-1C40-q</t>
  </si>
  <si>
    <t>3LDPCF-1K30-q</t>
  </si>
  <si>
    <t>3LDPCF-1C30-q</t>
  </si>
  <si>
    <t>3LDPCF-1K35-q</t>
  </si>
  <si>
    <t>3LDPCF-1C35-q</t>
  </si>
  <si>
    <t>3LDPCF-1K40-q</t>
  </si>
  <si>
    <t>3LDPCF-1C40-q</t>
  </si>
  <si>
    <t>3LDPCA-1K30-q</t>
  </si>
  <si>
    <t>3LDPCA-1C30-q</t>
  </si>
  <si>
    <t>3LDPCAH-1K30-q</t>
  </si>
  <si>
    <t>3LDPCAH-1C30-q</t>
  </si>
  <si>
    <t>3LDPCA-1K35-q</t>
  </si>
  <si>
    <t>3LDPCA-1C35-q</t>
  </si>
  <si>
    <t>3LDPCAH-1K35-q</t>
  </si>
  <si>
    <t>3LDPCAH-1C35-q</t>
  </si>
  <si>
    <t>3LDPCA-1K40-q</t>
  </si>
  <si>
    <t>3LDPCA-1C40-q</t>
  </si>
  <si>
    <t>3LDPCAH-1K40-q</t>
  </si>
  <si>
    <t>3LDPCAH-1C40-q</t>
  </si>
  <si>
    <t>3LDRCF-1K30-q</t>
  </si>
  <si>
    <t>3LDRCF-1C30-q</t>
  </si>
  <si>
    <t>3LDRCF-1K35-q</t>
  </si>
  <si>
    <t>3LDRCF-1C35-q</t>
  </si>
  <si>
    <t>3LDRCF-1K40-q</t>
  </si>
  <si>
    <t>3LDRCF-1C40-q</t>
  </si>
  <si>
    <t>3LDRCA-1K30-q</t>
  </si>
  <si>
    <t>3LDRCA-1C30-q</t>
  </si>
  <si>
    <t>3LDRCA-1K35-q</t>
  </si>
  <si>
    <t>3LDRCA-1C35-q</t>
  </si>
  <si>
    <t>3LDRCA-1K40-q</t>
  </si>
  <si>
    <t>3LDRCA-1C40-q</t>
  </si>
  <si>
    <t>3LD-TT-1M30-q</t>
  </si>
  <si>
    <t>3LD-TT-1M35-q</t>
  </si>
  <si>
    <t>3LD-TT-1M40-q</t>
  </si>
  <si>
    <t>3LD-TT-1M50-q</t>
  </si>
  <si>
    <t>3LD2T5-1M30-q</t>
  </si>
  <si>
    <t>3LD2T5-1M35-q</t>
  </si>
  <si>
    <t>3LD2T5-1M40-q</t>
  </si>
  <si>
    <t>3LD2T5-1M50-q</t>
  </si>
  <si>
    <t>3LD3T5-1M30-q</t>
  </si>
  <si>
    <t>3LD3T5-1M35-q</t>
  </si>
  <si>
    <t>3LD3T5-1M40-q</t>
  </si>
  <si>
    <t>3LD3T5-1M50-q</t>
  </si>
  <si>
    <t>3LD4T5-1M50-q</t>
  </si>
  <si>
    <t>3LD2T5H-1M30-q</t>
  </si>
  <si>
    <t>3LD2T5H-1M35-q</t>
  </si>
  <si>
    <t>3LD2T5H-1M40-q</t>
  </si>
  <si>
    <t>3LD2T5H-1M50-q</t>
  </si>
  <si>
    <t>3LD3T5H-1M30-q</t>
  </si>
  <si>
    <t>3LD3T5H-1M35-q</t>
  </si>
  <si>
    <t>3LD3T5H-1M40-q</t>
  </si>
  <si>
    <t>3LD3T5H-1M50-q</t>
  </si>
  <si>
    <t>3LD4T5H-1M50-q</t>
  </si>
  <si>
    <t>3LD2T8-1M30-q</t>
  </si>
  <si>
    <t>3LD2T8-1M35-q</t>
  </si>
  <si>
    <t>3LD2T8-1M40-q</t>
  </si>
  <si>
    <t>3LD2T8-1M50-q</t>
  </si>
  <si>
    <t>3LD3T8-1M30-q</t>
  </si>
  <si>
    <t>3LD3T8-1M35-q</t>
  </si>
  <si>
    <t>3LD3T8-1M40-q</t>
  </si>
  <si>
    <t>3LD3T8-1M50-q</t>
  </si>
  <si>
    <t>3LD4T8-1M50-q</t>
  </si>
  <si>
    <t>3LD4T8H-1M30-q</t>
  </si>
  <si>
    <t>3LD4T8H-1M35-q</t>
  </si>
  <si>
    <t>3LD4T8H-1M50-q</t>
  </si>
  <si>
    <t>ELD-TT-3M30-q</t>
  </si>
  <si>
    <t>ELD-TT-3M35-q</t>
  </si>
  <si>
    <t>ELD-TT-3M40-q</t>
  </si>
  <si>
    <t>ELD-TT-3M50-q</t>
  </si>
  <si>
    <t>ELD2T5H-3M30-q</t>
  </si>
  <si>
    <t>ELD2T5H-3M35-q</t>
  </si>
  <si>
    <t>ELD2T5H-3M40-q</t>
  </si>
  <si>
    <t>ELD2T5H-3M50-q</t>
  </si>
  <si>
    <t>ELD3T5H-3M30-q</t>
  </si>
  <si>
    <t>ELD3T5H-3M35-q</t>
  </si>
  <si>
    <t>ELD3T5H-3M40-q</t>
  </si>
  <si>
    <t>ELD3T5H-3M50-q</t>
  </si>
  <si>
    <t>ELD2T8-3M30-q</t>
  </si>
  <si>
    <t>ELD2T8-3M35-q</t>
  </si>
  <si>
    <t>ELD2T8-3M40-q</t>
  </si>
  <si>
    <t>ELD2T8-3M50-q</t>
  </si>
  <si>
    <t>ELD3T8-3M30-q</t>
  </si>
  <si>
    <t>ELD3T8-3M35-q</t>
  </si>
  <si>
    <t>ELD3T8-3M40-q</t>
  </si>
  <si>
    <t>ELD3T8-3M50-q</t>
  </si>
  <si>
    <t>ELD4T8-3M30-q</t>
  </si>
  <si>
    <t>ELD4T8-3M35-q</t>
  </si>
  <si>
    <t>ELD4T8-3M40-q</t>
  </si>
  <si>
    <t>ELD4T8-3M50-q</t>
  </si>
  <si>
    <t>ELD4T5H-3M30-q</t>
  </si>
  <si>
    <t>ELD4T5H-3M35-q</t>
  </si>
  <si>
    <t>ELD4T5H-3M40-q</t>
  </si>
  <si>
    <t>ELD4T5H-3M50-q</t>
  </si>
  <si>
    <t>3LD2T5H-3M30-q</t>
  </si>
  <si>
    <t>3LD2T5H-3M35-q</t>
  </si>
  <si>
    <t>3LD2T5H-3M40-q</t>
  </si>
  <si>
    <t>3LD2T5H-3M50-q</t>
  </si>
  <si>
    <t>3LD3T5H-3M30-q</t>
  </si>
  <si>
    <t>3LD3T5H-3M35-q</t>
  </si>
  <si>
    <t>3LD3T5H-3M40-q</t>
  </si>
  <si>
    <t>3LD3T5H-3M50-q</t>
  </si>
  <si>
    <t>3LD2T8-3M30-q</t>
  </si>
  <si>
    <t>3LD2T8-3M35-q</t>
  </si>
  <si>
    <t>3LD2T8-3M40-q</t>
  </si>
  <si>
    <t>3LD2T8-3M50-q</t>
  </si>
  <si>
    <t>3LD3T8-3M30-q</t>
  </si>
  <si>
    <t>3LD3T8-3M35-q</t>
  </si>
  <si>
    <t>3LD3T8-3M40-q</t>
  </si>
  <si>
    <t>3LD3T8-3M50-q</t>
  </si>
  <si>
    <t>3LD4T8-3M30-q</t>
  </si>
  <si>
    <t>3LD4T8-3M35-q</t>
  </si>
  <si>
    <t>3LD4T8-3M40-q</t>
  </si>
  <si>
    <t>3LD4T8-3M50-q</t>
  </si>
  <si>
    <t>Kits per Case</t>
  </si>
  <si>
    <t>Case Quantity</t>
  </si>
  <si>
    <t/>
  </si>
  <si>
    <t>3-Wire C-Flex Kit Base</t>
  </si>
  <si>
    <t>EcoSystem C-Flex Kit Base</t>
  </si>
  <si>
    <t>Horizontal</t>
  </si>
  <si>
    <t>Lutron Kit PN</t>
  </si>
  <si>
    <t>CFL mounting direction:</t>
  </si>
  <si>
    <t>3BT4T8-2M30-q</t>
  </si>
  <si>
    <t>3BT4T8-2M35-q</t>
  </si>
  <si>
    <t>3BT4T8-2M40-q</t>
  </si>
  <si>
    <t>3BT4T5-2M30-q</t>
  </si>
  <si>
    <t>3BT4T5-2M35-q</t>
  </si>
  <si>
    <t>3BT4T5-2M40-q</t>
  </si>
  <si>
    <t>3BT4T5H-2M30-q</t>
  </si>
  <si>
    <t>3BT4T5H-2M35-q</t>
  </si>
  <si>
    <t>3BT4T5H-2M40-q</t>
  </si>
  <si>
    <t>3BT2T5H-3M30-q</t>
  </si>
  <si>
    <t>3BT2T5H-3M35-q</t>
  </si>
  <si>
    <t>3BT2T5H-3M40-q</t>
  </si>
  <si>
    <t>3BT2T5H-3M50-q</t>
  </si>
  <si>
    <t>3BT3T5H-3M30-q</t>
  </si>
  <si>
    <t>3BT3T5H-3M35-q</t>
  </si>
  <si>
    <t>3BT3T5H-3M40-q</t>
  </si>
  <si>
    <t>3BT3T5H-3M50-q</t>
  </si>
  <si>
    <t>3BT2T8-3M30-q</t>
  </si>
  <si>
    <t>3BT2T8-3M35-q</t>
  </si>
  <si>
    <t>3BT2T8-3M40-q</t>
  </si>
  <si>
    <t>3BT2T8-3M50-q</t>
  </si>
  <si>
    <t>3BT3T8-3M30-q</t>
  </si>
  <si>
    <t>3BT3T8-3M35-q</t>
  </si>
  <si>
    <t>3BT3T8-3M40-q</t>
  </si>
  <si>
    <t>3BT3T8-3M50-q</t>
  </si>
  <si>
    <t>3BT4T8-3M30-q</t>
  </si>
  <si>
    <t>3BT4T8-3M35-q</t>
  </si>
  <si>
    <t>3BT4T8-3M40-q</t>
  </si>
  <si>
    <t>3BT4T8-3M50-q</t>
  </si>
  <si>
    <t>3BT-TT-2M30-q</t>
  </si>
  <si>
    <t>3BT-TT-2M35-q</t>
  </si>
  <si>
    <t>3BT-TT-2M40-q</t>
  </si>
  <si>
    <t>3BT-TT-2M50-q</t>
  </si>
  <si>
    <t>3BT2T5-2M30-q</t>
  </si>
  <si>
    <t>3BT2T5-2M35-q</t>
  </si>
  <si>
    <t>3BT2T5-2M40-q</t>
  </si>
  <si>
    <t>3BT2T5-2M50-q</t>
  </si>
  <si>
    <t>3BT3T5-2M30-q</t>
  </si>
  <si>
    <t>3BT3T5-2M35-q</t>
  </si>
  <si>
    <t>3BT3T5-2M40-q</t>
  </si>
  <si>
    <t>3BT3T5-2M50-q</t>
  </si>
  <si>
    <t>3BT4T5-2M50-q</t>
  </si>
  <si>
    <t>3BT2T5H-2M30-q</t>
  </si>
  <si>
    <t>3BT2T5H-2M35-q</t>
  </si>
  <si>
    <t>3BT2T5H-2M40-q</t>
  </si>
  <si>
    <t>3BT2T5H-2M50-q</t>
  </si>
  <si>
    <t>3BT3T5H-2M30-q</t>
  </si>
  <si>
    <t>3BT3T5H-2M35-q</t>
  </si>
  <si>
    <t>3BT3T5H-2M40-q</t>
  </si>
  <si>
    <t>3BT3T5H-2M50-q</t>
  </si>
  <si>
    <t>3BT4T5H-2M50-q</t>
  </si>
  <si>
    <t>3BT2T8-2M30-q</t>
  </si>
  <si>
    <t>3BT2T8-2M35-q</t>
  </si>
  <si>
    <t>3BT2T8-2M40-q</t>
  </si>
  <si>
    <t>3BT2T8-2M50-q</t>
  </si>
  <si>
    <t>3BT3T8-2M30-q</t>
  </si>
  <si>
    <t>3BT3T8-2M35-q</t>
  </si>
  <si>
    <t>3BT3T8-2M40-q</t>
  </si>
  <si>
    <t>3BT3T8-2M50-q</t>
  </si>
  <si>
    <t>3BT4T8-2M50-q</t>
  </si>
  <si>
    <t>3BT4T8H-2M30-q</t>
  </si>
  <si>
    <t>3BT4T8H-2M35-q</t>
  </si>
  <si>
    <t>3BT4T8H-2M40-q</t>
  </si>
  <si>
    <t>3BT4T8H-2M50-q</t>
  </si>
  <si>
    <t>3BT-TT-1M30-q</t>
  </si>
  <si>
    <t>3BT-TT-1M35-q</t>
  </si>
  <si>
    <t>3BT-TT-1M40-q</t>
  </si>
  <si>
    <t>3BT-TT-1M50-q</t>
  </si>
  <si>
    <t>3BT2T5-1M30-q</t>
  </si>
  <si>
    <t>3BT2T5-1M35-q</t>
  </si>
  <si>
    <t>3BT2T5-1M40-q</t>
  </si>
  <si>
    <t>3BT2T5-1M50-q</t>
  </si>
  <si>
    <t>3BT3T5-1M30-q</t>
  </si>
  <si>
    <t>3BT3T5-1M35-q</t>
  </si>
  <si>
    <t>3BT3T5-1M40-q</t>
  </si>
  <si>
    <t>3BT3T5-1M50-q</t>
  </si>
  <si>
    <t>3BT4T5-1M50-q</t>
  </si>
  <si>
    <t>3BT2T5H-1M30-q</t>
  </si>
  <si>
    <t>3BT2T5H-1M35-q</t>
  </si>
  <si>
    <t>3BT2T5H-1M40-q</t>
  </si>
  <si>
    <t>3BT2T5H-1M50-q</t>
  </si>
  <si>
    <t>3BT3T5H-1M30-q</t>
  </si>
  <si>
    <t>3BT3T5H-1M35-q</t>
  </si>
  <si>
    <t>3BT3T5H-1M40-q</t>
  </si>
  <si>
    <t>3BT3T5H-1M50-q</t>
  </si>
  <si>
    <t>3BT4T5H-1M50-q</t>
  </si>
  <si>
    <t>3BT2T8-1M30-q</t>
  </si>
  <si>
    <t>3BT2T8-1M35-q</t>
  </si>
  <si>
    <t>3BT2T8-1M40-q</t>
  </si>
  <si>
    <t>3BT2T8-1M50-q</t>
  </si>
  <si>
    <t>3BT3T8-1M30-q</t>
  </si>
  <si>
    <t>3BT3T8-1M35-q</t>
  </si>
  <si>
    <t>3BT3T8-1M40-q</t>
  </si>
  <si>
    <t>3BT3T8-1M50-q</t>
  </si>
  <si>
    <t>3BT4T8-1M50-q</t>
  </si>
  <si>
    <t>3BT4T8H-1M30-q</t>
  </si>
  <si>
    <t>3BT4T8H-1M35-q</t>
  </si>
  <si>
    <t>3BT4T8H-1M50-q</t>
  </si>
  <si>
    <t>3BT4T8-1M30-q</t>
  </si>
  <si>
    <t>3BT4T8-1M35-q</t>
  </si>
  <si>
    <t>3BT4T8-1M40-q</t>
  </si>
  <si>
    <t>3BT4T5-1M30-q</t>
  </si>
  <si>
    <t>3BT4T5-1M35-q</t>
  </si>
  <si>
    <t>3BT4T5-1M40-q</t>
  </si>
  <si>
    <t>3BT4T5H-1M30-q</t>
  </si>
  <si>
    <t>3BT4T5H-1M35-q</t>
  </si>
  <si>
    <t>3BT4T5H-1M40-q</t>
  </si>
  <si>
    <t>L</t>
  </si>
  <si>
    <t>TBD</t>
  </si>
  <si>
    <t>Add kits with BMFs</t>
  </si>
  <si>
    <t>K (IN PROGRESS)</t>
  </si>
  <si>
    <t>C-Flex 5000K 3W Part Number</t>
  </si>
  <si>
    <t>C-Flex 5000K Eco Part Number</t>
  </si>
  <si>
    <t>5000K</t>
  </si>
  <si>
    <t>Ballast has Sensors:</t>
  </si>
  <si>
    <t>5-foot lamps</t>
  </si>
  <si>
    <t>Tu-wire ballasts</t>
  </si>
  <si>
    <t>International ballasts</t>
  </si>
  <si>
    <t>The requested ballast is rated for use outside of US and Canada. At this time, Lutron does not have a direct replacement LED solution. Please work with your local Lutron agent to identify appropriate retrofit lighting solutions.</t>
  </si>
  <si>
    <t>16-inch BIAX</t>
  </si>
  <si>
    <t>There is no direct Lutron TLED kits available for 16" BIAX lamps.  Lutron suggests the use of a 12" Bar kit, available from Light Efficient Designs.  See www.c-flexretrofits.com for details.</t>
  </si>
  <si>
    <t>Recommended Model:</t>
  </si>
  <si>
    <t>No direct Lutron or C-FLEX retrofit kit is available for this ballast.  See notes below for details.</t>
  </si>
  <si>
    <t>T12 lamps</t>
  </si>
  <si>
    <t>RP-G24Q-232H-1L-830-3W-KN-G2</t>
  </si>
  <si>
    <t>RP-G24Q-232H-1L-835-3W-KN-G2</t>
  </si>
  <si>
    <t>RP-G24Q-232H-1L-840-3W-KN-G2</t>
  </si>
  <si>
    <t>RP-G24Q-232H-1L-830-3W-K-G2</t>
  </si>
  <si>
    <t>RP-G24Q-232H-1L-835-3W-K-G2</t>
  </si>
  <si>
    <t>RP-G24Q-232H-1L-840-3W-K-G2</t>
  </si>
  <si>
    <t>RP-G24Q-232H-1L-830-E1-K-G2</t>
  </si>
  <si>
    <t>RP-G24Q-232H-1L-835-E1-K-G2</t>
  </si>
  <si>
    <t>RP-G24Q-232H-1L-840-E1-K-G2</t>
  </si>
  <si>
    <t>RP-G24Q-232H-1L-830-E1-KN-G2</t>
  </si>
  <si>
    <t>RP-G24Q-232H-1L-835-E1-KN-G2</t>
  </si>
  <si>
    <t>RP-G24Q-232H-1L-840-E1-KN-G2</t>
  </si>
  <si>
    <t>Installation Details:</t>
  </si>
  <si>
    <t>Comment</t>
  </si>
  <si>
    <t>Lutron does not carry the "232" equivalent kit; using the "142" equivalent instead.</t>
  </si>
  <si>
    <t>Kit Lamp Qty</t>
  </si>
  <si>
    <t>RP-G24Q-232m-1L-830-3W-KN-G2</t>
  </si>
  <si>
    <t>RP-G24Q-232m-1L-835-3W-KN-G2</t>
  </si>
  <si>
    <t>RP-G24Q-232m-1L-840-3W-KN-G2</t>
  </si>
  <si>
    <t>RP-G24Q-232m-1L-830-3W-K-G2</t>
  </si>
  <si>
    <t>RP-G24Q-232m-1L-835-3W-K-G2</t>
  </si>
  <si>
    <t>RP-G24Q-232m-1L-840-3W-K-G2</t>
  </si>
  <si>
    <t>C-Flex Model:</t>
  </si>
  <si>
    <t>This ballast is capable of different control types.  Choose the proper type based on the "Control Type" drop-down based on the control type being used on the job.</t>
  </si>
  <si>
    <r>
      <t>Available</t>
    </r>
    <r>
      <rPr>
        <b/>
        <sz val="12"/>
        <color theme="4"/>
        <rFont val="Arial"/>
        <family val="2"/>
      </rPr>
      <t xml:space="preserve"> Lutron</t>
    </r>
    <r>
      <rPr>
        <b/>
        <sz val="12"/>
        <color theme="1"/>
        <rFont val="Arial"/>
        <family val="2"/>
      </rPr>
      <t xml:space="preserve"> Retrofit Kit Options </t>
    </r>
    <r>
      <rPr>
        <sz val="12"/>
        <color theme="1"/>
        <rFont val="Arial"/>
        <family val="2"/>
      </rPr>
      <t xml:space="preserve">(includes Lutron driver &amp; LED lamps; </t>
    </r>
    <r>
      <rPr>
        <b/>
        <sz val="12"/>
        <color theme="4"/>
        <rFont val="Arial"/>
        <family val="2"/>
      </rPr>
      <t>order from Lutron</t>
    </r>
    <r>
      <rPr>
        <sz val="12"/>
        <color theme="1"/>
        <rFont val="Arial"/>
        <family val="2"/>
      </rPr>
      <t>):</t>
    </r>
  </si>
  <si>
    <t>347V ballasts</t>
  </si>
  <si>
    <t>0-10V ballasts</t>
  </si>
  <si>
    <t>There are no Lutron kits available for the TU-Wire (2W-) family of Lutron ballasts.  Lutron recommends considering line-voltage-dimmable products by others, such as the C-Flex Line from Light Efficient Designs using the "LVD" dimming option; see www.c-flexretrofits.com for details.</t>
  </si>
  <si>
    <t>There are no Lutron kits available for the TVE family of Lutron ballasts.  Lutron recommends considering 0-10V products by others, such as the C-Flex Line from Light Efficient Designs using the "10V" dimming option; see www.c-flexretrofits.com for details.</t>
  </si>
  <si>
    <t>The currently installed ballast is BAA compliant, while most TLED kits are not by default.  Please ensure whether or not BAA compliance is needed before proceeding with the replacement, and order a BAA-compliant kit if necessary.</t>
  </si>
  <si>
    <t>This C-Flex model number doesn’t exist; it here as a choice for the 2-lamp/32W ballast</t>
  </si>
  <si>
    <t>RP-G24Q-232H-2L-830-E1-K-G2</t>
  </si>
  <si>
    <t>RP-G24Q-232H-2L-835-E1-K-G2</t>
  </si>
  <si>
    <t>RP-G24Q-232H-2L-840-E1-K-G2</t>
  </si>
  <si>
    <t>RP-G24Q-232H-2L-830-E1-KN-G2</t>
  </si>
  <si>
    <t>RP-G24Q-232H-2L-835-E1-KN-G2</t>
  </si>
  <si>
    <t>RP-G24Q-232H-2L-840-E1-KN-G2</t>
  </si>
  <si>
    <t>Enter the ballast model number in the orange cell on top of the "Lutron LED Upgrade Tool" tab.  The tool will provide information on the ballast type, and will indicate whether the ballast was OBSOLETE (as of January 2024).</t>
  </si>
  <si>
    <t>Determine the full model number of the currently-installed ballast, as well as the color temperature of the currently-installed lamps (3000K, 3500K, 4000K, or 5000K).</t>
  </si>
  <si>
    <t>Some ballasts, such as those beginning with EC5, EC3, and H3D, have more than one control type option: either EcoSystem or 3-wire.  To select the proper replacement, you must determine the control type currently installed, and select it from the "Control Type" drop-down.  Follow these example images to determine the installed control type based on what wires are present:</t>
  </si>
  <si>
    <t>If a matching TLED upgrade kit is found, choose the desired color temperature from the "Lamp CCT" drop-down list.  If no matching kit is found, see the Notes at the bottom for suggestions.</t>
  </si>
  <si>
    <t>Some ballast models, such as those for Compact Fluorescent (T4) fixtures, require additional information to complete the model number, such as whether they're installed in a Horizontal or Vertical orientation, or whether the lamps being used are 26W or 32W.  Make the appropriate selections from the "CFL Mounting Direction" and "CFL Lamp Wattage" drop down as necessary.</t>
  </si>
  <si>
    <t>Some ballast models, such as those beginning with EC5, may have sensors wired directly to the ballast.  In those cases, choose TRUE from the "Sensor on Ballast" drop-down to ensure a compatible kit is provided.</t>
  </si>
  <si>
    <t>Lutron TLED kits are available in single-unit packages and multi-unit cases.  Choose the desired option from the "Packaging" drop-down, and the case quantity will be shown.</t>
  </si>
  <si>
    <t>Recommended Lutron Individual Kit</t>
  </si>
  <si>
    <t>Lutron 5000K Eco Part Number</t>
  </si>
  <si>
    <t>Lutron 5000K 3W Part Number</t>
  </si>
  <si>
    <t>Grainger Ballast has Sensors:</t>
  </si>
  <si>
    <t>Grainger Recommended Model:</t>
  </si>
  <si>
    <t>Grainger Control Type</t>
  </si>
  <si>
    <t>CFL Lamp Orientation</t>
  </si>
  <si>
    <t>CFL Lamp Wattage</t>
  </si>
  <si>
    <t>Vertical</t>
  </si>
  <si>
    <t>MW Lamp?</t>
  </si>
  <si>
    <t>CFL Lamp?</t>
  </si>
  <si>
    <t>Multi Control?</t>
  </si>
  <si>
    <t>Ballast Sensors?</t>
  </si>
  <si>
    <t>The latest version of this tool can be found at www.lutron.com/BallastLookupTool</t>
  </si>
  <si>
    <t>Case</t>
  </si>
  <si>
    <t>FIX: Removed sensor support on "NS" (No Sensor) EC5 ballasts
FIX: Missing 3-wire control method for ECO Twin-Tube ballasts and 3W/Eco method + C-Flex kits for EC5T539120 and ECO-T540 ballasts
TODO:
Marked all non-EC5 ballasts as obsolete
Add other Lutron SKUs (except for BMF)
Add solution recommendations for all "blank" solutions
Provide solutions for EC5s with sensors
Add 5000K for some models (all but CFLs)
Add drop-down choices for options
Remove C-Flex numbers
Updated Grainger tab
Removed incorrect 3-wire options for UEHD ballasts</t>
  </si>
  <si>
    <t>RP-G24Q-126H-1L-830-3W-K-G2</t>
  </si>
  <si>
    <t>RP-G24Q-126H-1L-830-E1-K-G2</t>
  </si>
  <si>
    <t>RP-G24Q-126H-1L-835-3W-K-G2</t>
  </si>
  <si>
    <t>RP-G24Q-126H-1L-835-E1-K-G2</t>
  </si>
  <si>
    <t>RP-G24Q-126H-1L-840-3W-K-G2</t>
  </si>
  <si>
    <t>RP-G24Q-126H-1L-840-E1-K-G2</t>
  </si>
  <si>
    <t>RP-G24Q-126V-1L-830-3W-K-G2</t>
  </si>
  <si>
    <t>RP-G24Q-126V-1L-830-E1-K-G2</t>
  </si>
  <si>
    <t>RP-G24Q-126V-1L-835-3W-K-G2</t>
  </si>
  <si>
    <t>RP-G24Q-126V-1L-835-E1-K-G2</t>
  </si>
  <si>
    <t>RP-G24Q-126V-1L-840-3W-K-G2</t>
  </si>
  <si>
    <t>RP-G24Q-126V-1L-840-E1-K-G2</t>
  </si>
  <si>
    <t>RP-G24Q-226H-2L-830-3W-K-G2</t>
  </si>
  <si>
    <t>RP-G24Q-226H-2L-830-E1-K-G2</t>
  </si>
  <si>
    <t>RP-G24Q-226H-2L-835-3W-K-G2</t>
  </si>
  <si>
    <t>RP-G24Q-226H-2L-835-E1-K-G2</t>
  </si>
  <si>
    <t>RP-G24Q-226H-2L-840-3W-K-G2</t>
  </si>
  <si>
    <t>RP-G24Q-226H-2L-840-E1-K-G2</t>
  </si>
  <si>
    <t>Lutron Driver PN</t>
  </si>
  <si>
    <t>Lutron Lamp PN</t>
  </si>
  <si>
    <t>go back home</t>
  </si>
  <si>
    <t>Kit models setup on both Lutron and LEDs side and can be purchased NOW</t>
  </si>
  <si>
    <t>Frank checking - lamp color may not be available</t>
  </si>
  <si>
    <t>Duplicate model had to update</t>
  </si>
  <si>
    <t>No C-Flex Kit for this configuration</t>
  </si>
  <si>
    <t>Lutron did not make a ballast for this configuration. BUT There are Cflex equalivant models</t>
  </si>
  <si>
    <t>NO COMPACT WITH SENSORS BMF NOT NEEDED  to support application</t>
  </si>
  <si>
    <t>No Color - means these are the new models to input</t>
  </si>
  <si>
    <t>See note</t>
  </si>
  <si>
    <t>E1</t>
  </si>
  <si>
    <t>3W</t>
  </si>
  <si>
    <t>Single</t>
  </si>
  <si>
    <t>Case - Grainger</t>
  </si>
  <si>
    <t>Single - Grainger</t>
  </si>
  <si>
    <t>Drivers Used in Kits</t>
  </si>
  <si>
    <t>NEED TO UPDATE TO 4' T8HO models non-HO are obsolete</t>
  </si>
  <si>
    <t>number of led lamps in kit</t>
  </si>
  <si>
    <t>Lumens</t>
  </si>
  <si>
    <t>Case EcoSystem Kits SKU</t>
  </si>
  <si>
    <t>Case 3W Kits SKU</t>
  </si>
  <si>
    <t>Case 3W kits WITH BMF</t>
  </si>
  <si>
    <t>Single EcoSystem Kits SKU</t>
  </si>
  <si>
    <t>Single 3W Kits SKU</t>
  </si>
  <si>
    <t>Single 3W kits with BMF</t>
  </si>
  <si>
    <t>Case Grainger EcoSystem Kits SKU</t>
  </si>
  <si>
    <t>Case Grainger3W Kits SKU</t>
  </si>
  <si>
    <t>CASE Grainger 3W Kits with BMF</t>
  </si>
  <si>
    <t>Single Grainger EcoSystem Kits SKU</t>
  </si>
  <si>
    <t>Single Grainger 3W Kits SKU</t>
  </si>
  <si>
    <t>Single Grainger 3W Kits with BMF</t>
  </si>
  <si>
    <t>EcoSystem Drivers</t>
  </si>
  <si>
    <t>3W Drivers</t>
  </si>
  <si>
    <t>Lutron Lamp SKU</t>
  </si>
  <si>
    <t>Lutron Adapter Part Number</t>
  </si>
  <si>
    <t>L.E.D. Adapter Part Number</t>
  </si>
  <si>
    <t>LED Compact Lamp reference Designator</t>
  </si>
  <si>
    <t>LED lamp Part Number</t>
  </si>
  <si>
    <t>LED EcoSystem SKU</t>
  </si>
  <si>
    <t>LED 3W SKU with and without BMF</t>
  </si>
  <si>
    <t>ELD2T8-1M30-24</t>
  </si>
  <si>
    <t>3LD2T8-1M30-24</t>
  </si>
  <si>
    <t>3BT2T8-1M30-24</t>
  </si>
  <si>
    <t>ELD2T8-1M30-1</t>
  </si>
  <si>
    <t>3LD2T8-1M30-1</t>
  </si>
  <si>
    <t>3BT2T8-1M30-1</t>
  </si>
  <si>
    <t>LDE1MNJA-1</t>
  </si>
  <si>
    <t>L3DA4MN3A-1</t>
  </si>
  <si>
    <t>LED-T8C2FT830</t>
  </si>
  <si>
    <t>RP-T8C-G2-2FT-830</t>
  </si>
  <si>
    <t>ELD2T8-1M35-24</t>
  </si>
  <si>
    <t>3LD2T8-1M35-24</t>
  </si>
  <si>
    <t>3BT2T8-1M35-24</t>
  </si>
  <si>
    <t>ELD2T8-1M35-1</t>
  </si>
  <si>
    <t>3LD2T8-1M35-1</t>
  </si>
  <si>
    <t>3BT2T8-1M35-1</t>
  </si>
  <si>
    <t>LED-T8C2FT835</t>
  </si>
  <si>
    <t>RP-T8C-G2-2FT-835</t>
  </si>
  <si>
    <t>ELD2T8-1M40-24</t>
  </si>
  <si>
    <t>3LD2T8-1M40-24</t>
  </si>
  <si>
    <t>3BT2T8-1M40-24</t>
  </si>
  <si>
    <t>ELD2T8-1M40-1</t>
  </si>
  <si>
    <t>3LD2T8-1M40-1</t>
  </si>
  <si>
    <t>3BT2T8-1M40-1</t>
  </si>
  <si>
    <t>LED-T8C2FT840</t>
  </si>
  <si>
    <t>RP-T8C-G2-2FT-840</t>
  </si>
  <si>
    <t>ELD2T8-1M50-24</t>
  </si>
  <si>
    <t>3LD2T8-1M50-24</t>
  </si>
  <si>
    <t>3BT2T8-1M50-24</t>
  </si>
  <si>
    <t>ELD2T8-1M50-1</t>
  </si>
  <si>
    <t>3LD2T8-1M50-1</t>
  </si>
  <si>
    <t>3BT2T8-1M50-1</t>
  </si>
  <si>
    <t>LED-T8C2FT850</t>
  </si>
  <si>
    <t>RP-T8C-G2-2FT-850</t>
  </si>
  <si>
    <t>ELD2T8-2M30-12</t>
  </si>
  <si>
    <t>3LD2T8-2M30-12</t>
  </si>
  <si>
    <t>3BT2T8-2M30-12</t>
  </si>
  <si>
    <t>ELD2T8-2M30-1</t>
  </si>
  <si>
    <t>3LD2T8-2M30-1</t>
  </si>
  <si>
    <t>3BT2T8-2M30-1</t>
  </si>
  <si>
    <t>LDE2MNKA-1</t>
  </si>
  <si>
    <t>ELD2T8-2M35-12</t>
  </si>
  <si>
    <t>3LD2T8-2M35-12</t>
  </si>
  <si>
    <t>3BT2T8-2M35-12</t>
  </si>
  <si>
    <t>ELD2T8-2M35-1</t>
  </si>
  <si>
    <t>3LD2T8-2M35-1</t>
  </si>
  <si>
    <t>3BT2T8-2M35-1</t>
  </si>
  <si>
    <t>ELD2T8-2M40-12</t>
  </si>
  <si>
    <t>3LD2T8-2M40-12</t>
  </si>
  <si>
    <t>3BT2T8-2M40-12</t>
  </si>
  <si>
    <t>ELD2T8-2M40-1</t>
  </si>
  <si>
    <t>3LD2T8-2M40-1</t>
  </si>
  <si>
    <t>3BT2T8-2M40-1</t>
  </si>
  <si>
    <t>ELD2T8-2M50-12</t>
  </si>
  <si>
    <t>3LD2T8-2M50-12</t>
  </si>
  <si>
    <t>3BT2T8-2M50-12</t>
  </si>
  <si>
    <t>ELD2T8-2M50-1</t>
  </si>
  <si>
    <t>3LD2T8-2M50-1</t>
  </si>
  <si>
    <t>3BT2T8-2M50-1</t>
  </si>
  <si>
    <t>ELD2T8-3M30-8</t>
  </si>
  <si>
    <t>3LD2T8-3M30-8</t>
  </si>
  <si>
    <t>3BT2T8-3M30-8</t>
  </si>
  <si>
    <t>ELD2T8-3M30-1</t>
  </si>
  <si>
    <t>3LD2T8-3M30-1</t>
  </si>
  <si>
    <t>3BT2T8-3M30-1</t>
  </si>
  <si>
    <t>LDE3MNTA-1</t>
  </si>
  <si>
    <t>ELD2T8-3M35-8</t>
  </si>
  <si>
    <t>3LD2T8-3M35-8</t>
  </si>
  <si>
    <t>3BT2T8-3M35-8</t>
  </si>
  <si>
    <t>ELD2T8-3M35-1</t>
  </si>
  <si>
    <t>3LD2T8-3M35-1</t>
  </si>
  <si>
    <t>3BT2T8-3M35-1</t>
  </si>
  <si>
    <t>ELD2T8-3M40-8</t>
  </si>
  <si>
    <t>3LD2T8-3M40-8</t>
  </si>
  <si>
    <t>3BT2T8-3M40-8</t>
  </si>
  <si>
    <t>ELD2T8-3M40-1</t>
  </si>
  <si>
    <t>3LD2T8-3M40-1</t>
  </si>
  <si>
    <t>3BT2T8-3M40-1</t>
  </si>
  <si>
    <t>ELD2T8-3M50-8</t>
  </si>
  <si>
    <t>3LD2T8-3M50-8</t>
  </si>
  <si>
    <t>3BT2T8-3M50-8</t>
  </si>
  <si>
    <t>ELD2T8-3M50-1</t>
  </si>
  <si>
    <t>3LD2T8-3M50-1</t>
  </si>
  <si>
    <t>3BT2T8-3M50-1</t>
  </si>
  <si>
    <t>ELD3T8-1M30-24</t>
  </si>
  <si>
    <t>3LD3T8-1M30-24</t>
  </si>
  <si>
    <t>3BT3T8-1M30-24</t>
  </si>
  <si>
    <t>ELD3T8-1M30-1</t>
  </si>
  <si>
    <t>3LD3T8-1M30-1</t>
  </si>
  <si>
    <t>3BT3T8-1M30-1</t>
  </si>
  <si>
    <t>LED-T8C3FT830</t>
  </si>
  <si>
    <t>RP-T8C-G2-3FT-830</t>
  </si>
  <si>
    <t>ELD3T8-1M35-24</t>
  </si>
  <si>
    <t>3LD3T8-1M35-24</t>
  </si>
  <si>
    <t>3BT3T8-1M35-24</t>
  </si>
  <si>
    <t>ELD3T8-1M35-1</t>
  </si>
  <si>
    <t>3LD3T8-1M35-1</t>
  </si>
  <si>
    <t>3BT3T8-1M35-1</t>
  </si>
  <si>
    <t>LED-T8C3FT835</t>
  </si>
  <si>
    <t>RP-T8C-G2-3FT-835</t>
  </si>
  <si>
    <t>ELD3T8-1M40-24</t>
  </si>
  <si>
    <t>3LD3T8-1M40-24</t>
  </si>
  <si>
    <t>3BT3T8-1M40-24</t>
  </si>
  <si>
    <t>ELD3T8-1M40-1</t>
  </si>
  <si>
    <t>3LD3T8-1M40-1</t>
  </si>
  <si>
    <t>3BT3T8-1M40-1</t>
  </si>
  <si>
    <t>LED-T8C3FT840</t>
  </si>
  <si>
    <t>RP-T8C-G2-3FT-840</t>
  </si>
  <si>
    <t>ELD3T8-1M50-24</t>
  </si>
  <si>
    <t>3LD3T8-1M50-24</t>
  </si>
  <si>
    <t>3BT3T8-1M50-24</t>
  </si>
  <si>
    <t>ELD3T8-1M50-1</t>
  </si>
  <si>
    <t>3LD3T8-1M50-1</t>
  </si>
  <si>
    <t>3BT3T8-1M50-1</t>
  </si>
  <si>
    <t>LED-T8C3FT850</t>
  </si>
  <si>
    <t>RP-T8C-G2-3FT-850</t>
  </si>
  <si>
    <t>ELD3T8-2M30-12</t>
  </si>
  <si>
    <t>3LD3T8-2M30-12</t>
  </si>
  <si>
    <t>3BT3T8-2M30-12</t>
  </si>
  <si>
    <t>ELD3T8-2M30-1</t>
  </si>
  <si>
    <t>3LD3T8-2M30-1</t>
  </si>
  <si>
    <t>3BT3T8-2M30-1</t>
  </si>
  <si>
    <t>ELD3T8-2M35-12</t>
  </si>
  <si>
    <t>3LD3T8-2M35-12</t>
  </si>
  <si>
    <t>3BT3T8-2M35-12</t>
  </si>
  <si>
    <t>ELD3T8-2M35-1</t>
  </si>
  <si>
    <t>3LD3T8-2M35-1</t>
  </si>
  <si>
    <t>3BT3T8-2M35-1</t>
  </si>
  <si>
    <t>ELD3T8-2M40-12</t>
  </si>
  <si>
    <t>3LD3T8-2M40-12</t>
  </si>
  <si>
    <t>3BT3T8-2M40-12</t>
  </si>
  <si>
    <t>ELD3T8-2M40-1</t>
  </si>
  <si>
    <t>3LD3T8-2M40-1</t>
  </si>
  <si>
    <t>3BT3T8-2M40-1</t>
  </si>
  <si>
    <t>ELD3T8-2M50-12</t>
  </si>
  <si>
    <t>3LD3T8-2M50-12</t>
  </si>
  <si>
    <t>3BT3T8-2M50-12</t>
  </si>
  <si>
    <t>ELD3T8-2M50-1</t>
  </si>
  <si>
    <t>3LD3T8-2M50-1</t>
  </si>
  <si>
    <t>3BT3T8-2M50-1</t>
  </si>
  <si>
    <t>ELD3T8-3M30-8</t>
  </si>
  <si>
    <t>3LD3T8-3M30-8</t>
  </si>
  <si>
    <t>3BT3T8-3M30-8</t>
  </si>
  <si>
    <t>ELD3T8-3M30-1</t>
  </si>
  <si>
    <t>3LD3T8-3M30-1</t>
  </si>
  <si>
    <t>3BT3T8-3M30-1</t>
  </si>
  <si>
    <t>LDE5MNUA-1</t>
  </si>
  <si>
    <t>ELD3T8-3M35-8</t>
  </si>
  <si>
    <t>3LD3T8-3M35-8</t>
  </si>
  <si>
    <t>3BT3T8-3M35-8</t>
  </si>
  <si>
    <t>ELD3T8-3M35-1</t>
  </si>
  <si>
    <t>3LD3T8-3M35-1</t>
  </si>
  <si>
    <t>3BT3T8-3M35-1</t>
  </si>
  <si>
    <t>ELD3T8-3M40-8</t>
  </si>
  <si>
    <t>3LD3T8-3M40-8</t>
  </si>
  <si>
    <t>3BT3T8-3M40-8</t>
  </si>
  <si>
    <t>ELD3T8-3M40-1</t>
  </si>
  <si>
    <t>3LD3T8-3M40-1</t>
  </si>
  <si>
    <t>3BT3T8-3M40-1</t>
  </si>
  <si>
    <t>ELD3T8-3M50-8</t>
  </si>
  <si>
    <t>3LD3T8-3M50-8</t>
  </si>
  <si>
    <t>3BT3T8-3M50-8</t>
  </si>
  <si>
    <t>ELD3T8-3M50-1</t>
  </si>
  <si>
    <t>3LD3T8-3M50-1</t>
  </si>
  <si>
    <t>3BT3T8-3M50-1</t>
  </si>
  <si>
    <t>3BT4T8-1M30-24</t>
  </si>
  <si>
    <t>ELD4T8-1M30-1</t>
  </si>
  <si>
    <t>3LD4T8-1M30-1</t>
  </si>
  <si>
    <t>3BT4T8-1M30-1</t>
  </si>
  <si>
    <t>Requested?</t>
  </si>
  <si>
    <t>LED-T8CHO4FT830</t>
  </si>
  <si>
    <t>RP-T8CHO-G2-4FT-830</t>
  </si>
  <si>
    <t>3BT4T8-1M35-24</t>
  </si>
  <si>
    <t>ELD4T8-1M35-1</t>
  </si>
  <si>
    <t>3LD4T8-1M35-1</t>
  </si>
  <si>
    <t>3BT4T8-1M35-1</t>
  </si>
  <si>
    <t>LED-T8CHO4FT835</t>
  </si>
  <si>
    <t>RP-T8CHO-G2-4FT-835</t>
  </si>
  <si>
    <t>3BT4T8-1M40-24</t>
  </si>
  <si>
    <t>ELD4T8-1M40-1</t>
  </si>
  <si>
    <t>3LD4T8-1M40-1</t>
  </si>
  <si>
    <t>3BT4T8-1M40-1</t>
  </si>
  <si>
    <t>LED-T8CHO4FT840</t>
  </si>
  <si>
    <t>RP-T8CHO-G2-4FT-840</t>
  </si>
  <si>
    <t>ELD4T8-1M50-24</t>
  </si>
  <si>
    <t>3LD4T8-1M50-24</t>
  </si>
  <si>
    <t>3BT4T8-1M50-24</t>
  </si>
  <si>
    <t>ELD4T8-1M50-1</t>
  </si>
  <si>
    <t>3LD4T8-1M50-1</t>
  </si>
  <si>
    <t>3BT4T8-1M50-1</t>
  </si>
  <si>
    <t>LED-T8CHO4FT850</t>
  </si>
  <si>
    <t>RP-T8CHO-G2-4FT-850</t>
  </si>
  <si>
    <t>3BT4T8-2M30-12</t>
  </si>
  <si>
    <t>ELD4T8-2M30-1</t>
  </si>
  <si>
    <t>3LD4T8-2M30-1</t>
  </si>
  <si>
    <t>3BT4T8-2M30-1</t>
  </si>
  <si>
    <t>3BT4T8-2M35-12</t>
  </si>
  <si>
    <t>ELD4T8-2M35-1</t>
  </si>
  <si>
    <t>3LD4T8-2M35-1</t>
  </si>
  <si>
    <t>3BT4T8-2M35-1</t>
  </si>
  <si>
    <t>3BT4T8-2M40-12</t>
  </si>
  <si>
    <t>ELD4T8-2M40-1</t>
  </si>
  <si>
    <t>3LD4T8-2M40-1</t>
  </si>
  <si>
    <t>3BT4T8-2M40-1</t>
  </si>
  <si>
    <t>ELD4T8-2M50-12</t>
  </si>
  <si>
    <t>3LD4T8-2M50-12</t>
  </si>
  <si>
    <t>3BT4T8-2M50-12</t>
  </si>
  <si>
    <t>ELD4T8-2M50-1</t>
  </si>
  <si>
    <t>3LD4T8-2M50-1</t>
  </si>
  <si>
    <t>3BT4T8-2M50-1</t>
  </si>
  <si>
    <t>ELD4T8-3M30-8</t>
  </si>
  <si>
    <t>3LD4T8-3M30-8</t>
  </si>
  <si>
    <t>3BT4T8-3M30-8</t>
  </si>
  <si>
    <t>ELD4T8-3M30-1</t>
  </si>
  <si>
    <t>3LD4T8-3M30-1</t>
  </si>
  <si>
    <t>3BT4T8-3M30-1</t>
  </si>
  <si>
    <t>ELD4T8-3M35-8</t>
  </si>
  <si>
    <t>3LD4T8-3M35-8</t>
  </si>
  <si>
    <t>3BT4T8-3M35-8</t>
  </si>
  <si>
    <t>ELD4T8-3M35-1</t>
  </si>
  <si>
    <t>3LD4T8-3M35-1</t>
  </si>
  <si>
    <t>3BT4T8-3M35-1</t>
  </si>
  <si>
    <t>ELD4T8-3M40-8</t>
  </si>
  <si>
    <t>3LD4T8-3M40-8</t>
  </si>
  <si>
    <t>3BT4T8-3M40-8</t>
  </si>
  <si>
    <t>ELD4T8-3M40-1</t>
  </si>
  <si>
    <t>3LD4T8-3M40-1</t>
  </si>
  <si>
    <t>3BT4T8-3M40-1</t>
  </si>
  <si>
    <t>ELD4T8-3M50-8</t>
  </si>
  <si>
    <t>3LD4T8-3M50-8</t>
  </si>
  <si>
    <t>3BT4T8-3M50-8</t>
  </si>
  <si>
    <t>ELD4T8-3M50-1</t>
  </si>
  <si>
    <t>3LD4T8-3M50-1</t>
  </si>
  <si>
    <t>3BT4T8-3M50-1</t>
  </si>
  <si>
    <t>ELD2T5-1M30-24</t>
  </si>
  <si>
    <t>3LD2T5-1M30-24</t>
  </si>
  <si>
    <t>3BT2T5-1M30-24</t>
  </si>
  <si>
    <t>ELD2T5-1M30-1</t>
  </si>
  <si>
    <t>3LD2T5-1M30-1</t>
  </si>
  <si>
    <t>3BT2T5-1M30-1</t>
  </si>
  <si>
    <t>LED-T5C2FT830</t>
  </si>
  <si>
    <t>RP-T5C-G2-2FT-830</t>
  </si>
  <si>
    <t>ELD2T5-1M35-24</t>
  </si>
  <si>
    <t>3LD2T5-1M35-24</t>
  </si>
  <si>
    <t>3BT2T5-1M35-24</t>
  </si>
  <si>
    <t>ELD2T5-1M35-1</t>
  </si>
  <si>
    <t>3LD2T5-1M35-1</t>
  </si>
  <si>
    <t>3BT2T5-1M35-1</t>
  </si>
  <si>
    <t>LED-T5C2FT835</t>
  </si>
  <si>
    <t>RP-T5C-G2-2FT-835</t>
  </si>
  <si>
    <t>ELD2T5-1M40-24</t>
  </si>
  <si>
    <t>3LD2T5-1M40-24</t>
  </si>
  <si>
    <t>3BT2T5-1M40-24</t>
  </si>
  <si>
    <t>ELD2T5-1M40-1</t>
  </si>
  <si>
    <t>3LD2T5-1M40-1</t>
  </si>
  <si>
    <t>3BT2T5-1M40-1</t>
  </si>
  <si>
    <t>LED-T5C2FT840</t>
  </si>
  <si>
    <t>RP-T5C-G2-2FT-840</t>
  </si>
  <si>
    <t>ELD2T5-1M50-24</t>
  </si>
  <si>
    <t>3LD2T5-1M50-24</t>
  </si>
  <si>
    <t>3BT2T5-1M50-24</t>
  </si>
  <si>
    <t>ELD2T5-1M50-1</t>
  </si>
  <si>
    <t>3LD2T5-1M50-1</t>
  </si>
  <si>
    <t>3BT2T5-1M50-1</t>
  </si>
  <si>
    <t>LED-T5C2FT850</t>
  </si>
  <si>
    <t>RP-T5C-G2-2FT-850</t>
  </si>
  <si>
    <t>ELD2T5-2M30-12</t>
  </si>
  <si>
    <t>3LD2T5-2M30-12</t>
  </si>
  <si>
    <t>3BT2T5-2M30-12</t>
  </si>
  <si>
    <t>ELD2T5-2M30-1</t>
  </si>
  <si>
    <t>3LD2T5-2M30-1</t>
  </si>
  <si>
    <t>3BT2T5-2M30-1</t>
  </si>
  <si>
    <t>ELD2T5-2M35-12</t>
  </si>
  <si>
    <t>3LD2T5-2M35-12</t>
  </si>
  <si>
    <t>3BT2T5-2M35-12</t>
  </si>
  <si>
    <t>ELD2T5-2M35-1</t>
  </si>
  <si>
    <t>3LD2T5-2M35-1</t>
  </si>
  <si>
    <t>3BT2T5-2M35-1</t>
  </si>
  <si>
    <t>ELD2T5-2M40-12</t>
  </si>
  <si>
    <t>3LD2T5-2M40-12</t>
  </si>
  <si>
    <t>3BT2T5-2M40-12</t>
  </si>
  <si>
    <t>ELD2T5-2M40-1</t>
  </si>
  <si>
    <t>3LD2T5-2M40-1</t>
  </si>
  <si>
    <t>3BT2T5-2M40-1</t>
  </si>
  <si>
    <t>ELD2T5-2M50-12</t>
  </si>
  <si>
    <t>3LD2T5-2M50-12</t>
  </si>
  <si>
    <t>3BT2T5-2M50-12</t>
  </si>
  <si>
    <t>ELD2T5-2M50-1</t>
  </si>
  <si>
    <t>3LD2T5-2M50-1</t>
  </si>
  <si>
    <t>3BT2T5-2M50-1</t>
  </si>
  <si>
    <t>ELD2T5-3M30-8</t>
  </si>
  <si>
    <t>3LD2T5-3M30-8</t>
  </si>
  <si>
    <t>3BT2T5-3M30-8</t>
  </si>
  <si>
    <t>ELD2T5-3M30-1</t>
  </si>
  <si>
    <t>3LD2T5-3M30-1</t>
  </si>
  <si>
    <t>3BT2T5-3M30-1</t>
  </si>
  <si>
    <t>ELD2T5-3M35-8</t>
  </si>
  <si>
    <t>3LD2T5-3M35-8</t>
  </si>
  <si>
    <t>3BT2T5-3M35-8</t>
  </si>
  <si>
    <t>ELD2T5-3M35-1</t>
  </si>
  <si>
    <t>3LD2T5-3M35-1</t>
  </si>
  <si>
    <t>3BT2T5-3M35-1</t>
  </si>
  <si>
    <t>ELD2T5-3M40-8</t>
  </si>
  <si>
    <t>3LD2T5-3M40-8</t>
  </si>
  <si>
    <t>3BT2T5-3M40-8</t>
  </si>
  <si>
    <t>ELD2T5-3M40-1</t>
  </si>
  <si>
    <t>3LD2T5-3M40-1</t>
  </si>
  <si>
    <t>3BT2T5-3M40-1</t>
  </si>
  <si>
    <t>ELD2T5-3M50-8</t>
  </si>
  <si>
    <t>3LD2T5-3M50-8</t>
  </si>
  <si>
    <t>3BT2T5-3M50-8</t>
  </si>
  <si>
    <t>ELD2T5-3M50-1</t>
  </si>
  <si>
    <t>3LD2T5-3M50-1</t>
  </si>
  <si>
    <t>3BT2T5-3M50-1</t>
  </si>
  <si>
    <t>ELD3T5-1M30-24</t>
  </si>
  <si>
    <t>3LD3T5-1M30-24</t>
  </si>
  <si>
    <t>3BT3T5-1M30-24</t>
  </si>
  <si>
    <t>ELD3T5-1M30-1</t>
  </si>
  <si>
    <t>3LD3T5-1M30-1</t>
  </si>
  <si>
    <t>3BT3T5-1M30-1</t>
  </si>
  <si>
    <t>LED-T5C3FT830</t>
  </si>
  <si>
    <t>RP-T5C-G2-3FT-830</t>
  </si>
  <si>
    <t>ELD3T5-1M35-24</t>
  </si>
  <si>
    <t>3LD3T5-1M35-24</t>
  </si>
  <si>
    <t>3BT3T5-1M35-24</t>
  </si>
  <si>
    <t>ELD3T5-1M35-1</t>
  </si>
  <si>
    <t>3LD3T5-1M35-1</t>
  </si>
  <si>
    <t>3BT3T5-1M35-1</t>
  </si>
  <si>
    <t>LED-T5C3FT835</t>
  </si>
  <si>
    <t>RP-T5C-G2-3FT-835</t>
  </si>
  <si>
    <t>ELD3T5-1M40-24</t>
  </si>
  <si>
    <t>3LD3T5-1M40-24</t>
  </si>
  <si>
    <t>3BT3T5-1M40-24</t>
  </si>
  <si>
    <t>ELD3T5-1M40-1</t>
  </si>
  <si>
    <t>3LD3T5-1M40-1</t>
  </si>
  <si>
    <t>3BT3T5-1M40-1</t>
  </si>
  <si>
    <t>LED-T5C3FT840</t>
  </si>
  <si>
    <t>RP-T5C-G2-3FT-840</t>
  </si>
  <si>
    <t>ELD3T5-1M50-24</t>
  </si>
  <si>
    <t>3LD3T5-1M50-24</t>
  </si>
  <si>
    <t>3BT3T5-1M50-24</t>
  </si>
  <si>
    <t>ELD3T5-1M50-1</t>
  </si>
  <si>
    <t>3LD3T5-1M50-1</t>
  </si>
  <si>
    <t>3BT3T5-1M50-1</t>
  </si>
  <si>
    <t>LED-T5C3FT850</t>
  </si>
  <si>
    <t>RP-T5C-G2-3FT-850</t>
  </si>
  <si>
    <t>ELD3T5-2M30-12</t>
  </si>
  <si>
    <t>3LD3T5-2M30-12</t>
  </si>
  <si>
    <t>3BT3T5-2M30-12</t>
  </si>
  <si>
    <t>ELD3T5-2M30-1</t>
  </si>
  <si>
    <t>3LD3T5-2M30-1</t>
  </si>
  <si>
    <t>3BT3T5-2M30-1</t>
  </si>
  <si>
    <t>ELD3T5-2M35-12</t>
  </si>
  <si>
    <t>3LD3T5-2M35-12</t>
  </si>
  <si>
    <t>3BT3T5-2M35-12</t>
  </si>
  <si>
    <t>ELD3T5-2M35-1</t>
  </si>
  <si>
    <t>3LD3T5-2M35-1</t>
  </si>
  <si>
    <t>3BT3T5-2M35-1</t>
  </si>
  <si>
    <t>ELD3T5-2M40-12</t>
  </si>
  <si>
    <t>3LD3T5-2M40-12</t>
  </si>
  <si>
    <t>3BT3T5-2M40-12</t>
  </si>
  <si>
    <t>ELD3T5-2M40-1</t>
  </si>
  <si>
    <t>3LD3T5-2M40-1</t>
  </si>
  <si>
    <t>3BT3T5-2M40-1</t>
  </si>
  <si>
    <t>ELD3T5-2M50-12</t>
  </si>
  <si>
    <t>3LD3T5-2M50-12</t>
  </si>
  <si>
    <t>3BT3T5-2M50-12</t>
  </si>
  <si>
    <t>ELD3T5-2M50-1</t>
  </si>
  <si>
    <t>3LD3T5-2M50-1</t>
  </si>
  <si>
    <t>3BT3T5-2M50-1</t>
  </si>
  <si>
    <t>ELD3T5-3M30-8</t>
  </si>
  <si>
    <t>3LD3T5-3M30-8</t>
  </si>
  <si>
    <t>3BT3T5-3M30-8</t>
  </si>
  <si>
    <t>ELD3T5-3M30-1</t>
  </si>
  <si>
    <t>3LD3T5-3M30-1</t>
  </si>
  <si>
    <t>3BT3T5-3M30-1</t>
  </si>
  <si>
    <t>ELD3T5-3M35-8</t>
  </si>
  <si>
    <t>3LD3T5-3M35-8</t>
  </si>
  <si>
    <t>3BT3T5-3M35-8</t>
  </si>
  <si>
    <t>ELD3T5-3M35-1</t>
  </si>
  <si>
    <t>3LD3T5-3M35-1</t>
  </si>
  <si>
    <t>3BT3T5-3M35-1</t>
  </si>
  <si>
    <t>ELD3T5-3M40-8</t>
  </si>
  <si>
    <t>3LD3T5-3M40-8</t>
  </si>
  <si>
    <t>3BT3T5-3M40-8</t>
  </si>
  <si>
    <t>ELD3T5-3M40-1</t>
  </si>
  <si>
    <t>3LD3T5-3M40-1</t>
  </si>
  <si>
    <t>3BT3T5-3M40-1</t>
  </si>
  <si>
    <t>ELD3T5-3M50-8</t>
  </si>
  <si>
    <t>3LD3T5-3M50-8</t>
  </si>
  <si>
    <t>3BT3T5-3M50-8</t>
  </si>
  <si>
    <t>ELD3T5-3M50-1</t>
  </si>
  <si>
    <t>3LD3T5-3M50-1</t>
  </si>
  <si>
    <t>3BT3T5-3M50-1</t>
  </si>
  <si>
    <t>3BT4T5-1M30-24</t>
  </si>
  <si>
    <t>ELD4T5-1M30-1</t>
  </si>
  <si>
    <t>3LD4T5-1M30-1</t>
  </si>
  <si>
    <t>3BT4T5-1M30-1</t>
  </si>
  <si>
    <t>LED-T5C4FT830</t>
  </si>
  <si>
    <t>RP-T5C-G2-4FT-830</t>
  </si>
  <si>
    <t>3BT4T5-1M35-24</t>
  </si>
  <si>
    <t>ELD4T5-1M35-1</t>
  </si>
  <si>
    <t>3LD4T5-1M35-1</t>
  </si>
  <si>
    <t>3BT4T5-1M35-1</t>
  </si>
  <si>
    <t>LED-T5C4FT835</t>
  </si>
  <si>
    <t>RP-T5C-G2-4FT-835</t>
  </si>
  <si>
    <t>3BT4T5-1M40-24</t>
  </si>
  <si>
    <t>ELD4T5-1M40-1</t>
  </si>
  <si>
    <t>3LD4T5-1M40-1</t>
  </si>
  <si>
    <t>3BT4T5-1M40-1</t>
  </si>
  <si>
    <t>LED-T5C4FT840</t>
  </si>
  <si>
    <t>RP-T5C-G2-4FT-840</t>
  </si>
  <si>
    <t>ELD4T5-1M50-24</t>
  </si>
  <si>
    <t>3LD4T5-1M50-24</t>
  </si>
  <si>
    <t>3BT4T5-1M50-24</t>
  </si>
  <si>
    <t>ELD4T5-1M50-1</t>
  </si>
  <si>
    <t>3LD4T5-1M50-1</t>
  </si>
  <si>
    <t>3BT4T5-1M50-1</t>
  </si>
  <si>
    <t>LED-T5C4FT850</t>
  </si>
  <si>
    <t>RP-T5C-G2-4FT-850</t>
  </si>
  <si>
    <t>3BT4T5-2M30-12</t>
  </si>
  <si>
    <t>ELD4T5-2M30-1</t>
  </si>
  <si>
    <t>3LD4T5-2M30-1</t>
  </si>
  <si>
    <t>3BT4T5-2M30-1</t>
  </si>
  <si>
    <t>3BT4T5-2M35-12</t>
  </si>
  <si>
    <t>ELD4T5-2M35-1</t>
  </si>
  <si>
    <t>3LD4T5-2M35-1</t>
  </si>
  <si>
    <t>3BT4T5-2M35-1</t>
  </si>
  <si>
    <t>3BT4T5-2M40-12</t>
  </si>
  <si>
    <t>ELD4T5-2M40-1</t>
  </si>
  <si>
    <t>3LD4T5-2M40-1</t>
  </si>
  <si>
    <t>3BT4T5-2M40-1</t>
  </si>
  <si>
    <t>ELD4T5-2M50-12</t>
  </si>
  <si>
    <t>3LD4T5-2M50-12</t>
  </si>
  <si>
    <t>3BT4T5-2M50-12</t>
  </si>
  <si>
    <t>ELD4T5-2M50-1</t>
  </si>
  <si>
    <t>3LD4T5-2M50-1</t>
  </si>
  <si>
    <t>3BT4T5-2M50-1</t>
  </si>
  <si>
    <t>ELD4T5-3M30-8</t>
  </si>
  <si>
    <t>3LD4T5-3M30-8</t>
  </si>
  <si>
    <t>3BT4T5-3M30-8</t>
  </si>
  <si>
    <t>ELD4T5-3M30-1</t>
  </si>
  <si>
    <t>3LD4T5-3M30-1</t>
  </si>
  <si>
    <t>3BT4T5-3M30-1</t>
  </si>
  <si>
    <t>RP-T5-4FT-3L-830-E1-M-G2</t>
  </si>
  <si>
    <t>RP-T5-4FT-3L-830-3W-M-G2</t>
  </si>
  <si>
    <t>ELD4T5-3M35-8</t>
  </si>
  <si>
    <t>3LD4T5-3M35-8</t>
  </si>
  <si>
    <t>3BT4T5-3M35-8</t>
  </si>
  <si>
    <t>ELD4T5-3M35-1</t>
  </si>
  <si>
    <t>3LD4T5-3M35-1</t>
  </si>
  <si>
    <t>3BT4T5-3M35-1</t>
  </si>
  <si>
    <t>RP-T5-4FT-3L-835-E1-M-G2</t>
  </si>
  <si>
    <t>RP-T5-4FT-3L-835-3W-M-G2</t>
  </si>
  <si>
    <t>ELD4T5-3M40-8</t>
  </si>
  <si>
    <t>3LD4T5-3M40-8</t>
  </si>
  <si>
    <t>3BT4T5-3M40-8</t>
  </si>
  <si>
    <t>ELD4T5-3M40-1</t>
  </si>
  <si>
    <t>3LD4T5-3M40-1</t>
  </si>
  <si>
    <t>3BT4T5-3M40-1</t>
  </si>
  <si>
    <t>RP-T5-4FT-3L-840-E1-M-G2</t>
  </si>
  <si>
    <t>RP-T5-4FT-3L-840-3W-M-G2</t>
  </si>
  <si>
    <t>ELD4T5-3M50-8</t>
  </si>
  <si>
    <t>3LD4T5-3M50-8</t>
  </si>
  <si>
    <t>3BT4T5-3M50-8</t>
  </si>
  <si>
    <t>ELD4T5-3M50-1</t>
  </si>
  <si>
    <t>3LD4T5-3M50-1</t>
  </si>
  <si>
    <t>3BT4T5-3M50-1</t>
  </si>
  <si>
    <t>RP-T5-4FT-3L-850-E1-M-G2</t>
  </si>
  <si>
    <t>RP-T5-4FT-3L-850-3W-M-G2</t>
  </si>
  <si>
    <t>ELD2T5H-1M30-24</t>
  </si>
  <si>
    <t>3LD2T5H-1M30-24</t>
  </si>
  <si>
    <t>3BT2T5H-1M30-24</t>
  </si>
  <si>
    <t>ELD2T5H-1M30-1</t>
  </si>
  <si>
    <t>3LD2T5H-1M30-1</t>
  </si>
  <si>
    <t>3BT2T5H-1M30-1</t>
  </si>
  <si>
    <t>ELD2T5H-1M35-24</t>
  </si>
  <si>
    <t>3LD2T5H-1M35-24</t>
  </si>
  <si>
    <t>3BT2T5H-1M35-24</t>
  </si>
  <si>
    <t>ELD2T5H-1M35-1</t>
  </si>
  <si>
    <t>3LD2T5H-1M35-1</t>
  </si>
  <si>
    <t>3BT2T5H-1M35-1</t>
  </si>
  <si>
    <t>ELD2T5H-1M40-24</t>
  </si>
  <si>
    <t>3LD2T5H-1M40-24</t>
  </si>
  <si>
    <t>3BT2T5H-1M40-24</t>
  </si>
  <si>
    <t>ELD2T5H-1M40-1</t>
  </si>
  <si>
    <t>3LD2T5H-1M40-1</t>
  </si>
  <si>
    <t>3BT2T5H-1M40-1</t>
  </si>
  <si>
    <t>ELD2T5H-1M50-24</t>
  </si>
  <si>
    <t>3LD2T5H-1M50-24</t>
  </si>
  <si>
    <t>3BT2T5H-1M50-24</t>
  </si>
  <si>
    <t>ELD2T5H-1M50-1</t>
  </si>
  <si>
    <t>3LD2T5H-1M50-1</t>
  </si>
  <si>
    <t>3BT2T5H-1M50-1</t>
  </si>
  <si>
    <t>ELD2T5H-2M30-12</t>
  </si>
  <si>
    <t>3LD2T5H-2M30-12</t>
  </si>
  <si>
    <t>3BT2T5H-2M30-12</t>
  </si>
  <si>
    <t>ELD2T5H-2M30-1</t>
  </si>
  <si>
    <t>3LD2T5H-2M30-1</t>
  </si>
  <si>
    <t>3BT2T5H-2M30-1</t>
  </si>
  <si>
    <t>ELD2T5H-2M35-12</t>
  </si>
  <si>
    <t>3LD2T5H-2M35-12</t>
  </si>
  <si>
    <t>3BT2T5H-2M35-12</t>
  </si>
  <si>
    <t>ELD2T5H-2M35-1</t>
  </si>
  <si>
    <t>3LD2T5H-2M35-1</t>
  </si>
  <si>
    <t>3BT2T5H-2M35-1</t>
  </si>
  <si>
    <t>ELD2T5H-2M40-12</t>
  </si>
  <si>
    <t>3LD2T5H-2M40-12</t>
  </si>
  <si>
    <t>3BT2T5H-2M40-12</t>
  </si>
  <si>
    <t>ELD2T5H-2M40-1</t>
  </si>
  <si>
    <t>3LD2T5H-2M40-1</t>
  </si>
  <si>
    <t>3BT2T5H-2M40-1</t>
  </si>
  <si>
    <t>ELD2T5H-2M50-12</t>
  </si>
  <si>
    <t>3LD2T5H-2M50-12</t>
  </si>
  <si>
    <t>3BT2T5H-2M50-12</t>
  </si>
  <si>
    <t>ELD2T5H-2M50-1</t>
  </si>
  <si>
    <t>3LD2T5H-2M50-1</t>
  </si>
  <si>
    <t>3BT2T5H-2M50-1</t>
  </si>
  <si>
    <t>ELD2T5H-3M30-8</t>
  </si>
  <si>
    <t>3LD2T5H-3M30-8</t>
  </si>
  <si>
    <t>3BT2T5H-3M30-8</t>
  </si>
  <si>
    <t>ELD2T5H-3M30-1</t>
  </si>
  <si>
    <t>3LD2T5H-3M30-1</t>
  </si>
  <si>
    <t>3BT2T5H-3M30-1</t>
  </si>
  <si>
    <t>ELD2T5H-3M35-8</t>
  </si>
  <si>
    <t>3LD2T5H-3M35-8</t>
  </si>
  <si>
    <t>3BT2T5H-3M35-8</t>
  </si>
  <si>
    <t>ELD2T5H-3M35-1</t>
  </si>
  <si>
    <t>3LD2T5H-3M35-1</t>
  </si>
  <si>
    <t>3BT2T5H-3M35-1</t>
  </si>
  <si>
    <t>ELD2T5H-3M40-8</t>
  </si>
  <si>
    <t>3LD2T5H-3M40-8</t>
  </si>
  <si>
    <t>3BT2T5H-3M40-8</t>
  </si>
  <si>
    <t>ELD2T5H-3M40-1</t>
  </si>
  <si>
    <t>3LD2T5H-3M40-1</t>
  </si>
  <si>
    <t>3BT2T5H-3M40-1</t>
  </si>
  <si>
    <t>ELD2T5H-3M50-8</t>
  </si>
  <si>
    <t>3LD2T5H-3M50-8</t>
  </si>
  <si>
    <t>3BT2T5H-3M50-8</t>
  </si>
  <si>
    <t>ELD2T5H-3M50-1</t>
  </si>
  <si>
    <t>3LD2T5H-3M50-1</t>
  </si>
  <si>
    <t>3BT2T5H-3M50-1</t>
  </si>
  <si>
    <t>ELD3T5H-1M30-24</t>
  </si>
  <si>
    <t>3LD3T5H-1M30-24</t>
  </si>
  <si>
    <t>3BT3T5H-1M30-24</t>
  </si>
  <si>
    <t>ELD3T5H-1M30-1</t>
  </si>
  <si>
    <t>3LD3T5H-1M30-1</t>
  </si>
  <si>
    <t>3BT3T5H-1M30-1</t>
  </si>
  <si>
    <t>ELD3T5H-1M35-24</t>
  </si>
  <si>
    <t>3LD3T5H-1M35-24</t>
  </si>
  <si>
    <t>3BT3T5H-1M35-24</t>
  </si>
  <si>
    <t>ELD3T5H-1M35-1</t>
  </si>
  <si>
    <t>3LD3T5H-1M35-1</t>
  </si>
  <si>
    <t>3BT3T5H-1M35-1</t>
  </si>
  <si>
    <t>ELD3T5H-1M40-24</t>
  </si>
  <si>
    <t>3LD3T5H-1M40-24</t>
  </si>
  <si>
    <t>3BT3T5H-1M40-24</t>
  </si>
  <si>
    <t>ELD3T5H-1M40-1</t>
  </si>
  <si>
    <t>3LD3T5H-1M40-1</t>
  </si>
  <si>
    <t>3BT3T5H-1M40-1</t>
  </si>
  <si>
    <t>ELD3T5H-1M50-24</t>
  </si>
  <si>
    <t>3LD3T5H-1M50-24</t>
  </si>
  <si>
    <t>3BT3T5H-1M50-24</t>
  </si>
  <si>
    <t>ELD3T5H-1M50-1</t>
  </si>
  <si>
    <t>3LD3T5H-1M50-1</t>
  </si>
  <si>
    <t>3BT3T5H-1M50-1</t>
  </si>
  <si>
    <t>ELD3T5H-2M30-12</t>
  </si>
  <si>
    <t>3LD3T5H-2M30-12</t>
  </si>
  <si>
    <t>3BT3T5H-2M30-12</t>
  </si>
  <si>
    <t>ELD3T5H-2M30-1</t>
  </si>
  <si>
    <t>3LD3T5H-2M30-1</t>
  </si>
  <si>
    <t>3BT3T5H-2M30-1</t>
  </si>
  <si>
    <t>ELD3T5H-2M35-12</t>
  </si>
  <si>
    <t>3LD3T5H-2M35-12</t>
  </si>
  <si>
    <t>3BT3T5H-2M35-12</t>
  </si>
  <si>
    <t>ELD3T5H-2M35-1</t>
  </si>
  <si>
    <t>3LD3T5H-2M35-1</t>
  </si>
  <si>
    <t>3BT3T5H-2M35-1</t>
  </si>
  <si>
    <t>ELD3T5H-2M40-12</t>
  </si>
  <si>
    <t>3LD3T5H-2M40-12</t>
  </si>
  <si>
    <t>3BT3T5H-2M40-12</t>
  </si>
  <si>
    <t>ELD3T5H-2M40-1</t>
  </si>
  <si>
    <t>3LD3T5H-2M40-1</t>
  </si>
  <si>
    <t>3BT3T5H-2M40-1</t>
  </si>
  <si>
    <t>ELD3T5H-2M50-12</t>
  </si>
  <si>
    <t>3LD3T5H-2M50-12</t>
  </si>
  <si>
    <t>3BT3T5H-2M50-12</t>
  </si>
  <si>
    <t>ELD3T5H-2M50-1</t>
  </si>
  <si>
    <t>3LD3T5H-2M50-1</t>
  </si>
  <si>
    <t>3BT3T5H-2M50-1</t>
  </si>
  <si>
    <t>ELD3T5H-3M30-8</t>
  </si>
  <si>
    <t>3LD3T5H-3M30-8</t>
  </si>
  <si>
    <t>3BT3T5H-3M30-8</t>
  </si>
  <si>
    <t>ELD3T5H-3M30-1</t>
  </si>
  <si>
    <t>3LD3T5H-3M30-1</t>
  </si>
  <si>
    <t>3BT3T5H-3M30-1</t>
  </si>
  <si>
    <t>ELD3T5H-3M35-8</t>
  </si>
  <si>
    <t>3LD3T5H-3M35-8</t>
  </si>
  <si>
    <t>3BT3T5H-3M35-8</t>
  </si>
  <si>
    <t>ELD3T5H-3M35-1</t>
  </si>
  <si>
    <t>3LD3T5H-3M35-1</t>
  </si>
  <si>
    <t>3BT3T5H-3M35-1</t>
  </si>
  <si>
    <t>ELD3T5H-3M40-8</t>
  </si>
  <si>
    <t>3LD3T5H-3M40-8</t>
  </si>
  <si>
    <t>3BT3T5H-3M40-8</t>
  </si>
  <si>
    <t>ELD3T5H-3M40-1</t>
  </si>
  <si>
    <t>3LD3T5H-3M40-1</t>
  </si>
  <si>
    <t>3BT3T5H-3M40-1</t>
  </si>
  <si>
    <t>ELD3T5H-3M50-8</t>
  </si>
  <si>
    <t>3LD3T5H-3M50-8</t>
  </si>
  <si>
    <t>3BT3T5H-3M50-8</t>
  </si>
  <si>
    <t>ELD3T5H-3M50-1</t>
  </si>
  <si>
    <t>3LD3T5H-3M50-1</t>
  </si>
  <si>
    <t>3BT3T5H-3M50-1</t>
  </si>
  <si>
    <t>3BT4T5H-1M30-24</t>
  </si>
  <si>
    <t>ELD4T5H-1M30-1</t>
  </si>
  <si>
    <t>3LD4T5H-1M30-1</t>
  </si>
  <si>
    <t>3BT4T5H-1M30-1</t>
  </si>
  <si>
    <t>3BT4T5H-1M35-24</t>
  </si>
  <si>
    <t>ELD4T5H-1M35-1</t>
  </si>
  <si>
    <t>3LD4T5H-1M35-1</t>
  </si>
  <si>
    <t>3BT4T5H-1M35-1</t>
  </si>
  <si>
    <t>3BT4T5H-1M40-24</t>
  </si>
  <si>
    <t>ELD4T5H-1M40-1</t>
  </si>
  <si>
    <t>3LD4T5H-1M40-1</t>
  </si>
  <si>
    <t>3BT4T5H-1M40-1</t>
  </si>
  <si>
    <t>ELD4T5H-1M50-24</t>
  </si>
  <si>
    <t>3LD4T5H-1M50-24</t>
  </si>
  <si>
    <t>3BT4T5H-1M50-24</t>
  </si>
  <si>
    <t>ELD4T5H-1M50-1</t>
  </si>
  <si>
    <t>3LD4T5H-1M50-1</t>
  </si>
  <si>
    <t>3BT4T5H-1M50-1</t>
  </si>
  <si>
    <t>3BT4T5H-2M30-12</t>
  </si>
  <si>
    <t>ELD4T5H-2M30-1</t>
  </si>
  <si>
    <t>3LD4T5H-2M30-1</t>
  </si>
  <si>
    <t>3BT4T5H-2M30-1</t>
  </si>
  <si>
    <t>3BT4T5H-2M35-12</t>
  </si>
  <si>
    <t>ELD4T5H-2M35-1</t>
  </si>
  <si>
    <t>3LD4T5H-2M35-1</t>
  </si>
  <si>
    <t>3BT4T5H-2M35-1</t>
  </si>
  <si>
    <t>3BT4T5H-2M40-12</t>
  </si>
  <si>
    <t>ELD4T5H-2M40-1</t>
  </si>
  <si>
    <t>3LD4T5H-2M40-1</t>
  </si>
  <si>
    <t>3BT4T5H-2M40-1</t>
  </si>
  <si>
    <t>ELD4T5H-2M50-12</t>
  </si>
  <si>
    <t>3LD4T5H-2M50-12</t>
  </si>
  <si>
    <t>3BT4T5H-2M50-12</t>
  </si>
  <si>
    <t>ELD4T5H-2M50-1</t>
  </si>
  <si>
    <t>3LD4T5H-2M50-1</t>
  </si>
  <si>
    <t>3BT4T5H-2M50-1</t>
  </si>
  <si>
    <t>ELD4T5H-3M30-8</t>
  </si>
  <si>
    <t>ELD4T5H-3M30-1</t>
  </si>
  <si>
    <t>LDE7MNVA-1</t>
  </si>
  <si>
    <t>ELD4T5H-3M35-8</t>
  </si>
  <si>
    <t>ELD4T5H-3M35-1</t>
  </si>
  <si>
    <t>ELD4T5H-3M40-8</t>
  </si>
  <si>
    <t>ELD4T5H-3M40-1</t>
  </si>
  <si>
    <t>ELD4T5H-3M50-8</t>
  </si>
  <si>
    <t>ELD4T5H-3M50-1</t>
  </si>
  <si>
    <t>ELD4T8H-1M30-24</t>
  </si>
  <si>
    <t>3LD4T8H-1M30-24</t>
  </si>
  <si>
    <t>3BT4T8H-1M30-24</t>
  </si>
  <si>
    <t>ELD4T8H-1M30-1</t>
  </si>
  <si>
    <t>3LD4T8H-1M30-1</t>
  </si>
  <si>
    <t>3BT4T8H-1M30-1</t>
  </si>
  <si>
    <t>ELD4T8H-1M35-24</t>
  </si>
  <si>
    <t>3LD4T8H-1M35-24</t>
  </si>
  <si>
    <t>3BT4T8H-1M35-24</t>
  </si>
  <si>
    <t>ELD4T8H-1M35-1</t>
  </si>
  <si>
    <t>3LD4T8H-1M35-1</t>
  </si>
  <si>
    <t>3BT4T8H-1M35-1</t>
  </si>
  <si>
    <t>ELD4T8H-1M40-24</t>
  </si>
  <si>
    <t>3LD4T8H-1M40-24</t>
  </si>
  <si>
    <t>3BT4T8H-1M40-24</t>
  </si>
  <si>
    <t>ELD4T8H-1M40-1</t>
  </si>
  <si>
    <t>3LD4T8H-1M40-1</t>
  </si>
  <si>
    <t>3BT4T8H-1M40-1</t>
  </si>
  <si>
    <t>ELD4T8H-1M50-24</t>
  </si>
  <si>
    <t>3LD4T8H-1M50-24</t>
  </si>
  <si>
    <t>3BT4T8H-1M50-24</t>
  </si>
  <si>
    <t>ELD4T8H-1M50-1</t>
  </si>
  <si>
    <t>3LD4T8H-1M50-1</t>
  </si>
  <si>
    <t>3BT4T8H-1M50-1</t>
  </si>
  <si>
    <t>ELD4T8H-2M30-12</t>
  </si>
  <si>
    <t>3LD4T8H-2M30-12</t>
  </si>
  <si>
    <t>3BT4T8H-2M30-12</t>
  </si>
  <si>
    <t>ELD4T8H-2M30-1</t>
  </si>
  <si>
    <t>3LD4T8H-2M30-1</t>
  </si>
  <si>
    <t>3BT4T8H-2M30-1</t>
  </si>
  <si>
    <t>ELD4T8H-2M35-12</t>
  </si>
  <si>
    <t>3LD4T8H-2M35-12</t>
  </si>
  <si>
    <t>3BT4T8H-2M35-12</t>
  </si>
  <si>
    <t>ELD4T8H-2M35-1</t>
  </si>
  <si>
    <t>3LD4T8H-2M35-1</t>
  </si>
  <si>
    <t>3BT4T8H-2M35-1</t>
  </si>
  <si>
    <t>ELD4T8H-2M40-12</t>
  </si>
  <si>
    <t>3LD4T8H-2M40-12</t>
  </si>
  <si>
    <t>3BT4T8H-2M40-12</t>
  </si>
  <si>
    <t>ELD4T8H-2M40-1</t>
  </si>
  <si>
    <t>3LD4T8H-2M40-1</t>
  </si>
  <si>
    <t>3BT4T8H-2M40-1</t>
  </si>
  <si>
    <t>ELD4T8H-2M50-12</t>
  </si>
  <si>
    <t>3LD4T8H-2M50-12</t>
  </si>
  <si>
    <t>3BT4T8H-2M50-12</t>
  </si>
  <si>
    <t>ELD4T8H-2M50-1</t>
  </si>
  <si>
    <t>3LD4T8H-2M50-1</t>
  </si>
  <si>
    <t>3BT4T8H-2M50-1</t>
  </si>
  <si>
    <t>ELD4T8H-3M30-8</t>
  </si>
  <si>
    <t>ELD4T8H-3M30-1</t>
  </si>
  <si>
    <t>ELD4T8H-3M35-8</t>
  </si>
  <si>
    <t>ELD4T8H-3M35-1</t>
  </si>
  <si>
    <t>ELD4T8H-3M40-8</t>
  </si>
  <si>
    <t>ELD4T8H-3M40-1</t>
  </si>
  <si>
    <t>ELD4T8H-3M50-8</t>
  </si>
  <si>
    <t>ELD4T8H-3M50-1</t>
  </si>
  <si>
    <t>ELD-TT-1M30-24</t>
  </si>
  <si>
    <t>3LD-TT-1M30-24</t>
  </si>
  <si>
    <t>3BT-TT-1M30-24</t>
  </si>
  <si>
    <t>ELD-TT-1M30-1</t>
  </si>
  <si>
    <t>3LD-TT-1M30-1</t>
  </si>
  <si>
    <t>3BT-TT-1M30-1</t>
  </si>
  <si>
    <t>LED-PLL22IN835</t>
  </si>
  <si>
    <t>RP-PLL2G11-G1-22IN-835</t>
  </si>
  <si>
    <t>ELD-TT-1M35-24</t>
  </si>
  <si>
    <t>3LD-TT-1M35-24</t>
  </si>
  <si>
    <t>3BT-TT-1M35-24</t>
  </si>
  <si>
    <t>ELD-TT-1M35-1</t>
  </si>
  <si>
    <t>3LD-TT-1M35-1</t>
  </si>
  <si>
    <t>3BT-TT-1M35-1</t>
  </si>
  <si>
    <t>LED-PLL22IN830</t>
  </si>
  <si>
    <t>RP-PLL2G11-G1-22IN-830</t>
  </si>
  <si>
    <t>ELD-TT-1M40-24</t>
  </si>
  <si>
    <t>3LD-TT-1M40-24</t>
  </si>
  <si>
    <t>3BT-TT-1M40-24</t>
  </si>
  <si>
    <t>ELD-TT-1M40-1</t>
  </si>
  <si>
    <t>3LD-TT-1M40-1</t>
  </si>
  <si>
    <t>3BT-TT-1M40-1</t>
  </si>
  <si>
    <t>LED-PLL22IN840</t>
  </si>
  <si>
    <t>RP-PLL2G11-G1-22IN-840</t>
  </si>
  <si>
    <t>ELD-TT-1M50-24</t>
  </si>
  <si>
    <t>3LD-TT-1M50-24</t>
  </si>
  <si>
    <t>3BT-TT-1M50-24</t>
  </si>
  <si>
    <t>ELD-TT-1M50-1</t>
  </si>
  <si>
    <t>3LD-TT-1M50-1</t>
  </si>
  <si>
    <t>3BT-TT-1M50-1</t>
  </si>
  <si>
    <t>LED-PLL22IN850</t>
  </si>
  <si>
    <t>RP-PLL2G11-G1-22IN-850</t>
  </si>
  <si>
    <t>ELD-TT-2M30-12</t>
  </si>
  <si>
    <t>3LD-TT-2M30-12</t>
  </si>
  <si>
    <t>3BT-TT-2M30-12</t>
  </si>
  <si>
    <t>ELD-TT-2M30-1</t>
  </si>
  <si>
    <t>3LD-TT-2M30-1</t>
  </si>
  <si>
    <t>3BT-TT-2M30-1</t>
  </si>
  <si>
    <t>ELD-TT-2M35-12</t>
  </si>
  <si>
    <t>3LD-TT-2M35-12</t>
  </si>
  <si>
    <t>3BT-TT-2M35-12</t>
  </si>
  <si>
    <t>ELD-TT-2M35-1</t>
  </si>
  <si>
    <t>3LD-TT-2M35-1</t>
  </si>
  <si>
    <t>3BT-TT-2M35-1</t>
  </si>
  <si>
    <t>ELD-TT-2M40-12</t>
  </si>
  <si>
    <t>3LD-TT-2M40-12</t>
  </si>
  <si>
    <t>3BT-TT-2M40-12</t>
  </si>
  <si>
    <t>ELD-TT-2M40-1</t>
  </si>
  <si>
    <t>3LD-TT-2M40-1</t>
  </si>
  <si>
    <t>3BT-TT-2M40-1</t>
  </si>
  <si>
    <t>ELD-TT-2M50-12</t>
  </si>
  <si>
    <t>3LD-TT-2M50-12</t>
  </si>
  <si>
    <t>3BT-TT-2M50-12</t>
  </si>
  <si>
    <t>ELD-TT-2M50-1</t>
  </si>
  <si>
    <t>3LD-TT-2M50-1</t>
  </si>
  <si>
    <t>3BT-TT-2M50-1</t>
  </si>
  <si>
    <t>ELD-TT-3M30-8</t>
  </si>
  <si>
    <t>ELD-TT-3M30-1</t>
  </si>
  <si>
    <t>ELD-TT-3M35-8</t>
  </si>
  <si>
    <t>ELD-TT-3M35-1</t>
  </si>
  <si>
    <t>ELD-TT-3M40-8</t>
  </si>
  <si>
    <t>ELD-TT-3M40-1</t>
  </si>
  <si>
    <t>ELD-TT-3M50-8</t>
  </si>
  <si>
    <t>ELD-TT-3M50-1</t>
  </si>
  <si>
    <t>ELDVCF-1K30-1</t>
  </si>
  <si>
    <t>3LDVCF-1K30-1</t>
  </si>
  <si>
    <t>LDE4KSAA-1</t>
  </si>
  <si>
    <t>L3DA4KS3A-1</t>
  </si>
  <si>
    <t>LED-G24QCA830</t>
  </si>
  <si>
    <t>LED-7330-30K-G2</t>
  </si>
  <si>
    <t>ELDVCF-1K35-1</t>
  </si>
  <si>
    <t>3LDVCF-1K35-1</t>
  </si>
  <si>
    <t>LED-G24QCA835</t>
  </si>
  <si>
    <t>LED-7330-35K-G2</t>
  </si>
  <si>
    <t>ELDVCF-1K40-1</t>
  </si>
  <si>
    <t>3LDVCF-1K40-1</t>
  </si>
  <si>
    <t>LED-G24QCA840</t>
  </si>
  <si>
    <t>LED-7330-40K-G2</t>
  </si>
  <si>
    <t>ELDVCF-2K30-12</t>
  </si>
  <si>
    <t>3LDVCF-2K30-12</t>
  </si>
  <si>
    <t>ELDVCF-2K30-1</t>
  </si>
  <si>
    <t>3LDVCF-2K30-1</t>
  </si>
  <si>
    <t>LDE4KSBA-1</t>
  </si>
  <si>
    <t>ELDVCF-2K35-12</t>
  </si>
  <si>
    <t>3LDVCF-2K35-12</t>
  </si>
  <si>
    <t>ELDVCF-2K35-1</t>
  </si>
  <si>
    <t>3LDVCF-2K35-1</t>
  </si>
  <si>
    <t>ELDVCF-2K40-12</t>
  </si>
  <si>
    <t>3LDVCF-2K40-12</t>
  </si>
  <si>
    <t>ELDVCF-2K40-1</t>
  </si>
  <si>
    <t>3LDVCF-2K40-1</t>
  </si>
  <si>
    <t>ELDHCF-1K30-1</t>
  </si>
  <si>
    <t>3LDHCF-1K30-1</t>
  </si>
  <si>
    <t>LED-G24QCB830</t>
  </si>
  <si>
    <t>LED-7334-30K-G2</t>
  </si>
  <si>
    <t>ELDHCF-1K35-1</t>
  </si>
  <si>
    <t>3LDHCF-1K35-1</t>
  </si>
  <si>
    <t>LED-G24QCB835</t>
  </si>
  <si>
    <t>LED-7334-35K-G2</t>
  </si>
  <si>
    <t>ELDHCF-1K40-1</t>
  </si>
  <si>
    <t>3LDHCF-1K40-1</t>
  </si>
  <si>
    <t>LED-G24QCB840</t>
  </si>
  <si>
    <t>LED-7334-40K-G2</t>
  </si>
  <si>
    <t>ELDHCF-2K30-1</t>
  </si>
  <si>
    <t>3LDHCF-2K30-1</t>
  </si>
  <si>
    <t>ELDHCF-2K35-1</t>
  </si>
  <si>
    <t>3LDHCF-2K35-1</t>
  </si>
  <si>
    <t>ELDHCF-2K40-1</t>
  </si>
  <si>
    <t>3LDHCF-2K40-1</t>
  </si>
  <si>
    <t>ELDRCF-1K30-24</t>
  </si>
  <si>
    <t>3LDRCF-1K30-24</t>
  </si>
  <si>
    <t>ELDRCF-1K30-1</t>
  </si>
  <si>
    <t>3LDRCF-1K30-1</t>
  </si>
  <si>
    <t>LED-G24QCC830</t>
  </si>
  <si>
    <t>LED-7338-30A</t>
  </si>
  <si>
    <t>ELDRCF-1K35-24</t>
  </si>
  <si>
    <t>3LDRCF-1K35-24</t>
  </si>
  <si>
    <t>ELDRCF-1K35-1</t>
  </si>
  <si>
    <t>3LDRCF-1K35-1</t>
  </si>
  <si>
    <t>LED-G24QCC835</t>
  </si>
  <si>
    <t>LED-7338-35A</t>
  </si>
  <si>
    <t>ELDRCF-1K40-24</t>
  </si>
  <si>
    <t>3LDRCF-1K40-24</t>
  </si>
  <si>
    <t>ELDRCF-1K40-1</t>
  </si>
  <si>
    <t>3LDRCF-1K40-1</t>
  </si>
  <si>
    <t>LED-G24QCC840</t>
  </si>
  <si>
    <t>LED-7338-40A</t>
  </si>
  <si>
    <t>R WITH EXTENDER</t>
  </si>
  <si>
    <t>accessory only</t>
  </si>
  <si>
    <t>ELDRCA-1K30-24</t>
  </si>
  <si>
    <t>3LDRCA-1K30-24</t>
  </si>
  <si>
    <t>ELDRCA-1K30-1</t>
  </si>
  <si>
    <t>3LDRCA-1K30-1</t>
  </si>
  <si>
    <t>LED-7317-ARM</t>
  </si>
  <si>
    <t>ELDRCA-1K35-24</t>
  </si>
  <si>
    <t>3LDRCA-1K35-24</t>
  </si>
  <si>
    <t>ELDRCA-1K35-1</t>
  </si>
  <si>
    <t>3LDRCA-1K35-1</t>
  </si>
  <si>
    <t>ELDRCA-1K40-24</t>
  </si>
  <si>
    <t>3LDRCA-1K40-24</t>
  </si>
  <si>
    <t>ELDRCA-1K40-1</t>
  </si>
  <si>
    <t>3LDRCA-1K40-1</t>
  </si>
  <si>
    <t>ELDPCAH-1K30-24</t>
  </si>
  <si>
    <t>3LDPCAH-1K30-24</t>
  </si>
  <si>
    <t>ELDPCAH-1K30-1</t>
  </si>
  <si>
    <t>3LDPCAH-1K30-1</t>
  </si>
  <si>
    <t>LED-G24QCE-830</t>
  </si>
  <si>
    <t>RP-G24QC-G2-4IN-830</t>
  </si>
  <si>
    <t>ELDPCAH-1K35-24</t>
  </si>
  <si>
    <t>3LDPCAH-1K35-24</t>
  </si>
  <si>
    <t>ELDPCAH-1K35-1</t>
  </si>
  <si>
    <t>3LDPCAH-1K35-1</t>
  </si>
  <si>
    <t>LED-G24QCE-835</t>
  </si>
  <si>
    <t>RP-G24QC-G2-4IN-835</t>
  </si>
  <si>
    <t>ELDPCAH-1K40-24</t>
  </si>
  <si>
    <t>3LDPCAH-1K40-24</t>
  </si>
  <si>
    <t>ELDPCAH-1K40-1</t>
  </si>
  <si>
    <t>3LDPCAH-1K40-1</t>
  </si>
  <si>
    <t>LED-G24QCE-840</t>
  </si>
  <si>
    <t>RP-G24QC-G2-4IN-840</t>
  </si>
  <si>
    <t>ELDPCA-1K30-24</t>
  </si>
  <si>
    <t>3LDPCA-1K30-24</t>
  </si>
  <si>
    <t>ELDPCA-1K30-1</t>
  </si>
  <si>
    <t>3LDPCA-1K30-1</t>
  </si>
  <si>
    <t>ELDPCA-1K35-24</t>
  </si>
  <si>
    <t>3LDPCA-1K35-24</t>
  </si>
  <si>
    <t>ELDPCA-1K35-1</t>
  </si>
  <si>
    <t>3LDPCA-1K35-1</t>
  </si>
  <si>
    <t>ELDPCA-1K40-24</t>
  </si>
  <si>
    <t>3LDPCA-1K40-24</t>
  </si>
  <si>
    <t>ELDPCA-1K40-1</t>
  </si>
  <si>
    <t>3LDPCA-1K40-1</t>
  </si>
  <si>
    <t>ELDPCF-1K30-24</t>
  </si>
  <si>
    <t>3LDPCF-1K30-24</t>
  </si>
  <si>
    <t>ELDPCF-1K30-1</t>
  </si>
  <si>
    <t>3LDPCF-1K30-1</t>
  </si>
  <si>
    <t>ELDPCF-1K35-24</t>
  </si>
  <si>
    <t>3LDPCF-1K35-24</t>
  </si>
  <si>
    <t>ELDPCF-1K35-1</t>
  </si>
  <si>
    <t>3LDPCF-1K35-1</t>
  </si>
  <si>
    <t>ELDPCF-1K40-24</t>
  </si>
  <si>
    <t>3LDPCF-1K40-24</t>
  </si>
  <si>
    <t>ELDPCF-1K40-1</t>
  </si>
  <si>
    <t>3LDPCF-1K40-1</t>
  </si>
  <si>
    <t>P WITH EXTENDER</t>
  </si>
  <si>
    <t>ELDVCF-1C30-24</t>
  </si>
  <si>
    <t>3LDVCF-1C30-24</t>
  </si>
  <si>
    <t>ELDVCF-1C30-1</t>
  </si>
  <si>
    <t>3LDVCF-1C30-1</t>
  </si>
  <si>
    <t>LDE4KNAA-1</t>
  </si>
  <si>
    <t>L3DA4KN3A-1</t>
  </si>
  <si>
    <t>ELDVCF-1C35-24</t>
  </si>
  <si>
    <t>3LDVCF-1C35-24</t>
  </si>
  <si>
    <t>ELDVCF-1C35-1</t>
  </si>
  <si>
    <t>3LDVCF-1C35-1</t>
  </si>
  <si>
    <t>ELDVCF-1C40-24</t>
  </si>
  <si>
    <t>3LDVCF-1C40-24</t>
  </si>
  <si>
    <t>ELDVCF-1C40-1</t>
  </si>
  <si>
    <t>3LDVCF-1C40-1</t>
  </si>
  <si>
    <t>ELDVCF-2C30-12</t>
  </si>
  <si>
    <t>3LDVCF-2C30-12</t>
  </si>
  <si>
    <t>ELDVCF-2C30-1</t>
  </si>
  <si>
    <t>3LDVCF-2C30-1</t>
  </si>
  <si>
    <t>LDE4KNBA-1</t>
  </si>
  <si>
    <t>ELDVCF-2C35-12</t>
  </si>
  <si>
    <t>3LDVCF-2C35-12</t>
  </si>
  <si>
    <t>ELDVCF-2C35-1</t>
  </si>
  <si>
    <t>3LDVCF-2C35-1</t>
  </si>
  <si>
    <t>ELDVCF-2C40-12</t>
  </si>
  <si>
    <t>3LDVCF-2C40-12</t>
  </si>
  <si>
    <t>ELDVCF-2C40-1</t>
  </si>
  <si>
    <t>3LDVCF-2C40-1</t>
  </si>
  <si>
    <t>ELDHCF-1C30-24</t>
  </si>
  <si>
    <t>3LDHCF-1C30-24</t>
  </si>
  <si>
    <t>ELDHCF-1C30-1</t>
  </si>
  <si>
    <t>3LDHCF-1C30-1</t>
  </si>
  <si>
    <t>ELDHCF-1C35-24</t>
  </si>
  <si>
    <t>3LDHCF-1C35-24</t>
  </si>
  <si>
    <t>ELDHCF-1C35-1</t>
  </si>
  <si>
    <t>3LDHCF-1C35-1</t>
  </si>
  <si>
    <t>ELDHCF-1C40-24</t>
  </si>
  <si>
    <t>3LDHCF-1C40-24</t>
  </si>
  <si>
    <t>ELDHCF-1C40-1</t>
  </si>
  <si>
    <t>3LDHCF-1C40-1</t>
  </si>
  <si>
    <t>ELDHCF-2C30-12</t>
  </si>
  <si>
    <t>3LDHCF-2C30-12</t>
  </si>
  <si>
    <t>ELDHCF-2C30-1</t>
  </si>
  <si>
    <t>3LDHCF-2C30-1</t>
  </si>
  <si>
    <t>ELDHCF-2C35-12</t>
  </si>
  <si>
    <t>3LDHCF-2C35-12</t>
  </si>
  <si>
    <t>ELDHCF-2C35-1</t>
  </si>
  <si>
    <t>3LDHCF-2C35-1</t>
  </si>
  <si>
    <t>ELDHCF-2C40-12</t>
  </si>
  <si>
    <t>3LDHCF-2C40-12</t>
  </si>
  <si>
    <t>ELDHCF-2C40-1</t>
  </si>
  <si>
    <t>3LDHCF-2C40-1</t>
  </si>
  <si>
    <t>ELDRCF-1C30-24</t>
  </si>
  <si>
    <t>3LDRCF-1C30-24</t>
  </si>
  <si>
    <t>ELDRCF-1C30-1</t>
  </si>
  <si>
    <t>3LDRCF-1C30-1</t>
  </si>
  <si>
    <t>LED-G24QCC-830</t>
  </si>
  <si>
    <t>ELDRCF-1C35-24</t>
  </si>
  <si>
    <t>3LDRCF-1C35-24</t>
  </si>
  <si>
    <t>ELDRCF-1C35-1</t>
  </si>
  <si>
    <t>3LDRCF-1C35-1</t>
  </si>
  <si>
    <t>LED-G24QCC-835</t>
  </si>
  <si>
    <t>ELDRCF-1C40-24</t>
  </si>
  <si>
    <t>3LDRCF-1C40-24</t>
  </si>
  <si>
    <t>ELDRCF-1C40-1</t>
  </si>
  <si>
    <t>3LDRCF-1C40-1</t>
  </si>
  <si>
    <t>LED-G24QCC-840</t>
  </si>
  <si>
    <t>ELDRCA-1C30-24</t>
  </si>
  <si>
    <t>3LDRCA-1C30-24</t>
  </si>
  <si>
    <t>ELDRCA-1C30-1</t>
  </si>
  <si>
    <t>3LDRCA-1C30-1</t>
  </si>
  <si>
    <t>ELDRCA-1C35-24</t>
  </si>
  <si>
    <t>3LDRCA-1C35-24</t>
  </si>
  <si>
    <t>ELDRCA-1C35-1</t>
  </si>
  <si>
    <t>3LDRCA-1C35-1</t>
  </si>
  <si>
    <t>ELDRCA-1C40-24</t>
  </si>
  <si>
    <t>3LDRCA-1C40-24</t>
  </si>
  <si>
    <t>ELDRCA-1C40-1</t>
  </si>
  <si>
    <t>3LDRCA-1C40-1</t>
  </si>
  <si>
    <t>ELDPCAH-1C30-24</t>
  </si>
  <si>
    <t>3LDPCAH-1C30-24</t>
  </si>
  <si>
    <t>ELDPCAH-1C30-1</t>
  </si>
  <si>
    <t>3LDPCAH-1C30-1</t>
  </si>
  <si>
    <t>ELDPCAH-1C35-24</t>
  </si>
  <si>
    <t>3LDPCAH-1C35-24</t>
  </si>
  <si>
    <t>ELDPCAH-1C35-1</t>
  </si>
  <si>
    <t>3LDPCAH-1C35-1</t>
  </si>
  <si>
    <t>ELDPCAH-1C40-24</t>
  </si>
  <si>
    <t>3LDPCAH-1C40-24</t>
  </si>
  <si>
    <t>ELDPCAH-1C40-1</t>
  </si>
  <si>
    <t>3LDPCAH-1C40-1</t>
  </si>
  <si>
    <t>ELDPCA-1C30-24</t>
  </si>
  <si>
    <t>3LDPCA-1C30-24</t>
  </si>
  <si>
    <t>ELDPCA-1C30-1</t>
  </si>
  <si>
    <t>3LDPCA-1C30-1</t>
  </si>
  <si>
    <t>ELDPCA-1C35-24</t>
  </si>
  <si>
    <t>3LDPCA-1C35-24</t>
  </si>
  <si>
    <t>ELDPCA-1C35-1</t>
  </si>
  <si>
    <t>3LDPCA-1C35-1</t>
  </si>
  <si>
    <t>ELDPCA-1C40-24</t>
  </si>
  <si>
    <t>3LDPCA-1C40-24</t>
  </si>
  <si>
    <t>ELDPCA-1C40-1</t>
  </si>
  <si>
    <t>3LDPCA-1C40-1</t>
  </si>
  <si>
    <t>ELDPCF-1C30-24</t>
  </si>
  <si>
    <t>3LDPCF-1C30-24</t>
  </si>
  <si>
    <t>ELDPCF-1C30-1</t>
  </si>
  <si>
    <t>3LDPCF-1C30-1</t>
  </si>
  <si>
    <t>ELDPCF-1C35-24</t>
  </si>
  <si>
    <t>3LDPCF-1C35-24</t>
  </si>
  <si>
    <t>ELDPCF-1C35-1</t>
  </si>
  <si>
    <t>3LDPCF-1C35-1</t>
  </si>
  <si>
    <t>ELDPCF-1C40-24</t>
  </si>
  <si>
    <t>3LDPCF-1C40-24</t>
  </si>
  <si>
    <t>ELDPCF-1C40-1</t>
  </si>
  <si>
    <t>3LDPCF-1C40-1</t>
  </si>
  <si>
    <t>There are not Lutron kits available that operate directly off of 347V.  Lutron recommends the use of a fixture-mounted step-down transformer, such as the MTM00506224C-LQ  available from Light Efficient Designs at https://assets.led-llc.com/spec-sheets/PS_MTM_VA0050_62-24_C_M03.pdf</t>
  </si>
  <si>
    <t>The selected ballast is capable of controlling 26W or 32W bulbs.  Based on the installed bulbs, choose the appropriate wattage in the "CFL Wattage" drop-down to properly match the original light output.  Note that 2-lamp, 32W or 42W, Vertical kits are not available.</t>
  </si>
  <si>
    <t>There are no direct Lutron kits available for 5-foot lamps.  Depending on fixture construction, a 4-foot Bar Kit (from Light Efficient Designs) could be used, or a 2-foot Bar Kit plus a 3-foot Bar Kit.</t>
  </si>
  <si>
    <t>There is no direct Lutron TLED kits for T12 lamps.  Lutron suggests the use of T8 lamps for four-foot lamp installations (which use the same lamp socket sizes), or multiple Bar Kits for longer lamp installations; see www.c-flextretrofits.com for details.</t>
  </si>
  <si>
    <t>YouTube Video: Determining EcoSystem vs. 3-Wire control types</t>
  </si>
  <si>
    <t>Identifying EcoSystem vs. 3-Wire Load Typesn (YouTube video)</t>
  </si>
  <si>
    <t>Identifying EcoSystem vs. 3-Wire Load Types (YouTube)</t>
  </si>
  <si>
    <t>The fixture where this ballast is installed may have lamps mounted vertically or horizontally.  Ensure the proper "CFL Mounting Direction" option is selected.  A mockup is suggested to confirm proper fit.</t>
  </si>
  <si>
    <t>Sensor on Ballast:</t>
  </si>
  <si>
    <t>CFL Mounting Direction:</t>
  </si>
  <si>
    <t>CFL Lamp Wattage:</t>
  </si>
  <si>
    <t>Valid Model Selected:</t>
  </si>
  <si>
    <t>This ballast has optional sensor inputs, but the TLED driver does not.  If sensors are connected to the ballast, Lutron recommends adding a C5-BMF-2A to the order to support the sensor connections.</t>
  </si>
  <si>
    <t>Not yet available CFLs</t>
  </si>
  <si>
    <t>This model will be available from Lutron in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</si>
</sst>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W"/>
    <numFmt numFmtId="165" formatCode="0\K"/>
  </numFmts>
  <fonts count="53" x14ac:knownFonts="1">
    <font>
      <sz val="11"/>
      <color theme="1"/>
      <name val="Calibri"/>
      <family val="2"/>
      <scheme val="minor"/>
    </font>
    <font>
      <b/>
      <sz val="11"/>
      <color theme="1"/>
      <name val="Calibri"/>
      <family val="2"/>
      <scheme val="minor"/>
    </font>
    <font>
      <sz val="8"/>
      <name val="Calibri"/>
      <family val="2"/>
      <scheme val="minor"/>
    </font>
    <font>
      <b/>
      <sz val="9"/>
      <color indexed="81"/>
      <name val="Tahoma"/>
      <family val="2"/>
    </font>
    <font>
      <u/>
      <sz val="11"/>
      <color theme="10"/>
      <name val="Calibri"/>
      <family val="2"/>
      <scheme val="minor"/>
    </font>
    <font>
      <sz val="11"/>
      <color theme="1"/>
      <name val="Arial"/>
      <family val="2"/>
    </font>
    <font>
      <b/>
      <sz val="12"/>
      <color theme="1"/>
      <name val="Arial"/>
      <family val="2"/>
    </font>
    <font>
      <b/>
      <sz val="11"/>
      <color theme="1"/>
      <name val="Arial"/>
      <family val="2"/>
    </font>
    <font>
      <b/>
      <sz val="11"/>
      <color theme="0"/>
      <name val="Arial"/>
      <family val="2"/>
    </font>
    <font>
      <i/>
      <sz val="11"/>
      <color theme="0"/>
      <name val="Arial"/>
      <family val="2"/>
    </font>
    <font>
      <u/>
      <sz val="11"/>
      <color theme="10"/>
      <name val="Arial"/>
      <family val="2"/>
    </font>
    <font>
      <sz val="11"/>
      <color theme="0"/>
      <name val="Arial"/>
      <family val="2"/>
    </font>
    <font>
      <b/>
      <sz val="16"/>
      <color theme="1"/>
      <name val="Arial"/>
      <family val="2"/>
    </font>
    <font>
      <i/>
      <sz val="11"/>
      <color theme="1"/>
      <name val="Arial"/>
      <family val="2"/>
    </font>
    <font>
      <sz val="12"/>
      <color theme="1"/>
      <name val="Arial"/>
      <family val="2"/>
    </font>
    <font>
      <i/>
      <sz val="12"/>
      <color rgb="FFFF0000"/>
      <name val="Arial"/>
      <family val="2"/>
    </font>
    <font>
      <sz val="10"/>
      <name val="Calibri"/>
      <family val="2"/>
      <scheme val="minor"/>
    </font>
    <font>
      <b/>
      <sz val="18"/>
      <color theme="1"/>
      <name val="Arial"/>
      <family val="2"/>
    </font>
    <font>
      <sz val="10"/>
      <color theme="0" tint="-0.499984740745262"/>
      <name val="Arial"/>
      <family val="2"/>
    </font>
    <font>
      <i/>
      <sz val="10"/>
      <color theme="0" tint="-0.499984740745262"/>
      <name val="Arial"/>
      <family val="2"/>
    </font>
    <font>
      <sz val="14"/>
      <color theme="1"/>
      <name val="Arial"/>
      <family val="2"/>
    </font>
    <font>
      <sz val="14"/>
      <color theme="1"/>
      <name val="Calibri"/>
      <family val="2"/>
      <scheme val="minor"/>
    </font>
    <font>
      <sz val="12"/>
      <name val="Arial"/>
      <family val="2"/>
    </font>
    <font>
      <i/>
      <sz val="8"/>
      <color theme="1"/>
      <name val="Arial"/>
      <family val="2"/>
    </font>
    <font>
      <sz val="11"/>
      <color theme="1"/>
      <name val="Calibri"/>
      <family val="2"/>
    </font>
    <font>
      <b/>
      <sz val="12"/>
      <color rgb="FFFF0000"/>
      <name val="Arial"/>
      <family val="2"/>
    </font>
    <font>
      <b/>
      <sz val="14"/>
      <color indexed="81"/>
      <name val="Tahoma"/>
      <family val="2"/>
    </font>
    <font>
      <b/>
      <u/>
      <sz val="11"/>
      <color theme="1"/>
      <name val="Arial"/>
      <family val="2"/>
    </font>
    <font>
      <b/>
      <i/>
      <u/>
      <sz val="11"/>
      <color theme="1"/>
      <name val="Arial"/>
      <family val="2"/>
    </font>
    <font>
      <b/>
      <i/>
      <sz val="14"/>
      <color rgb="FFC00000"/>
      <name val="Arial"/>
      <family val="2"/>
    </font>
    <font>
      <sz val="12"/>
      <name val="Arial"/>
      <family val="2"/>
    </font>
    <font>
      <i/>
      <sz val="10"/>
      <color rgb="FFFF0000"/>
      <name val="Arial"/>
      <family val="2"/>
    </font>
    <font>
      <b/>
      <sz val="11"/>
      <color theme="0"/>
      <name val="Calibri"/>
      <family val="2"/>
      <scheme val="minor"/>
    </font>
    <font>
      <b/>
      <sz val="12"/>
      <color theme="4"/>
      <name val="Arial"/>
      <family val="2"/>
    </font>
    <font>
      <b/>
      <sz val="12"/>
      <color theme="5" tint="-0.249977111117893"/>
      <name val="Arial"/>
      <family val="2"/>
    </font>
    <font>
      <b/>
      <sz val="12"/>
      <color rgb="FFC00000"/>
      <name val="Arial"/>
      <family val="2"/>
    </font>
    <font>
      <b/>
      <sz val="12"/>
      <color rgb="FF0070C0"/>
      <name val="Arial"/>
      <family val="2"/>
    </font>
    <font>
      <b/>
      <i/>
      <sz val="11"/>
      <color rgb="FFFF0000"/>
      <name val="Arial"/>
      <family val="2"/>
    </font>
    <font>
      <b/>
      <sz val="11"/>
      <color theme="5" tint="-0.249977111117893"/>
      <name val="Arial"/>
      <family val="2"/>
    </font>
    <font>
      <b/>
      <sz val="14"/>
      <color theme="1"/>
      <name val="Arial"/>
      <family val="2"/>
    </font>
    <font>
      <b/>
      <sz val="20"/>
      <color theme="1"/>
      <name val="Arial"/>
      <family val="2"/>
    </font>
    <font>
      <sz val="11"/>
      <name val="Arial"/>
      <family val="2"/>
    </font>
    <font>
      <b/>
      <sz val="10"/>
      <color theme="1"/>
      <name val="Arial"/>
      <family val="2"/>
    </font>
    <font>
      <b/>
      <sz val="10"/>
      <color theme="0"/>
      <name val="Arial"/>
      <family val="2"/>
    </font>
    <font>
      <b/>
      <sz val="11"/>
      <name val="Calibri"/>
      <family val="2"/>
      <scheme val="minor"/>
    </font>
    <font>
      <i/>
      <sz val="12"/>
      <color theme="1"/>
      <name val="Arial"/>
      <family val="2"/>
    </font>
    <font>
      <sz val="12"/>
      <color theme="1"/>
      <name val="Calibri"/>
      <family val="2"/>
      <scheme val="minor"/>
    </font>
    <font>
      <sz val="11"/>
      <color theme="0"/>
      <name val="Calibri"/>
      <family val="2"/>
      <scheme val="minor"/>
    </font>
    <font>
      <sz val="9"/>
      <color indexed="81"/>
      <name val="Tahoma"/>
      <family val="2"/>
    </font>
    <font>
      <sz val="12"/>
      <color theme="0" tint="-0.499984740745262"/>
      <name val="Arial"/>
      <family val="2"/>
    </font>
    <font>
      <b/>
      <sz val="11"/>
      <color rgb="FFFF0000"/>
      <name val="Arial"/>
      <family val="2"/>
    </font>
    <font>
      <b/>
      <sz val="18"/>
      <color theme="1"/>
      <name val="Calibri"/>
      <family val="2"/>
      <scheme val="minor"/>
    </font>
    <font>
      <b/>
      <sz val="14"/>
      <color theme="1"/>
      <name val="Calibri"/>
      <family val="2"/>
      <scheme val="minor"/>
    </font>
  </fonts>
  <fills count="24">
    <fill>
      <patternFill patternType="none"/>
    </fill>
    <fill>
      <patternFill patternType="gray125"/>
    </fill>
    <fill>
      <patternFill patternType="solid">
        <fgColor rgb="FF00B0F0"/>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bgColor indexed="64"/>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0000"/>
        <bgColor indexed="64"/>
      </patternFill>
    </fill>
    <fill>
      <patternFill patternType="solid">
        <fgColor theme="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080"/>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00B050"/>
        <bgColor indexed="64"/>
      </patternFill>
    </fill>
    <fill>
      <patternFill patternType="solid">
        <fgColor theme="1" tint="4.9989318521683403E-2"/>
        <bgColor indexed="64"/>
      </patternFill>
    </fill>
    <fill>
      <patternFill patternType="solid">
        <fgColor rgb="FFFDA23D"/>
        <bgColor indexed="64"/>
      </patternFill>
    </fill>
    <fill>
      <patternFill patternType="solid">
        <fgColor rgb="FF7030A0"/>
        <bgColor indexed="64"/>
      </patternFill>
    </fill>
    <fill>
      <patternFill patternType="solid">
        <fgColor rgb="FFFF66CC"/>
        <bgColor indexed="64"/>
      </patternFill>
    </fill>
    <fill>
      <patternFill patternType="solid">
        <fgColor rgb="FFFFCCCC"/>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theme="0"/>
      </right>
      <top/>
      <bottom style="thin">
        <color indexed="64"/>
      </bottom>
      <diagonal/>
    </border>
    <border>
      <left style="thin">
        <color theme="0"/>
      </left>
      <right style="thin">
        <color theme="0"/>
      </right>
      <top/>
      <bottom style="thin">
        <color indexed="64"/>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0"/>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medium">
        <color rgb="FFFFC000"/>
      </left>
      <right style="medium">
        <color rgb="FFFFC000"/>
      </right>
      <top style="medium">
        <color rgb="FFFFC000"/>
      </top>
      <bottom style="medium">
        <color rgb="FFFFC000"/>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230">
    <xf numFmtId="0" fontId="0" fillId="0" borderId="0" xfId="0"/>
    <xf numFmtId="0" fontId="0" fillId="0" borderId="0" xfId="0" applyAlignment="1">
      <alignment horizontal="center"/>
    </xf>
    <xf numFmtId="0" fontId="0" fillId="0" borderId="0" xfId="0" applyAlignment="1">
      <alignment horizontal="left"/>
    </xf>
    <xf numFmtId="0" fontId="1" fillId="0" borderId="0" xfId="0" applyFont="1"/>
    <xf numFmtId="9" fontId="0" fillId="0" borderId="0" xfId="0" applyNumberFormat="1" applyAlignment="1">
      <alignment horizontal="center"/>
    </xf>
    <xf numFmtId="0" fontId="1" fillId="0" borderId="0" xfId="0" applyFont="1" applyAlignment="1">
      <alignment vertical="top"/>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center" vertical="top"/>
    </xf>
    <xf numFmtId="0" fontId="1" fillId="2" borderId="0" xfId="0" applyFont="1" applyFill="1" applyAlignment="1">
      <alignment horizontal="center" vertical="top" wrapText="1"/>
    </xf>
    <xf numFmtId="0" fontId="0" fillId="0" borderId="0" xfId="0" applyAlignment="1">
      <alignment wrapText="1"/>
    </xf>
    <xf numFmtId="49" fontId="1" fillId="0" borderId="0" xfId="0" applyNumberFormat="1" applyFont="1" applyAlignment="1">
      <alignment vertical="top" wrapText="1"/>
    </xf>
    <xf numFmtId="49" fontId="0" fillId="0" borderId="0" xfId="0" applyNumberFormat="1"/>
    <xf numFmtId="49" fontId="0" fillId="0" borderId="0" xfId="0" applyNumberFormat="1" applyAlignment="1">
      <alignment horizontal="center"/>
    </xf>
    <xf numFmtId="0" fontId="5" fillId="0" borderId="0" xfId="0" applyFont="1"/>
    <xf numFmtId="0" fontId="9" fillId="3" borderId="1" xfId="0" applyFont="1" applyFill="1" applyBorder="1" applyAlignment="1">
      <alignment horizontal="right"/>
    </xf>
    <xf numFmtId="0" fontId="5" fillId="0" borderId="0" xfId="0" applyFont="1" applyAlignment="1">
      <alignment horizontal="center"/>
    </xf>
    <xf numFmtId="0" fontId="8" fillId="3" borderId="1" xfId="0" applyFont="1" applyFill="1" applyBorder="1" applyAlignment="1">
      <alignment horizontal="right"/>
    </xf>
    <xf numFmtId="0" fontId="13" fillId="0" borderId="0" xfId="0" applyFont="1"/>
    <xf numFmtId="0" fontId="7" fillId="0" borderId="1" xfId="0" applyFont="1" applyBorder="1" applyAlignment="1" applyProtection="1">
      <alignment horizontal="left"/>
      <protection hidden="1"/>
    </xf>
    <xf numFmtId="164" fontId="7" fillId="0" borderId="1" xfId="0" applyNumberFormat="1" applyFont="1" applyBorder="1" applyAlignment="1" applyProtection="1">
      <alignment horizontal="left"/>
      <protection hidden="1"/>
    </xf>
    <xf numFmtId="0" fontId="7" fillId="0" borderId="1" xfId="0" applyFont="1" applyBorder="1" applyProtection="1">
      <protection hidden="1"/>
    </xf>
    <xf numFmtId="0" fontId="5" fillId="0" borderId="2" xfId="0" applyFont="1" applyBorder="1" applyAlignment="1" applyProtection="1">
      <alignment horizontal="right" vertical="top"/>
      <protection hidden="1"/>
    </xf>
    <xf numFmtId="0" fontId="11" fillId="0" borderId="3" xfId="0" applyFont="1" applyBorder="1" applyProtection="1">
      <protection hidden="1"/>
    </xf>
    <xf numFmtId="0" fontId="5" fillId="4" borderId="0" xfId="0" applyFont="1" applyFill="1"/>
    <xf numFmtId="0" fontId="5" fillId="0" borderId="0" xfId="0" applyFont="1" applyAlignment="1" applyProtection="1">
      <alignment horizontal="center"/>
      <protection hidden="1"/>
    </xf>
    <xf numFmtId="0" fontId="5" fillId="5" borderId="0" xfId="0" applyFont="1" applyFill="1"/>
    <xf numFmtId="0" fontId="6" fillId="0" borderId="0" xfId="0" applyFont="1"/>
    <xf numFmtId="0" fontId="16" fillId="0" borderId="1" xfId="0" applyFont="1" applyBorder="1"/>
    <xf numFmtId="49" fontId="16" fillId="0" borderId="1" xfId="0" applyNumberFormat="1" applyFont="1" applyBorder="1"/>
    <xf numFmtId="0" fontId="0" fillId="0" borderId="0" xfId="0" applyAlignment="1">
      <alignment horizontal="left" vertical="center" indent="1"/>
    </xf>
    <xf numFmtId="0" fontId="0" fillId="0" borderId="0" xfId="0" applyAlignment="1">
      <alignment horizontal="left" vertical="center" indent="2"/>
    </xf>
    <xf numFmtId="0" fontId="0" fillId="0" borderId="0" xfId="0" applyAlignment="1">
      <alignment horizontal="left" vertical="center" indent="12"/>
    </xf>
    <xf numFmtId="0" fontId="16" fillId="0" borderId="7" xfId="0" applyFont="1" applyBorder="1"/>
    <xf numFmtId="0" fontId="17" fillId="0" borderId="0" xfId="0" applyFont="1"/>
    <xf numFmtId="0" fontId="5" fillId="0" borderId="10" xfId="0" applyFont="1" applyBorder="1" applyAlignment="1">
      <alignment wrapText="1"/>
    </xf>
    <xf numFmtId="0" fontId="5" fillId="0" borderId="11" xfId="0" applyFont="1" applyBorder="1" applyAlignment="1">
      <alignment wrapText="1"/>
    </xf>
    <xf numFmtId="0" fontId="18" fillId="0" borderId="3" xfId="0" applyFont="1" applyBorder="1" applyAlignment="1">
      <alignment wrapText="1"/>
    </xf>
    <xf numFmtId="0" fontId="19" fillId="0" borderId="1" xfId="0" applyFont="1" applyBorder="1"/>
    <xf numFmtId="0" fontId="19" fillId="0" borderId="2" xfId="0" applyFont="1" applyBorder="1"/>
    <xf numFmtId="0" fontId="20" fillId="0" borderId="0" xfId="0" applyFont="1"/>
    <xf numFmtId="0" fontId="21" fillId="0" borderId="0" xfId="0" applyFont="1"/>
    <xf numFmtId="0" fontId="20" fillId="0" borderId="0" xfId="0" applyFont="1" applyAlignment="1">
      <alignment horizontal="right"/>
    </xf>
    <xf numFmtId="0" fontId="20" fillId="0" borderId="6" xfId="0" applyFont="1" applyBorder="1" applyProtection="1">
      <protection locked="0"/>
    </xf>
    <xf numFmtId="0" fontId="22" fillId="0" borderId="1" xfId="0" applyFont="1" applyBorder="1" applyProtection="1">
      <protection locked="0"/>
    </xf>
    <xf numFmtId="0" fontId="22" fillId="0" borderId="2" xfId="0" applyFont="1" applyBorder="1" applyProtection="1">
      <protection locked="0"/>
    </xf>
    <xf numFmtId="0" fontId="22" fillId="0" borderId="5" xfId="0" applyFont="1" applyBorder="1" applyProtection="1">
      <protection locked="0"/>
    </xf>
    <xf numFmtId="0" fontId="22" fillId="0" borderId="3" xfId="0" applyFont="1" applyBorder="1" applyAlignment="1" applyProtection="1">
      <alignment wrapText="1"/>
      <protection locked="0"/>
    </xf>
    <xf numFmtId="0" fontId="22" fillId="0" borderId="1" xfId="0" applyFont="1" applyBorder="1" applyAlignment="1" applyProtection="1">
      <alignment wrapText="1"/>
      <protection locked="0"/>
    </xf>
    <xf numFmtId="0" fontId="22" fillId="0" borderId="8" xfId="0" applyFont="1" applyBorder="1" applyAlignment="1" applyProtection="1">
      <alignment wrapText="1"/>
      <protection locked="0"/>
    </xf>
    <xf numFmtId="0" fontId="22" fillId="0" borderId="5" xfId="0" applyFont="1" applyBorder="1" applyAlignment="1" applyProtection="1">
      <alignment wrapText="1"/>
      <protection locked="0"/>
    </xf>
    <xf numFmtId="0" fontId="14" fillId="0" borderId="8" xfId="0" applyFont="1" applyBorder="1" applyAlignment="1" applyProtection="1">
      <alignment horizontal="left" vertical="center" wrapText="1"/>
      <protection locked="0"/>
    </xf>
    <xf numFmtId="0" fontId="14" fillId="0" borderId="5" xfId="0" applyFont="1" applyBorder="1" applyAlignment="1" applyProtection="1">
      <alignment wrapText="1"/>
      <protection locked="0"/>
    </xf>
    <xf numFmtId="0" fontId="14" fillId="0" borderId="5" xfId="0" applyFont="1" applyBorder="1" applyProtection="1">
      <protection locked="0"/>
    </xf>
    <xf numFmtId="0" fontId="14" fillId="0" borderId="9" xfId="0" applyFont="1" applyBorder="1" applyProtection="1">
      <protection locked="0"/>
    </xf>
    <xf numFmtId="0" fontId="22" fillId="6" borderId="7" xfId="0" applyFont="1" applyFill="1" applyBorder="1" applyProtection="1">
      <protection hidden="1"/>
    </xf>
    <xf numFmtId="0" fontId="16" fillId="0" borderId="5" xfId="0" applyFont="1" applyBorder="1"/>
    <xf numFmtId="0" fontId="15" fillId="0" borderId="0" xfId="0" applyFont="1" applyAlignment="1" applyProtection="1">
      <alignment horizontal="right"/>
      <protection hidden="1"/>
    </xf>
    <xf numFmtId="0" fontId="24" fillId="10" borderId="12" xfId="0" applyFont="1" applyFill="1" applyBorder="1" applyAlignment="1">
      <alignment horizontal="left"/>
    </xf>
    <xf numFmtId="0" fontId="1" fillId="9" borderId="13" xfId="0" applyFont="1" applyFill="1" applyBorder="1" applyAlignment="1">
      <alignment vertical="top"/>
    </xf>
    <xf numFmtId="0" fontId="24" fillId="10" borderId="14" xfId="0" applyFont="1" applyFill="1" applyBorder="1" applyAlignment="1">
      <alignment horizontal="left"/>
    </xf>
    <xf numFmtId="0" fontId="25" fillId="0" borderId="0" xfId="0" applyFont="1"/>
    <xf numFmtId="0" fontId="1" fillId="11" borderId="0" xfId="0" applyFont="1" applyFill="1" applyAlignment="1">
      <alignment vertical="top"/>
    </xf>
    <xf numFmtId="0" fontId="17" fillId="0" borderId="0" xfId="0" applyFont="1" applyAlignment="1">
      <alignment horizontal="left" vertical="top"/>
    </xf>
    <xf numFmtId="0" fontId="0" fillId="0" borderId="0" xfId="0" applyAlignment="1">
      <alignment vertical="top"/>
    </xf>
    <xf numFmtId="0" fontId="0" fillId="0" borderId="1" xfId="0" applyBorder="1" applyAlignment="1">
      <alignment vertical="top"/>
    </xf>
    <xf numFmtId="0" fontId="0" fillId="0" borderId="1" xfId="0" applyBorder="1"/>
    <xf numFmtId="17" fontId="0" fillId="0" borderId="1" xfId="0" applyNumberFormat="1" applyBorder="1" applyAlignment="1">
      <alignment vertical="top"/>
    </xf>
    <xf numFmtId="0" fontId="0" fillId="0" borderId="1" xfId="0" applyBorder="1" applyAlignment="1">
      <alignment horizontal="left" vertical="top" wrapText="1"/>
    </xf>
    <xf numFmtId="0" fontId="0" fillId="0" borderId="1" xfId="0" applyBorder="1" applyAlignment="1">
      <alignment wrapText="1"/>
    </xf>
    <xf numFmtId="0" fontId="5" fillId="0" borderId="0" xfId="0" applyFont="1" applyAlignment="1">
      <alignment vertical="top"/>
    </xf>
    <xf numFmtId="0" fontId="5" fillId="0" borderId="15" xfId="0" applyFont="1" applyBorder="1" applyAlignment="1">
      <alignment wrapText="1"/>
    </xf>
    <xf numFmtId="0" fontId="30" fillId="6" borderId="7" xfId="0" applyFont="1" applyFill="1" applyBorder="1" applyProtection="1">
      <protection hidden="1"/>
    </xf>
    <xf numFmtId="0" fontId="25" fillId="0" borderId="0" xfId="0" applyFont="1" applyAlignment="1">
      <alignment horizontal="center"/>
    </xf>
    <xf numFmtId="0" fontId="31" fillId="0" borderId="0" xfId="0" applyFont="1" applyAlignment="1" applyProtection="1">
      <alignment horizontal="right"/>
      <protection hidden="1"/>
    </xf>
    <xf numFmtId="0" fontId="32" fillId="9" borderId="16" xfId="0" applyFont="1" applyFill="1" applyBorder="1"/>
    <xf numFmtId="14" fontId="0" fillId="0" borderId="1" xfId="0" applyNumberFormat="1" applyBorder="1" applyAlignment="1">
      <alignment vertical="top"/>
    </xf>
    <xf numFmtId="16" fontId="0" fillId="0" borderId="1" xfId="0" applyNumberFormat="1" applyBorder="1" applyAlignment="1">
      <alignment vertical="top"/>
    </xf>
    <xf numFmtId="0" fontId="0" fillId="8" borderId="0" xfId="0" applyFill="1" applyAlignment="1">
      <alignment horizontal="left"/>
    </xf>
    <xf numFmtId="0" fontId="0" fillId="10" borderId="16" xfId="0" applyFill="1" applyBorder="1"/>
    <xf numFmtId="0" fontId="1" fillId="0" borderId="13" xfId="0" applyFont="1" applyBorder="1"/>
    <xf numFmtId="165" fontId="0" fillId="0" borderId="0" xfId="0" applyNumberFormat="1"/>
    <xf numFmtId="0" fontId="0" fillId="10" borderId="17" xfId="0" applyFill="1" applyBorder="1"/>
    <xf numFmtId="49" fontId="1" fillId="12" borderId="0" xfId="0" applyNumberFormat="1" applyFont="1" applyFill="1" applyAlignment="1">
      <alignment horizontal="center" vertical="top"/>
    </xf>
    <xf numFmtId="49" fontId="1" fillId="2" borderId="0" xfId="0" applyNumberFormat="1" applyFont="1" applyFill="1" applyAlignment="1">
      <alignment vertical="top" wrapText="1"/>
    </xf>
    <xf numFmtId="0" fontId="0" fillId="0" borderId="19" xfId="0" applyBorder="1" applyAlignment="1">
      <alignment wrapText="1"/>
    </xf>
    <xf numFmtId="0" fontId="0" fillId="0" borderId="16" xfId="0" applyBorder="1"/>
    <xf numFmtId="0" fontId="0" fillId="13" borderId="0" xfId="0" applyFill="1"/>
    <xf numFmtId="0" fontId="7" fillId="0" borderId="0" xfId="0" applyFont="1" applyProtection="1">
      <protection hidden="1"/>
    </xf>
    <xf numFmtId="0" fontId="7" fillId="0" borderId="0" xfId="0" applyFont="1" applyAlignment="1" applyProtection="1">
      <alignment horizontal="left"/>
      <protection hidden="1"/>
    </xf>
    <xf numFmtId="0" fontId="0" fillId="0" borderId="13" xfId="0" applyBorder="1"/>
    <xf numFmtId="0" fontId="0" fillId="11" borderId="0" xfId="0" applyFill="1"/>
    <xf numFmtId="0" fontId="31" fillId="0" borderId="0" xfId="0" applyFont="1" applyAlignment="1" applyProtection="1">
      <alignment horizontal="left"/>
      <protection hidden="1"/>
    </xf>
    <xf numFmtId="0" fontId="0" fillId="16" borderId="0" xfId="0" applyFill="1"/>
    <xf numFmtId="0" fontId="49" fillId="17" borderId="1" xfId="0" applyFont="1" applyFill="1" applyBorder="1" applyProtection="1">
      <protection locked="0"/>
    </xf>
    <xf numFmtId="0" fontId="5" fillId="0" borderId="1" xfId="0" applyFont="1" applyBorder="1"/>
    <xf numFmtId="0" fontId="19" fillId="17" borderId="1" xfId="0" applyFont="1" applyFill="1" applyBorder="1"/>
    <xf numFmtId="0" fontId="49" fillId="17" borderId="5" xfId="0" applyFont="1" applyFill="1" applyBorder="1" applyProtection="1">
      <protection locked="0"/>
    </xf>
    <xf numFmtId="0" fontId="5" fillId="0" borderId="0" xfId="0" applyFont="1" applyProtection="1">
      <protection hidden="1"/>
    </xf>
    <xf numFmtId="0" fontId="0" fillId="0" borderId="0" xfId="0" applyProtection="1">
      <protection hidden="1"/>
    </xf>
    <xf numFmtId="0" fontId="6" fillId="0" borderId="0" xfId="0" applyFont="1" applyProtection="1">
      <protection hidden="1"/>
    </xf>
    <xf numFmtId="0" fontId="8" fillId="0" borderId="0" xfId="0" applyFont="1" applyAlignment="1" applyProtection="1">
      <alignment horizontal="center"/>
      <protection hidden="1"/>
    </xf>
    <xf numFmtId="0" fontId="23" fillId="0" borderId="0" xfId="0" applyFont="1" applyProtection="1">
      <protection hidden="1"/>
    </xf>
    <xf numFmtId="0" fontId="14" fillId="0" borderId="0" xfId="0" applyFont="1" applyProtection="1">
      <protection hidden="1"/>
    </xf>
    <xf numFmtId="0" fontId="7" fillId="7" borderId="0" xfId="0" applyFont="1" applyFill="1" applyProtection="1">
      <protection hidden="1"/>
    </xf>
    <xf numFmtId="0" fontId="25" fillId="0" borderId="0" xfId="0" applyFont="1" applyProtection="1">
      <protection hidden="1"/>
    </xf>
    <xf numFmtId="0" fontId="8" fillId="3" borderId="1" xfId="0" applyFont="1" applyFill="1" applyBorder="1" applyAlignment="1" applyProtection="1">
      <alignment horizontal="right"/>
      <protection hidden="1"/>
    </xf>
    <xf numFmtId="0" fontId="9" fillId="3" borderId="1" xfId="0" applyFont="1" applyFill="1" applyBorder="1" applyAlignment="1" applyProtection="1">
      <alignment horizontal="right"/>
      <protection hidden="1"/>
    </xf>
    <xf numFmtId="0" fontId="0" fillId="0" borderId="0" xfId="0" applyAlignment="1" applyProtection="1">
      <alignment horizontal="left"/>
      <protection hidden="1"/>
    </xf>
    <xf numFmtId="0" fontId="7" fillId="0" borderId="0" xfId="0" applyFont="1" applyAlignment="1" applyProtection="1">
      <alignment horizontal="right"/>
      <protection hidden="1"/>
    </xf>
    <xf numFmtId="0" fontId="42" fillId="0" borderId="0" xfId="0" applyFont="1" applyAlignment="1" applyProtection="1">
      <alignment horizontal="right"/>
      <protection hidden="1"/>
    </xf>
    <xf numFmtId="0" fontId="43" fillId="3" borderId="1" xfId="0" applyFont="1" applyFill="1" applyBorder="1" applyAlignment="1" applyProtection="1">
      <alignment horizontal="right"/>
      <protection hidden="1"/>
    </xf>
    <xf numFmtId="0" fontId="8" fillId="3" borderId="5" xfId="0" applyFont="1" applyFill="1" applyBorder="1" applyAlignment="1" applyProtection="1">
      <alignment horizontal="right"/>
      <protection hidden="1"/>
    </xf>
    <xf numFmtId="0" fontId="6" fillId="0" borderId="0" xfId="0" applyFont="1" applyAlignment="1" applyProtection="1">
      <alignment horizontal="right"/>
      <protection hidden="1"/>
    </xf>
    <xf numFmtId="0" fontId="45" fillId="0" borderId="0" xfId="0" applyFont="1" applyProtection="1">
      <protection hidden="1"/>
    </xf>
    <xf numFmtId="0" fontId="46" fillId="0" borderId="0" xfId="0" applyFont="1" applyProtection="1">
      <protection hidden="1"/>
    </xf>
    <xf numFmtId="0" fontId="5" fillId="4" borderId="0" xfId="0" applyFont="1" applyFill="1" applyProtection="1">
      <protection hidden="1"/>
    </xf>
    <xf numFmtId="0" fontId="5" fillId="5" borderId="0" xfId="0" applyFont="1" applyFill="1" applyProtection="1">
      <protection hidden="1"/>
    </xf>
    <xf numFmtId="0" fontId="5" fillId="14" borderId="0" xfId="0" applyFont="1" applyFill="1" applyProtection="1">
      <protection hidden="1"/>
    </xf>
    <xf numFmtId="0" fontId="0" fillId="0" borderId="0" xfId="0" applyAlignment="1" applyProtection="1">
      <alignment wrapText="1"/>
      <protection hidden="1"/>
    </xf>
    <xf numFmtId="0" fontId="13" fillId="0" borderId="0" xfId="0" applyFont="1" applyProtection="1">
      <protection hidden="1"/>
    </xf>
    <xf numFmtId="165" fontId="5" fillId="15" borderId="1" xfId="0" applyNumberFormat="1" applyFont="1" applyFill="1" applyBorder="1" applyAlignment="1" applyProtection="1">
      <alignment horizontal="left"/>
      <protection locked="0" hidden="1"/>
    </xf>
    <xf numFmtId="0" fontId="5" fillId="15" borderId="1" xfId="0" applyFont="1" applyFill="1" applyBorder="1" applyAlignment="1" applyProtection="1">
      <alignment horizontal="left"/>
      <protection locked="0" hidden="1"/>
    </xf>
    <xf numFmtId="0" fontId="5" fillId="15" borderId="1" xfId="0" applyFont="1" applyFill="1" applyBorder="1" applyProtection="1">
      <protection locked="0" hidden="1"/>
    </xf>
    <xf numFmtId="164" fontId="5" fillId="15" borderId="1" xfId="0" applyNumberFormat="1" applyFont="1" applyFill="1" applyBorder="1" applyAlignment="1" applyProtection="1">
      <alignment horizontal="left"/>
      <protection locked="0" hidden="1"/>
    </xf>
    <xf numFmtId="0" fontId="41" fillId="15" borderId="1" xfId="0" applyFont="1" applyFill="1" applyBorder="1" applyProtection="1">
      <protection locked="0" hidden="1"/>
    </xf>
    <xf numFmtId="0" fontId="25" fillId="0" borderId="0" xfId="0" applyFont="1" applyAlignment="1" applyProtection="1">
      <alignment horizontal="center"/>
      <protection hidden="1"/>
    </xf>
    <xf numFmtId="0" fontId="9" fillId="0" borderId="0" xfId="0" applyFont="1" applyAlignment="1" applyProtection="1">
      <alignment horizontal="right"/>
      <protection hidden="1"/>
    </xf>
    <xf numFmtId="0" fontId="8" fillId="0" borderId="0" xfId="0" applyFont="1" applyAlignment="1" applyProtection="1">
      <alignment horizontal="right"/>
      <protection hidden="1"/>
    </xf>
    <xf numFmtId="0" fontId="4" fillId="0" borderId="0" xfId="1" applyAlignment="1">
      <alignment vertical="top"/>
    </xf>
    <xf numFmtId="0" fontId="0" fillId="18" borderId="0" xfId="0" applyFill="1"/>
    <xf numFmtId="0" fontId="0" fillId="0" borderId="0" xfId="0" applyAlignment="1">
      <alignment horizontal="center" vertical="center"/>
    </xf>
    <xf numFmtId="0" fontId="47" fillId="19" borderId="0" xfId="0" applyFont="1" applyFill="1"/>
    <xf numFmtId="0" fontId="0" fillId="11" borderId="0" xfId="0" applyFill="1" applyAlignment="1">
      <alignment horizontal="left"/>
    </xf>
    <xf numFmtId="0" fontId="0" fillId="11" borderId="0" xfId="0" applyFill="1" applyAlignment="1">
      <alignment horizontal="center"/>
    </xf>
    <xf numFmtId="0" fontId="47" fillId="21" borderId="0" xfId="0" applyFont="1" applyFill="1" applyAlignment="1">
      <alignment horizontal="left"/>
    </xf>
    <xf numFmtId="0" fontId="0" fillId="22" borderId="0" xfId="0" applyFill="1" applyAlignment="1">
      <alignment horizontal="center"/>
    </xf>
    <xf numFmtId="0" fontId="0" fillId="0" borderId="0" xfId="0" applyAlignment="1">
      <alignment horizontal="center" wrapText="1"/>
    </xf>
    <xf numFmtId="0" fontId="52" fillId="0" borderId="22" xfId="0" applyFont="1" applyBorder="1" applyAlignment="1">
      <alignment horizontal="center" wrapText="1"/>
    </xf>
    <xf numFmtId="0" fontId="52" fillId="0" borderId="7" xfId="0" applyFont="1" applyBorder="1" applyAlignment="1">
      <alignment horizontal="center" wrapText="1"/>
    </xf>
    <xf numFmtId="0" fontId="51" fillId="0" borderId="7" xfId="0" applyFont="1" applyBorder="1" applyAlignment="1">
      <alignment vertical="center" wrapText="1"/>
    </xf>
    <xf numFmtId="0" fontId="51" fillId="0" borderId="7"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21" xfId="0" applyFont="1" applyBorder="1" applyAlignment="1">
      <alignment horizontal="center" vertical="center" wrapText="1"/>
    </xf>
    <xf numFmtId="0" fontId="52" fillId="0" borderId="0" xfId="0" applyFont="1" applyAlignment="1">
      <alignment wrapText="1"/>
    </xf>
    <xf numFmtId="0" fontId="0" fillId="0" borderId="3"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vertical="center"/>
    </xf>
    <xf numFmtId="0" fontId="0" fillId="18" borderId="1" xfId="0" applyFill="1" applyBorder="1" applyAlignment="1">
      <alignment horizontal="center"/>
    </xf>
    <xf numFmtId="0" fontId="0" fillId="22" borderId="1" xfId="0" applyFill="1" applyBorder="1" applyAlignment="1">
      <alignment horizontal="center"/>
    </xf>
    <xf numFmtId="0" fontId="0" fillId="0" borderId="3" xfId="0" applyBorder="1" applyAlignment="1">
      <alignment horizontal="center"/>
    </xf>
    <xf numFmtId="0" fontId="0" fillId="20" borderId="1" xfId="0" applyFill="1" applyBorder="1" applyAlignment="1">
      <alignment horizontal="center"/>
    </xf>
    <xf numFmtId="0" fontId="0" fillId="11" borderId="1" xfId="0" applyFill="1" applyBorder="1" applyAlignment="1">
      <alignment horizontal="center"/>
    </xf>
    <xf numFmtId="0" fontId="0" fillId="11" borderId="2" xfId="0" applyFill="1" applyBorder="1" applyAlignment="1">
      <alignment horizontal="center" vertical="center"/>
    </xf>
    <xf numFmtId="0" fontId="47" fillId="21" borderId="1" xfId="0" applyFont="1" applyFill="1" applyBorder="1" applyAlignment="1">
      <alignment horizontal="left"/>
    </xf>
    <xf numFmtId="0" fontId="0" fillId="11" borderId="3" xfId="0" applyFill="1" applyBorder="1" applyAlignment="1">
      <alignment horizontal="center" vertical="center"/>
    </xf>
    <xf numFmtId="0" fontId="0" fillId="11" borderId="1" xfId="0" applyFill="1" applyBorder="1" applyAlignment="1">
      <alignment horizontal="center" vertical="center"/>
    </xf>
    <xf numFmtId="0" fontId="0" fillId="10" borderId="1" xfId="0" applyFill="1" applyBorder="1" applyAlignment="1">
      <alignment horizontal="center"/>
    </xf>
    <xf numFmtId="0" fontId="47" fillId="21" borderId="1" xfId="0" applyFont="1" applyFill="1" applyBorder="1" applyAlignment="1">
      <alignment horizontal="center"/>
    </xf>
    <xf numFmtId="0" fontId="0" fillId="11" borderId="8" xfId="0" applyFill="1" applyBorder="1" applyAlignment="1">
      <alignment horizontal="center" vertical="center"/>
    </xf>
    <xf numFmtId="0" fontId="0" fillId="11" borderId="5" xfId="0" applyFill="1" applyBorder="1" applyAlignment="1">
      <alignment horizontal="center" vertical="center"/>
    </xf>
    <xf numFmtId="0" fontId="0" fillId="11" borderId="5" xfId="0" applyFill="1" applyBorder="1" applyAlignment="1">
      <alignment horizontal="center"/>
    </xf>
    <xf numFmtId="0" fontId="39" fillId="0" borderId="0" xfId="0" applyFont="1" applyAlignment="1" applyProtection="1">
      <alignment horizontal="right"/>
      <protection hidden="1"/>
    </xf>
    <xf numFmtId="0" fontId="39" fillId="23" borderId="18" xfId="0" applyFont="1" applyFill="1" applyBorder="1" applyAlignment="1" applyProtection="1">
      <alignment horizontal="center"/>
      <protection hidden="1"/>
    </xf>
    <xf numFmtId="0" fontId="43" fillId="0" borderId="0" xfId="0" applyFont="1" applyAlignment="1" applyProtection="1">
      <alignment horizontal="right"/>
      <protection hidden="1"/>
    </xf>
    <xf numFmtId="0" fontId="44" fillId="0" borderId="0" xfId="0" applyFont="1" applyAlignment="1" applyProtection="1">
      <alignment horizontal="left"/>
      <protection locked="0" hidden="1"/>
    </xf>
    <xf numFmtId="0" fontId="41" fillId="0" borderId="1" xfId="0" applyFont="1" applyBorder="1" applyProtection="1">
      <protection locked="0" hidden="1"/>
    </xf>
    <xf numFmtId="0" fontId="5" fillId="0" borderId="1" xfId="0" applyFont="1" applyBorder="1" applyAlignment="1" applyProtection="1">
      <alignment horizontal="left"/>
      <protection locked="0" hidden="1"/>
    </xf>
    <xf numFmtId="0" fontId="5" fillId="0" borderId="0" xfId="0" applyFont="1" applyAlignment="1" applyProtection="1">
      <alignment horizontal="left"/>
      <protection hidden="1"/>
    </xf>
    <xf numFmtId="0" fontId="1" fillId="0" borderId="0" xfId="0" applyFont="1" applyAlignment="1">
      <alignment wrapText="1"/>
    </xf>
    <xf numFmtId="0" fontId="17" fillId="0" borderId="0" xfId="0" applyFont="1" applyAlignment="1">
      <alignment horizontal="left" vertical="top"/>
    </xf>
    <xf numFmtId="0" fontId="29" fillId="0" borderId="0" xfId="0" applyFont="1" applyAlignment="1">
      <alignment horizontal="center" wrapText="1"/>
    </xf>
    <xf numFmtId="0" fontId="5" fillId="0" borderId="0" xfId="0" applyFont="1" applyAlignment="1">
      <alignment wrapText="1"/>
    </xf>
    <xf numFmtId="0" fontId="4" fillId="0" borderId="0" xfId="1" applyAlignment="1">
      <alignment horizontal="center" wrapText="1"/>
    </xf>
    <xf numFmtId="0" fontId="5" fillId="0" borderId="0" xfId="0" applyFont="1" applyAlignment="1">
      <alignment horizontal="left" wrapText="1"/>
    </xf>
    <xf numFmtId="0" fontId="27" fillId="0" borderId="0" xfId="0" applyFont="1"/>
    <xf numFmtId="0" fontId="28" fillId="0" borderId="0" xfId="0" applyFont="1" applyAlignment="1">
      <alignment horizontal="center" vertical="top" wrapText="1"/>
    </xf>
    <xf numFmtId="0" fontId="5" fillId="0" borderId="0" xfId="0" applyFont="1" applyAlignment="1">
      <alignment vertical="top"/>
    </xf>
    <xf numFmtId="0" fontId="4" fillId="0" borderId="0" xfId="1" applyAlignment="1">
      <alignment horizontal="left" vertical="top" wrapText="1"/>
    </xf>
    <xf numFmtId="0" fontId="10" fillId="0" borderId="0" xfId="1" applyFont="1" applyAlignment="1" applyProtection="1">
      <protection hidden="1"/>
    </xf>
    <xf numFmtId="0" fontId="5" fillId="0" borderId="1" xfId="0" applyFont="1" applyBorder="1" applyAlignment="1" applyProtection="1">
      <alignment horizontal="left" vertical="top" wrapText="1"/>
      <protection hidden="1"/>
    </xf>
    <xf numFmtId="0" fontId="6" fillId="0" borderId="0" xfId="0" applyFont="1" applyProtection="1">
      <protection hidden="1"/>
    </xf>
    <xf numFmtId="0" fontId="37" fillId="0" borderId="0" xfId="0" applyFont="1" applyAlignment="1" applyProtection="1">
      <alignment horizontal="center"/>
      <protection hidden="1"/>
    </xf>
    <xf numFmtId="0" fontId="40" fillId="0" borderId="0" xfId="0" applyFont="1" applyAlignment="1" applyProtection="1">
      <alignment horizontal="left" vertical="center"/>
      <protection hidden="1"/>
    </xf>
    <xf numFmtId="0" fontId="39" fillId="0" borderId="0" xfId="0" applyFont="1" applyProtection="1">
      <protection hidden="1"/>
    </xf>
    <xf numFmtId="0" fontId="8" fillId="3" borderId="2" xfId="0" applyFont="1" applyFill="1" applyBorder="1" applyProtection="1">
      <protection hidden="1"/>
    </xf>
    <xf numFmtId="0" fontId="8" fillId="3" borderId="3" xfId="0" applyFont="1" applyFill="1" applyBorder="1" applyProtection="1">
      <protection hidden="1"/>
    </xf>
    <xf numFmtId="0" fontId="5" fillId="0" borderId="0" xfId="0" applyFont="1" applyAlignment="1" applyProtection="1">
      <alignment horizontal="left"/>
      <protection hidden="1"/>
    </xf>
    <xf numFmtId="0" fontId="50" fillId="0" borderId="0" xfId="0" applyFont="1" applyProtection="1">
      <protection hidden="1"/>
    </xf>
    <xf numFmtId="0" fontId="13" fillId="0" borderId="0" xfId="0" applyFont="1" applyAlignment="1" applyProtection="1">
      <alignment horizontal="left" vertical="top" wrapText="1"/>
      <protection hidden="1"/>
    </xf>
    <xf numFmtId="0" fontId="6" fillId="0" borderId="4" xfId="0" applyFont="1" applyBorder="1" applyProtection="1">
      <protection hidden="1"/>
    </xf>
    <xf numFmtId="0" fontId="10" fillId="0" borderId="0" xfId="1" applyFont="1" applyAlignment="1"/>
    <xf numFmtId="0" fontId="5" fillId="0" borderId="0" xfId="0" applyFont="1" applyAlignment="1">
      <alignment horizontal="left"/>
    </xf>
    <xf numFmtId="0" fontId="6" fillId="0" borderId="0" xfId="0" applyFont="1"/>
    <xf numFmtId="0" fontId="40" fillId="0" borderId="0" xfId="0" applyFont="1" applyAlignment="1">
      <alignment horizontal="left" vertical="center"/>
    </xf>
    <xf numFmtId="0" fontId="39" fillId="0" borderId="0" xfId="0" applyFont="1"/>
    <xf numFmtId="0" fontId="8" fillId="3" borderId="2" xfId="0" applyFont="1" applyFill="1" applyBorder="1"/>
    <xf numFmtId="0" fontId="8" fillId="3" borderId="3" xfId="0" applyFont="1" applyFill="1" applyBorder="1"/>
    <xf numFmtId="0" fontId="6" fillId="0" borderId="4" xfId="0" applyFont="1" applyBorder="1"/>
    <xf numFmtId="0" fontId="13" fillId="0" borderId="0" xfId="0" applyFont="1" applyAlignment="1">
      <alignment horizontal="left" vertical="top" wrapText="1"/>
    </xf>
    <xf numFmtId="0" fontId="12" fillId="0" borderId="0" xfId="0" applyFont="1" applyAlignment="1" applyProtection="1">
      <alignment horizontal="left" vertical="top"/>
      <protection hidden="1"/>
    </xf>
    <xf numFmtId="0" fontId="14" fillId="0" borderId="0" xfId="0" applyFont="1" applyProtection="1">
      <protection hidden="1"/>
    </xf>
    <xf numFmtId="0" fontId="6" fillId="8" borderId="0" xfId="0" applyFont="1" applyFill="1" applyAlignment="1">
      <alignment vertical="top" wrapText="1"/>
    </xf>
    <xf numFmtId="0" fontId="13" fillId="0" borderId="0" xfId="0" applyFont="1"/>
    <xf numFmtId="0" fontId="51" fillId="0" borderId="2" xfId="0" applyFont="1" applyBorder="1" applyAlignment="1">
      <alignment horizontal="center" vertical="center" wrapText="1"/>
    </xf>
    <xf numFmtId="0" fontId="51" fillId="0" borderId="3" xfId="0" applyFont="1" applyBorder="1" applyAlignment="1">
      <alignment horizontal="center" vertical="center" wrapText="1"/>
    </xf>
    <xf numFmtId="0" fontId="0" fillId="20" borderId="20" xfId="0" applyFill="1" applyBorder="1" applyAlignment="1">
      <alignment horizontal="left" vertical="top" wrapText="1"/>
    </xf>
    <xf numFmtId="0" fontId="0" fillId="20" borderId="0" xfId="0" applyFill="1" applyAlignment="1">
      <alignment horizontal="left" vertical="top" wrapText="1"/>
    </xf>
    <xf numFmtId="0" fontId="51" fillId="0" borderId="23" xfId="0" applyFont="1" applyBorder="1" applyAlignment="1">
      <alignment horizontal="center" vertical="center" wrapText="1"/>
    </xf>
    <xf numFmtId="0" fontId="6" fillId="23" borderId="18" xfId="0" applyFont="1" applyFill="1" applyBorder="1" applyAlignment="1" applyProtection="1">
      <alignment horizontal="center"/>
      <protection hidden="1"/>
    </xf>
    <xf numFmtId="0" fontId="41" fillId="0" borderId="0" xfId="0" applyFont="1" applyProtection="1">
      <protection hidden="1"/>
    </xf>
    <xf numFmtId="0" fontId="5" fillId="0" borderId="0" xfId="0" applyFont="1" applyFill="1" applyProtection="1">
      <protection hidden="1"/>
    </xf>
    <xf numFmtId="0" fontId="42" fillId="0" borderId="0" xfId="0" applyFont="1" applyFill="1" applyAlignment="1" applyProtection="1">
      <alignment horizontal="right"/>
      <protection hidden="1"/>
    </xf>
    <xf numFmtId="0" fontId="43" fillId="0" borderId="0" xfId="0" applyFont="1" applyFill="1" applyBorder="1" applyAlignment="1" applyProtection="1">
      <alignment horizontal="right"/>
      <protection hidden="1"/>
    </xf>
    <xf numFmtId="0" fontId="8" fillId="0" borderId="0" xfId="0" applyFont="1" applyFill="1" applyBorder="1" applyAlignment="1" applyProtection="1">
      <alignment horizontal="right"/>
      <protection hidden="1"/>
    </xf>
    <xf numFmtId="0" fontId="0" fillId="0" borderId="0" xfId="0" applyFill="1" applyProtection="1">
      <protection hidden="1"/>
    </xf>
    <xf numFmtId="0" fontId="5" fillId="0" borderId="0" xfId="0" applyFont="1" applyFill="1" applyBorder="1" applyAlignment="1" applyProtection="1">
      <alignment horizontal="left"/>
      <protection hidden="1"/>
    </xf>
    <xf numFmtId="0" fontId="41" fillId="0" borderId="0" xfId="0" applyFont="1" applyFill="1" applyBorder="1" applyProtection="1">
      <protection hidden="1"/>
    </xf>
    <xf numFmtId="0" fontId="49" fillId="17" borderId="1" xfId="0" applyFont="1" applyFill="1" applyBorder="1" applyProtection="1"/>
    <xf numFmtId="164" fontId="49" fillId="17" borderId="1" xfId="0" applyNumberFormat="1" applyFont="1" applyFill="1" applyBorder="1" applyProtection="1"/>
    <xf numFmtId="164" fontId="49" fillId="17" borderId="1" xfId="0" applyNumberFormat="1" applyFont="1" applyFill="1" applyBorder="1" applyProtection="1">
      <protection locked="0"/>
    </xf>
    <xf numFmtId="0" fontId="20" fillId="0" borderId="0" xfId="0" applyFont="1" applyFill="1" applyAlignment="1" applyProtection="1">
      <alignment horizontal="right"/>
    </xf>
    <xf numFmtId="0" fontId="20" fillId="0" borderId="0" xfId="0" applyFont="1" applyFill="1" applyProtection="1"/>
    <xf numFmtId="0" fontId="17" fillId="0" borderId="0" xfId="0" applyFont="1" applyFill="1" applyProtection="1"/>
    <xf numFmtId="0" fontId="20" fillId="0" borderId="0" xfId="0" applyFont="1" applyFill="1" applyBorder="1" applyProtection="1"/>
    <xf numFmtId="0" fontId="6" fillId="0" borderId="0" xfId="0" applyFont="1" applyFill="1" applyAlignment="1" applyProtection="1">
      <alignment vertical="top" wrapText="1"/>
    </xf>
    <xf numFmtId="0" fontId="0" fillId="0" borderId="0" xfId="0" applyFill="1" applyProtection="1"/>
    <xf numFmtId="0" fontId="20" fillId="0" borderId="25" xfId="0" applyFont="1" applyBorder="1" applyProtection="1">
      <protection locked="0"/>
    </xf>
    <xf numFmtId="0" fontId="20" fillId="0" borderId="24" xfId="0" applyFont="1" applyBorder="1" applyProtection="1">
      <protection locked="0"/>
    </xf>
  </cellXfs>
  <cellStyles count="2">
    <cellStyle name="Hyperlink" xfId="1" builtinId="8"/>
    <cellStyle name="Normal" xfId="0" builtinId="0"/>
  </cellStyles>
  <dxfs count="166">
    <dxf>
      <border>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auto="1"/>
      </font>
      <fill>
        <patternFill>
          <bgColor theme="0"/>
        </patternFill>
      </fill>
    </dxf>
    <dxf>
      <font>
        <color theme="1"/>
      </font>
      <fill>
        <patternFill>
          <bgColor theme="0"/>
        </patternFill>
      </fill>
    </dxf>
    <dxf>
      <font>
        <color theme="1"/>
      </font>
      <fill>
        <patternFill>
          <bgColor theme="0"/>
        </patternFill>
      </fill>
    </dxf>
    <dxf>
      <font>
        <color auto="1"/>
      </font>
      <fill>
        <patternFill>
          <bgColor theme="0"/>
        </patternFill>
      </fill>
    </dxf>
    <dxf>
      <fill>
        <patternFill>
          <bgColor theme="1"/>
        </patternFill>
      </fill>
    </dxf>
    <dxf>
      <fill>
        <patternFill>
          <bgColor theme="1"/>
        </patternFill>
      </fill>
    </dxf>
    <dxf>
      <fill>
        <patternFill>
          <bgColor theme="1"/>
        </patternFill>
      </fill>
    </dxf>
    <dxf>
      <font>
        <color theme="0"/>
      </font>
      <fill>
        <patternFill>
          <bgColor theme="1"/>
        </patternFill>
      </fill>
    </dxf>
    <dxf>
      <fill>
        <patternFill>
          <bgColor theme="1"/>
        </patternFill>
      </fill>
    </dxf>
    <dxf>
      <fill>
        <patternFill>
          <bgColor theme="1"/>
        </patternFill>
      </fill>
    </dxf>
    <dxf>
      <fill>
        <patternFill>
          <bgColor theme="1"/>
        </patternFill>
      </fill>
    </dxf>
    <dxf>
      <font>
        <b/>
        <i val="0"/>
        <color rgb="FF9C0006"/>
      </font>
    </dxf>
    <dxf>
      <font>
        <color theme="0" tint="-0.34998626667073579"/>
      </font>
    </dxf>
    <dxf>
      <font>
        <b/>
        <i val="0"/>
        <color rgb="FF9C0006"/>
      </font>
    </dxf>
    <dxf>
      <fill>
        <patternFill>
          <bgColor theme="1"/>
        </patternFill>
      </fill>
    </dxf>
    <dxf>
      <fill>
        <patternFill>
          <bgColor theme="1"/>
        </patternFill>
      </fill>
    </dxf>
    <dxf>
      <fill>
        <patternFill>
          <bgColor theme="1"/>
        </patternFill>
      </fill>
    </dxf>
    <dxf>
      <fill>
        <patternFill>
          <bgColor theme="1"/>
        </patternFill>
      </fill>
    </dxf>
    <dxf>
      <font>
        <b/>
        <i val="0"/>
        <strike val="0"/>
        <color theme="0"/>
      </font>
      <fill>
        <patternFill>
          <bgColor rgb="FFFF0000"/>
        </patternFill>
      </fill>
    </dxf>
    <dxf>
      <fill>
        <patternFill>
          <bgColor theme="1"/>
        </patternFill>
      </fill>
    </dxf>
    <dxf>
      <font>
        <b/>
        <i val="0"/>
        <color rgb="FFFF0000"/>
      </font>
    </dxf>
    <dxf>
      <fill>
        <patternFill>
          <bgColor theme="1"/>
        </patternFill>
      </fill>
    </dxf>
    <dxf>
      <font>
        <b/>
        <i val="0"/>
        <color rgb="FF9C0006"/>
      </font>
    </dxf>
    <dxf>
      <font>
        <b val="0"/>
        <i val="0"/>
        <strike val="0"/>
        <condense val="0"/>
        <extend val="0"/>
        <outline val="0"/>
        <shadow val="0"/>
        <u val="none"/>
        <vertAlign val="baseline"/>
        <sz val="12"/>
        <color theme="0" tint="-0.499984740745262"/>
        <name val="Arial"/>
        <family val="2"/>
        <scheme val="none"/>
      </font>
      <numFmt numFmtId="164" formatCode="0\W"/>
      <fill>
        <patternFill patternType="solid">
          <fgColor indexed="64"/>
          <bgColor theme="0" tint="-0.499984740745262"/>
        </patternFill>
      </fill>
      <border diagonalUp="0" diagonalDown="0">
        <left style="thin">
          <color indexed="64"/>
        </left>
        <right style="thin">
          <color indexed="64"/>
        </right>
        <top style="thin">
          <color indexed="64"/>
        </top>
        <bottom style="thin">
          <color indexed="64"/>
        </bottom>
      </border>
      <protection locked="0" hidden="0"/>
    </dxf>
    <dxf>
      <numFmt numFmtId="0" formatCode="General"/>
      <alignment horizontal="general" vertical="bottom" textRotation="0" wrapText="1" indent="0" justifyLastLine="0" shrinkToFit="0" readingOrder="0"/>
    </dxf>
    <dxf>
      <numFmt numFmtId="0" formatCode="Genera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rgb="FFFF000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rgb="FFFF000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rgb="FFFF000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rgb="FFFF000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rgb="FFFF000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rgb="FFFF000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4"/>
        <color theme="1"/>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none"/>
      </font>
      <fill>
        <patternFill patternType="solid">
          <fgColor theme="4" tint="0.79998168889431442"/>
          <bgColor theme="4" tint="0.79998168889431442"/>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none"/>
      </font>
      <fill>
        <patternFill patternType="solid">
          <fgColor theme="4" tint="0.79998168889431442"/>
          <bgColor theme="4" tint="0.79998168889431442"/>
        </patternFill>
      </fill>
      <alignment horizontal="left"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fill>
        <patternFill patternType="solid">
          <fgColor theme="4"/>
          <bgColor theme="4"/>
        </patternFill>
      </fill>
      <alignment horizontal="general" vertical="top" textRotation="0" wrapText="0" indent="0" justifyLastLine="0" shrinkToFit="0" readingOrder="0"/>
    </dxf>
    <dxf>
      <numFmt numFmtId="0" formatCode="General"/>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numFmt numFmtId="0" formatCode="General"/>
    </dxf>
    <dxf>
      <numFmt numFmtId="0" formatCode="General"/>
      <fill>
        <patternFill patternType="solid">
          <fgColor indexed="64"/>
          <bgColor rgb="FFFF0000"/>
        </patternFill>
      </fill>
    </dxf>
    <dxf>
      <font>
        <b val="0"/>
        <i val="0"/>
        <strike val="0"/>
        <condense val="0"/>
        <extend val="0"/>
        <outline val="0"/>
        <shadow val="0"/>
        <u val="none"/>
        <vertAlign val="baseline"/>
        <sz val="10"/>
        <color auto="1"/>
        <name val="Calibri"/>
        <family val="2"/>
        <scheme val="minor"/>
      </font>
      <numFmt numFmtId="0" formatCode="Genera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auto="1"/>
        <name val="Calibri"/>
        <family val="2"/>
        <scheme val="minor"/>
      </font>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dxf>
    <dxf>
      <numFmt numFmtId="0" formatCode="General"/>
    </dxf>
    <dxf>
      <numFmt numFmtId="0" formatCode="Genera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0" formatCode="Genera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0" formatCode="General"/>
    </dxf>
    <dxf>
      <numFmt numFmtId="0" formatCode="General"/>
    </dxf>
    <dxf>
      <fill>
        <patternFill patternType="none">
          <fgColor indexed="64"/>
          <bgColor auto="1"/>
        </patternFill>
      </fill>
    </dxf>
    <dxf>
      <numFmt numFmtId="0" formatCode="General"/>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1"/>
        <name val="Calibri"/>
        <family val="2"/>
        <scheme val="minor"/>
      </font>
      <alignment horizontal="center" vertical="top" textRotation="0" wrapText="0" indent="0" justifyLastLine="0" shrinkToFit="0" readingOrder="0"/>
    </dxf>
    <dxf>
      <font>
        <strike val="0"/>
        <outline val="0"/>
        <shadow val="0"/>
        <u val="none"/>
        <vertAlign val="baseline"/>
        <sz val="11"/>
        <color theme="1"/>
        <name val="Arial"/>
        <family val="2"/>
        <scheme val="none"/>
      </font>
      <numFmt numFmtId="0" formatCode="General"/>
    </dxf>
    <dxf>
      <font>
        <strike val="0"/>
        <outline val="0"/>
        <shadow val="0"/>
        <u val="none"/>
        <vertAlign val="baseline"/>
        <sz val="11"/>
        <color theme="1"/>
        <name val="Arial"/>
        <family val="2"/>
        <scheme val="none"/>
      </font>
      <numFmt numFmtId="0" formatCode="General"/>
    </dxf>
    <dxf>
      <font>
        <strike val="0"/>
        <outline val="0"/>
        <shadow val="0"/>
        <u val="none"/>
        <vertAlign val="baseline"/>
        <sz val="11"/>
        <color theme="1"/>
        <name val="Arial"/>
        <family val="2"/>
        <scheme val="none"/>
      </font>
      <numFmt numFmtId="0" formatCode="General"/>
    </dxf>
    <dxf>
      <font>
        <strike val="0"/>
        <outline val="0"/>
        <shadow val="0"/>
        <u val="none"/>
        <vertAlign val="baseline"/>
        <sz val="12"/>
        <color auto="1"/>
        <name val="Arial"/>
        <family val="2"/>
        <scheme val="none"/>
      </font>
      <numFmt numFmtId="0" formatCode="General"/>
      <fill>
        <patternFill patternType="solid">
          <fgColor indexed="64"/>
          <bgColor theme="0" tint="-4.9989318521683403E-2"/>
        </patternFill>
      </fill>
      <protection locked="1" hidden="1"/>
    </dxf>
    <dxf>
      <font>
        <b val="0"/>
        <i val="0"/>
        <strike val="0"/>
        <condense val="0"/>
        <extend val="0"/>
        <outline val="0"/>
        <shadow val="0"/>
        <u val="none"/>
        <vertAlign val="baseline"/>
        <sz val="12"/>
        <color theme="1"/>
        <name val="Arial"/>
        <family val="2"/>
        <scheme val="none"/>
      </font>
      <numFmt numFmtId="0" formatCode="General"/>
      <border diagonalUp="0" diagonalDown="0">
        <left style="thin">
          <color indexed="64"/>
        </left>
        <right/>
        <top style="thin">
          <color indexed="64"/>
        </top>
        <bottom/>
        <vertical/>
        <horizontal/>
      </border>
      <protection locked="1" hidden="0"/>
    </dxf>
    <dxf>
      <font>
        <strike val="0"/>
        <outline val="0"/>
        <shadow val="0"/>
        <u val="none"/>
        <vertAlign val="baseline"/>
        <sz val="11"/>
        <color theme="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0" tint="-0.499984740745262"/>
        <name val="Arial"/>
        <family val="2"/>
        <scheme val="none"/>
      </font>
      <fill>
        <patternFill patternType="solid">
          <fgColor indexed="64"/>
          <bgColor theme="0" tint="-0.499984740745262"/>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0" tint="-0.499984740745262"/>
        <name val="Arial"/>
        <family val="2"/>
        <scheme val="none"/>
      </font>
      <fill>
        <patternFill>
          <fgColor indexed="64"/>
          <bgColor theme="0" tint="-0.499984740745262"/>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theme="0" tint="-0.499984740745262"/>
        <name val="Arial"/>
        <family val="2"/>
        <scheme val="none"/>
      </font>
      <fill>
        <patternFill patternType="solid">
          <fgColor indexed="64"/>
          <bgColor theme="0" tint="-0.499984740745262"/>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dxf>
    <dxf>
      <border>
        <bottom style="thin">
          <color indexed="64"/>
        </bottom>
      </border>
    </dxf>
    <dxf>
      <font>
        <strike val="0"/>
        <outline val="0"/>
        <shadow val="0"/>
        <u val="none"/>
        <vertAlign val="baseline"/>
        <sz val="11"/>
        <color theme="1"/>
        <name val="Arial"/>
        <family val="2"/>
        <scheme val="none"/>
      </font>
      <alignment horizontal="general" vertical="bottom" textRotation="0" wrapText="1" indent="0" justifyLastLine="0" shrinkToFit="0" readingOrder="0"/>
      <border diagonalUp="0" diagonalDown="0">
        <left style="thin">
          <color theme="0"/>
        </left>
        <right style="thin">
          <color theme="0"/>
        </right>
        <top/>
        <bottom/>
        <vertical style="thin">
          <color theme="0"/>
        </vertical>
        <horizontal/>
      </border>
    </dxf>
    <dxf>
      <font>
        <strike val="0"/>
        <outline val="0"/>
        <shadow val="0"/>
        <vertAlign val="baseline"/>
        <name val="Arial"/>
        <family val="2"/>
        <scheme val="none"/>
      </font>
      <alignment horizontal="center" vertical="bottom" textRotation="0" wrapText="0" indent="0" justifyLastLine="0" shrinkToFit="0" readingOrder="0"/>
      <protection locked="1" hidden="1"/>
    </dxf>
    <dxf>
      <font>
        <strike val="0"/>
        <outline val="0"/>
        <shadow val="0"/>
        <vertAlign val="baseline"/>
        <name val="Arial"/>
        <family val="2"/>
        <scheme val="none"/>
      </font>
      <alignment horizontal="center" vertical="bottom" textRotation="0" wrapText="0" indent="0" justifyLastLine="0" shrinkToFit="0" readingOrder="0"/>
      <protection locked="1" hidden="1"/>
    </dxf>
    <dxf>
      <font>
        <strike val="0"/>
        <outline val="0"/>
        <shadow val="0"/>
        <vertAlign val="baseline"/>
        <name val="Arial"/>
        <family val="2"/>
        <scheme val="none"/>
      </font>
      <protection locked="1" hidden="1"/>
    </dxf>
    <dxf>
      <border diagonalUp="0" diagonalDown="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protection locked="1" hidden="1"/>
    </dxf>
    <dxf>
      <font>
        <strike val="0"/>
        <outline val="0"/>
        <shadow val="0"/>
        <vertAlign val="baseline"/>
        <name val="Arial"/>
        <family val="2"/>
        <scheme val="none"/>
      </font>
      <protection locked="1" hidden="1"/>
    </dxf>
    <dxf>
      <font>
        <strike val="0"/>
        <outline val="0"/>
        <shadow val="0"/>
        <vertAlign val="baseline"/>
        <name val="Arial"/>
        <family val="2"/>
        <scheme val="none"/>
      </font>
      <alignment horizontal="center" vertical="bottom" textRotation="0" wrapText="0" indent="0" justifyLastLine="0" shrinkToFit="0" readingOrder="0"/>
      <protection locked="1" hidden="1"/>
    </dxf>
    <dxf>
      <font>
        <strike val="0"/>
        <outline val="0"/>
        <shadow val="0"/>
        <vertAlign val="baseline"/>
        <name val="Arial"/>
        <family val="2"/>
        <scheme val="none"/>
      </font>
      <alignment horizontal="center" vertical="bottom" textRotation="0" wrapText="0" indent="0" justifyLastLine="0" shrinkToFit="0" readingOrder="0"/>
      <protection locked="1" hidden="1"/>
    </dxf>
    <dxf>
      <font>
        <strike val="0"/>
        <outline val="0"/>
        <shadow val="0"/>
        <vertAlign val="baseline"/>
        <name val="Arial"/>
        <family val="2"/>
        <scheme val="none"/>
      </font>
      <protection locked="1" hidden="1"/>
    </dxf>
    <dxf>
      <border diagonalUp="0" diagonalDown="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protection locked="1" hidden="1"/>
    </dxf>
    <dxf>
      <font>
        <strike val="0"/>
        <outline val="0"/>
        <shadow val="0"/>
        <vertAlign val="baseline"/>
        <name val="Arial"/>
        <family val="2"/>
        <scheme val="none"/>
      </font>
      <protection locked="1" hidden="1"/>
    </dxf>
    <dxf>
      <font>
        <strike val="0"/>
        <outline val="0"/>
        <shadow val="0"/>
        <vertAlign val="baseline"/>
        <name val="Arial"/>
        <family val="2"/>
        <scheme val="none"/>
      </font>
      <alignment horizontal="center" vertical="bottom" textRotation="0" wrapText="0" indent="0" justifyLastLine="0" shrinkToFit="0" readingOrder="0"/>
      <protection locked="1" hidden="1"/>
    </dxf>
    <dxf>
      <font>
        <strike val="0"/>
        <outline val="0"/>
        <shadow val="0"/>
        <vertAlign val="baseline"/>
        <name val="Arial"/>
        <family val="2"/>
        <scheme val="none"/>
      </font>
      <alignment horizontal="center" vertical="bottom" textRotation="0" wrapText="0" indent="0" justifyLastLine="0" shrinkToFit="0" readingOrder="0"/>
      <protection locked="1" hidden="1"/>
    </dxf>
    <dxf>
      <font>
        <strike val="0"/>
        <outline val="0"/>
        <shadow val="0"/>
        <vertAlign val="baseline"/>
        <name val="Arial"/>
        <family val="2"/>
        <scheme val="none"/>
      </font>
    </dxf>
    <dxf>
      <border diagonalUp="0" diagonalDown="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dxf>
    <dxf>
      <font>
        <strike val="0"/>
        <outline val="0"/>
        <shadow val="0"/>
        <vertAlign val="baseline"/>
        <name val="Arial"/>
        <family val="2"/>
        <scheme val="none"/>
      </font>
    </dxf>
    <dxf>
      <font>
        <strike val="0"/>
        <outline val="0"/>
        <shadow val="0"/>
        <vertAlign val="baseline"/>
        <name val="Arial"/>
        <family val="2"/>
        <scheme val="none"/>
      </font>
      <alignment horizontal="center" vertical="bottom" textRotation="0" wrapText="0" indent="0" justifyLastLine="0" shrinkToFit="0" readingOrder="0"/>
      <protection locked="1" hidden="1"/>
    </dxf>
    <dxf>
      <font>
        <strike val="0"/>
        <outline val="0"/>
        <shadow val="0"/>
        <vertAlign val="baseline"/>
        <name val="Arial"/>
        <family val="2"/>
        <scheme val="none"/>
      </font>
      <alignment horizontal="center" vertical="bottom" textRotation="0" wrapText="0" indent="0" justifyLastLine="0" shrinkToFit="0" readingOrder="0"/>
      <protection locked="1" hidden="1"/>
    </dxf>
    <dxf>
      <font>
        <strike val="0"/>
        <outline val="0"/>
        <shadow val="0"/>
        <vertAlign val="baseline"/>
        <name val="Arial"/>
        <family val="2"/>
        <scheme val="none"/>
      </font>
    </dxf>
    <dxf>
      <border diagonalUp="0" diagonalDown="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dxf>
    <dxf>
      <font>
        <strike val="0"/>
        <outline val="0"/>
        <shadow val="0"/>
        <vertAlign val="baseline"/>
        <name val="Arial"/>
        <family val="2"/>
        <scheme val="none"/>
      </font>
    </dxf>
    <dxf>
      <font>
        <strike val="0"/>
        <outline val="0"/>
        <shadow val="0"/>
        <vertAlign val="baseline"/>
        <name val="Arial"/>
        <family val="2"/>
        <scheme val="none"/>
      </font>
      <numFmt numFmtId="0" formatCode="General"/>
      <alignment horizontal="center" vertical="bottom" textRotation="0" wrapText="0" indent="0" justifyLastLine="0" shrinkToFit="0" readingOrder="0"/>
      <protection locked="1" hidden="1"/>
    </dxf>
    <dxf>
      <font>
        <strike val="0"/>
        <outline val="0"/>
        <shadow val="0"/>
        <vertAlign val="baseline"/>
        <name val="Arial"/>
        <family val="2"/>
        <scheme val="none"/>
      </font>
      <numFmt numFmtId="0" formatCode="General"/>
      <alignment horizontal="center" vertical="bottom" textRotation="0" wrapText="0" indent="0" justifyLastLine="0" shrinkToFit="0" readingOrder="0"/>
      <protection locked="1" hidden="1"/>
    </dxf>
    <dxf>
      <font>
        <strike val="0"/>
        <outline val="0"/>
        <shadow val="0"/>
        <vertAlign val="baseline"/>
        <name val="Arial"/>
        <family val="2"/>
        <scheme val="none"/>
      </font>
      <protection locked="1" hidden="1"/>
    </dxf>
    <dxf>
      <border diagonalUp="0" diagonalDown="0">
        <left style="medium">
          <color rgb="FF000000"/>
        </left>
        <right style="medium">
          <color rgb="FF000000"/>
        </right>
        <top style="medium">
          <color rgb="FF000000"/>
        </top>
        <bottom style="medium">
          <color rgb="FF000000"/>
        </bottom>
      </border>
    </dxf>
    <dxf>
      <font>
        <strike val="0"/>
        <outline val="0"/>
        <shadow val="0"/>
        <vertAlign val="baseline"/>
        <name val="Arial"/>
        <family val="2"/>
        <scheme val="none"/>
      </font>
      <protection locked="1" hidden="1"/>
    </dxf>
    <dxf>
      <font>
        <strike val="0"/>
        <outline val="0"/>
        <shadow val="0"/>
        <vertAlign val="baseline"/>
        <name val="Arial"/>
        <family val="2"/>
        <scheme val="none"/>
      </font>
      <protection locked="1" hidden="1"/>
    </dxf>
  </dxfs>
  <tableStyles count="0" defaultTableStyle="TableStyleMedium2" defaultPivotStyle="PivotStyleLight16"/>
  <colors>
    <mruColors>
      <color rgb="FFFFCCCC"/>
      <color rgb="FFFFC08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16" dropStyle="combo" dx="22" fmlaLink="Helper!$B$4" fmlaRange="'Grainger Cross Reference'!A2:A86" sel="85" val="69"/>
</file>

<file path=xl/ctrlProps/ctrlProp2.xml><?xml version="1.0" encoding="utf-8"?>
<formControlPr xmlns="http://schemas.microsoft.com/office/spreadsheetml/2009/9/main" objectType="Drop" dropLines="16" dropStyle="combo" dx="22" fmlaLink="Selected_Model" fmlaRange="Helper!$P$2:$P$1016" sel="103" val="93"/>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logolynx.com/topic/lutron" TargetMode="External"/><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logolynx.com/topic/lutron"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https://www.logolynx.com/topic/lutron"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https://www.logolynx.com/topic/lutron" TargetMode="External"/><Relationship Id="rId1" Type="http://schemas.openxmlformats.org/officeDocument/2006/relationships/image" Target="../media/image6.jpeg"/><Relationship Id="rId4" Type="http://schemas.openxmlformats.org/officeDocument/2006/relationships/hyperlink" Target="https://en.wikipedia.org/wiki/W._W._Grainger"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0</xdr:row>
      <xdr:rowOff>38100</xdr:rowOff>
    </xdr:from>
    <xdr:to>
      <xdr:col>6</xdr:col>
      <xdr:colOff>2336048</xdr:colOff>
      <xdr:row>0</xdr:row>
      <xdr:rowOff>359229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4419600" y="38100"/>
          <a:ext cx="2301123" cy="321129"/>
        </a:xfrm>
        <a:prstGeom prst="rect">
          <a:avLst/>
        </a:prstGeom>
      </xdr:spPr>
    </xdr:pic>
    <xdr:clientData/>
  </xdr:twoCellAnchor>
  <xdr:twoCellAnchor editAs="oneCell">
    <xdr:from>
      <xdr:col>1</xdr:col>
      <xdr:colOff>352425</xdr:colOff>
      <xdr:row>10</xdr:row>
      <xdr:rowOff>228600</xdr:rowOff>
    </xdr:from>
    <xdr:to>
      <xdr:col>3</xdr:col>
      <xdr:colOff>1876425</xdr:colOff>
      <xdr:row>10</xdr:row>
      <xdr:rowOff>1600200</xdr:rowOff>
    </xdr:to>
    <xdr:pic>
      <xdr:nvPicPr>
        <xdr:cNvPr id="5" name="Picture 4" descr="image">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1975" y="2943225"/>
          <a:ext cx="274320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485776</xdr:colOff>
      <xdr:row>10</xdr:row>
      <xdr:rowOff>219075</xdr:rowOff>
    </xdr:from>
    <xdr:to>
      <xdr:col>6</xdr:col>
      <xdr:colOff>1863888</xdr:colOff>
      <xdr:row>10</xdr:row>
      <xdr:rowOff>1590675</xdr:rowOff>
    </xdr:to>
    <xdr:pic>
      <xdr:nvPicPr>
        <xdr:cNvPr id="6" name="Picture 5" descr="image">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48126" y="2933700"/>
          <a:ext cx="2721137"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40203</xdr:colOff>
      <xdr:row>0</xdr:row>
      <xdr:rowOff>80035</xdr:rowOff>
    </xdr:from>
    <xdr:to>
      <xdr:col>5</xdr:col>
      <xdr:colOff>2348128</xdr:colOff>
      <xdr:row>0</xdr:row>
      <xdr:rowOff>403884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4917003" y="80035"/>
          <a:ext cx="2307925" cy="3238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47625</xdr:colOff>
          <xdr:row>1</xdr:row>
          <xdr:rowOff>142875</xdr:rowOff>
        </xdr:from>
        <xdr:to>
          <xdr:col>5</xdr:col>
          <xdr:colOff>2457450</xdr:colOff>
          <xdr:row>2</xdr:row>
          <xdr:rowOff>200025</xdr:rowOff>
        </xdr:to>
        <xdr:sp macro="" textlink="">
          <xdr:nvSpPr>
            <xdr:cNvPr id="24577" name="ComboBox1" hidden="1">
              <a:extLst>
                <a:ext uri="{63B3BB69-23CF-44E3-9099-C40C66FF867C}">
                  <a14:compatExt spid="_x0000_s24577"/>
                </a:ext>
                <a:ext uri="{FF2B5EF4-FFF2-40B4-BE49-F238E27FC236}">
                  <a16:creationId xmlns:a16="http://schemas.microsoft.com/office/drawing/2014/main" id="{00000000-0008-0000-0100-000001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5</xdr:col>
      <xdr:colOff>40203</xdr:colOff>
      <xdr:row>0</xdr:row>
      <xdr:rowOff>80035</xdr:rowOff>
    </xdr:from>
    <xdr:to>
      <xdr:col>5</xdr:col>
      <xdr:colOff>2348128</xdr:colOff>
      <xdr:row>0</xdr:row>
      <xdr:rowOff>403884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4917003" y="80035"/>
          <a:ext cx="2301123" cy="3211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5</xdr:col>
          <xdr:colOff>2486025</xdr:colOff>
          <xdr:row>3</xdr:row>
          <xdr:rowOff>9525</xdr:rowOff>
        </xdr:to>
        <xdr:sp macro="" textlink="">
          <xdr:nvSpPr>
            <xdr:cNvPr id="3078" name="ComboBox1"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506928</xdr:colOff>
      <xdr:row>0</xdr:row>
      <xdr:rowOff>85400</xdr:rowOff>
    </xdr:from>
    <xdr:to>
      <xdr:col>5</xdr:col>
      <xdr:colOff>2472630</xdr:colOff>
      <xdr:row>0</xdr:row>
      <xdr:rowOff>359720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5383728" y="85400"/>
          <a:ext cx="1965702" cy="274320"/>
        </a:xfrm>
        <a:prstGeom prst="rect">
          <a:avLst/>
        </a:prstGeom>
      </xdr:spPr>
    </xdr:pic>
    <xdr:clientData/>
  </xdr:twoCellAnchor>
  <xdr:twoCellAnchor editAs="oneCell">
    <xdr:from>
      <xdr:col>4</xdr:col>
      <xdr:colOff>1476374</xdr:colOff>
      <xdr:row>0</xdr:row>
      <xdr:rowOff>85400</xdr:rowOff>
    </xdr:from>
    <xdr:to>
      <xdr:col>5</xdr:col>
      <xdr:colOff>476249</xdr:colOff>
      <xdr:row>1</xdr:row>
      <xdr:rowOff>2237</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837473B0-CC2E-450A-ABE3-18F120FF3D39}">
              <a1611:picAttrSrcUrl xmlns:a1611="http://schemas.microsoft.com/office/drawing/2016/11/main" r:id="rId4"/>
            </a:ext>
          </a:extLst>
        </a:blip>
        <a:stretch>
          <a:fillRect/>
        </a:stretch>
      </xdr:blipFill>
      <xdr:spPr>
        <a:xfrm>
          <a:off x="3971924" y="85400"/>
          <a:ext cx="1381125" cy="32958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1</xdr:row>
          <xdr:rowOff>171450</xdr:rowOff>
        </xdr:from>
        <xdr:to>
          <xdr:col>6</xdr:col>
          <xdr:colOff>0</xdr:colOff>
          <xdr:row>2</xdr:row>
          <xdr:rowOff>190500</xdr:rowOff>
        </xdr:to>
        <xdr:sp macro="" textlink="">
          <xdr:nvSpPr>
            <xdr:cNvPr id="8196" name="GraingerDropDown" hidden="1">
              <a:extLst>
                <a:ext uri="{63B3BB69-23CF-44E3-9099-C40C66FF867C}">
                  <a14:compatExt spid="_x0000_s8196"/>
                </a:ext>
                <a:ext uri="{FF2B5EF4-FFF2-40B4-BE49-F238E27FC236}">
                  <a16:creationId xmlns:a16="http://schemas.microsoft.com/office/drawing/2014/main" id="{00000000-0008-0000-03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3</xdr:row>
          <xdr:rowOff>9525</xdr:rowOff>
        </xdr:from>
        <xdr:to>
          <xdr:col>6</xdr:col>
          <xdr:colOff>0</xdr:colOff>
          <xdr:row>3</xdr:row>
          <xdr:rowOff>190500</xdr:rowOff>
        </xdr:to>
        <xdr:sp macro="" textlink="">
          <xdr:nvSpPr>
            <xdr:cNvPr id="8197" name="GraingerDropDown" hidden="1">
              <a:extLst>
                <a:ext uri="{63B3BB69-23CF-44E3-9099-C40C66FF867C}">
                  <a14:compatExt spid="_x0000_s8197"/>
                </a:ext>
                <a:ext uri="{FF2B5EF4-FFF2-40B4-BE49-F238E27FC236}">
                  <a16:creationId xmlns:a16="http://schemas.microsoft.com/office/drawing/2014/main" id="{00000000-0008-0000-03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33</xdr:col>
      <xdr:colOff>228600</xdr:colOff>
      <xdr:row>126</xdr:row>
      <xdr:rowOff>167216</xdr:rowOff>
    </xdr:from>
    <xdr:to>
      <xdr:col>56</xdr:col>
      <xdr:colOff>200919</xdr:colOff>
      <xdr:row>138</xdr:row>
      <xdr:rowOff>37357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58569225" y="25608491"/>
          <a:ext cx="13993119" cy="2156141"/>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3W Candidates" id="{2438C0B5-9F4F-4A12-A473-CA9714D76DC4}">
    <nsvFilter filterId="{B5CC671C-0845-4394-BD19-BC669318CBA5}" ref="A1:AO1003" tableId="3">
      <columnFilter colId="3" id="{0474C3B9-7A87-40DB-A6D8-F6EAC361C70D}">
        <filter colId="3">
          <x:filters blank="1"/>
        </filter>
      </columnFilter>
      <columnFilter colId="4" id="{A9E28D0A-316B-4E47-966E-FC8F7C6B8699}">
        <filter colId="4">
          <x:filters blank="1"/>
        </filter>
      </columnFilter>
      <columnFilter colId="9" id="{C32D5EE1-40EC-444A-AD3C-E10BCFA40C36}">
        <filter colId="9">
          <x:filters>
            <x:filter val="T5"/>
          </x:filters>
        </filter>
      </columnFilter>
      <columnFilter colId="16" id="{26874AB2-3C62-477F-9401-4CF7748F8876}">
        <filter colId="16">
          <x:filters blank="1"/>
        </filter>
      </columnFilter>
    </nsvFilter>
  </namedSheetView>
  <namedSheetView name="C-Flex Candidates" id="{3425DA25-B384-46DE-A67B-FBF01B6A0795}">
    <nsvFilter filterId="{B5CC671C-0845-4394-BD19-BC669318CBA5}" ref="A1:AO1003" tableId="3">
      <columnFilter colId="3" id="{0474C3B9-7A87-40DB-A6D8-F6EAC361C70D}">
        <filter colId="3">
          <x:filters blank="1"/>
        </filter>
      </columnFilter>
      <columnFilter colId="4" id="{A9E28D0A-316B-4E47-966E-FC8F7C6B8699}">
        <filter colId="4">
          <x:filters blank="1"/>
        </filter>
      </columnFilter>
      <columnFilter colId="16" id="{26874AB2-3C62-477F-9401-4CF7748F8876}">
        <filter colId="16">
          <x:filters blank="1"/>
        </filter>
      </columnFilter>
    </nsvFilter>
  </namedSheetView>
  <namedSheetView name="Eco Candidates" id="{85FF5774-BC25-4993-9B5D-D5EADB3F6530}">
    <nsvFilter filterId="{B5CC671C-0845-4394-BD19-BC669318CBA5}" ref="A1:AO1003" tableId="3">
      <columnFilter colId="1" id="{FD7301BD-C64C-4586-87D5-4FD7E685108A}">
        <filter colId="1">
          <x:customFilters>
            <x:customFilter operator="notEqual" val=" "/>
          </x:customFilters>
        </filter>
      </columnFilter>
      <columnFilter colId="9" id="{C32D5EE1-40EC-444A-AD3C-E10BCFA40C36}">
        <filter colId="9">
          <x:filters>
            <x:filter val="T5"/>
          </x:filters>
        </filter>
      </columnFilter>
      <columnFilter colId="16" id="{26874AB2-3C62-477F-9401-4CF7748F8876}">
        <filter colId="16">
          <x:filters blank="1"/>
        </filter>
      </columnFilter>
    </nsvFilter>
  </namedSheetView>
  <namedSheetView name="Kit Candidates" id="{B3D443D9-6CAC-480C-A1D6-C839FDCCB807}">
    <nsvFilter filterId="{B5CC671C-0845-4394-BD19-BC669318CBA5}" ref="A1:AO1003" tableId="3">
      <columnFilter colId="3" id="{0474C3B9-7A87-40DB-A6D8-F6EAC361C70D}">
        <filter colId="3">
          <x:filters blank="1"/>
        </filter>
      </columnFilter>
      <columnFilter colId="4" id="{A9E28D0A-316B-4E47-966E-FC8F7C6B8699}">
        <filter colId="4">
          <x:filters blank="1"/>
        </filter>
      </columnFilter>
      <columnFilter colId="12" id="{967190B2-D70E-4B95-938D-B5EDD7CBEEE8}">
        <filter colId="12">
          <x:filters>
            <x:filter val="3"/>
          </x:filters>
        </filter>
      </columnFilter>
      <columnFilter colId="16" id="{26874AB2-3C62-477F-9401-4CF7748F8876}">
        <filter colId="16">
          <x:filters blank="1"/>
        </filter>
      </columnFilter>
    </nsvFilter>
  </namedSheetView>
</namedSheetViews>
</file>

<file path=xl/persons/person.xml><?xml version="1.0" encoding="utf-8"?>
<personList xmlns="http://schemas.microsoft.com/office/spreadsheetml/2018/threadedcomments" xmlns:x="http://schemas.openxmlformats.org/spreadsheetml/2006/main">
  <person displayName="Ethan Biery" id="{E17CF04D-0D2D-4E33-B48D-472DF850B7F8}" userId="S::ebiery@lutron.com::0f9127f7-aa41-4f55-850d-3ea9aa960fe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851057B-757D-4EAD-B789-969E9C19F846}" name="Lutron_Models19" displayName="Lutron_Models19" ref="D19:F23" totalsRowShown="0" headerRowDxfId="165" dataDxfId="164" tableBorderDxfId="163">
  <tableColumns count="3">
    <tableColumn id="1" xr3:uid="{63D04B57-18B5-4FBA-8586-1CAB3A1F7D72}" name="CCT" dataDxfId="162"/>
    <tableColumn id="2" xr3:uid="{47A1AD9A-3156-4F35-AD39-95B1CB9AE65B}" name="EcoSystem Control" dataDxfId="161">
      <calculatedColumnFormula>_xlfn.IFNA(SUBSTITUTE(VLOOKUP(SUBSTITUTE(SUBSTITUTE(SUBSTITUTE(VLOOKUP(Ballast_Model,Master_Reference[],MATCH("EcoSystem C-Flex Kit Base",Master_Reference[#Headers],0),FALSE),"xx",LEFT(Lutron_Models19[[#This Row],[CCT]],2)),"ww",CFLWattage),"m",LEFT(CFLMounting),1),Lutron_CFlex_Lookup[],MATCH("Lutron Kit PN"&amp;IF(SensorOnBallast," with BMF",""),Lutron_CFlex_Lookup[#Headers],0),FALSE),"q",IF(PackagingOption="Individual",1,CaseQty)),"N/A")</calculatedColumnFormula>
    </tableColumn>
    <tableColumn id="4" xr3:uid="{1D649A70-8C08-4C51-82A4-099F6737CCD8}" name="3-Wire Control" dataDxfId="160">
      <calculatedColumnFormula>_xlfn.IFNA(IF(SensorOnBallast,NA(),SUBSTITUTE(VLOOKUP(SUBSTITUTE(SUBSTITUTE(SUBSTITUTE(VLOOKUP(Ballast_Model,Master_Reference[],MATCH("3-Wire C-Flex Kit Base",Master_Reference[#Headers],0),FALSE),"xx",LEFT(Lutron_Models19[[#This Row],[CCT]],2)),"ww",CFLWattage),"m",LEFT(CFLMounting),1),Lutron_CFlex_Lookup[],MATCH("Lutron Kit PN",Lutron_CFlex_Lookup[#Headers],0),FALSE),"q",IF(PackagingOption="Individual",1,CaseQty))),"N/A")</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376235-0DE6-49C6-B536-1380BF2DE281}" name="Lutron_CFlex_Lookup" displayName="Lutron_CFlex_Lookup" ref="A1:N357" totalsRowShown="0">
  <autoFilter ref="A1:N357" xr:uid="{72376235-0DE6-49C6-B536-1380BF2DE281}">
    <filterColumn colId="9">
      <customFilters>
        <customFilter val="*P*"/>
        <customFilter val="*R*"/>
      </customFilters>
    </filterColumn>
  </autoFilter>
  <tableColumns count="14">
    <tableColumn id="11" xr3:uid="{9BD4FF08-6813-496C-878C-BE40F111E81E}" name="C-FLEX Individual Kit" dataDxfId="69"/>
    <tableColumn id="1" xr3:uid="{FC16906C-C2B0-411A-AFF3-3FF4873641B5}" name="Control Type"/>
    <tableColumn id="2" xr3:uid="{CD1D6EC7-D995-4EDB-8ADF-292F270140E8}" name="Lamp Type"/>
    <tableColumn id="3" xr3:uid="{75AB7F28-3DC3-4B5E-B545-39D92FEE63CF}" name="Lamp Size"/>
    <tableColumn id="4" xr3:uid="{6498DE74-BEE8-4A43-A1CF-F65C60B2C6BC}" name="Kit Lamp Qty"/>
    <tableColumn id="13" xr3:uid="{2EAAD124-EAFC-4B84-A7D8-F7A85710F423}" name="Kits per Case" dataDxfId="68">
      <calculatedColumnFormula array="1">_xlfn.IFS(Lutron_CFlex_Lookup[[#This Row],[Kit Lamp Qty]]=1,24,Lutron_CFlex_Lookup[[#This Row],[Kit Lamp Qty]]=2,12,Lutron_CFlex_Lookup[[#This Row],[Kit Lamp Qty]]=3,8)</calculatedColumnFormula>
    </tableColumn>
    <tableColumn id="5" xr3:uid="{15BBF475-5BD9-40B3-9E0B-E29C29223A07}" name="Color Temp (K)"/>
    <tableColumn id="6" xr3:uid="{DA53FF0F-6D1B-49D0-A8CB-905D208C65A5}" name="Lumens (lm)"/>
    <tableColumn id="7" xr3:uid="{FF30CEC9-C9FA-4C1F-ACE4-2F3DADC1792B}" name="Driver Case Type"/>
    <tableColumn id="8" xr3:uid="{329C84FE-6CE3-4D16-989E-9C05BD19AB9C}" name="Lutron Kit PN"/>
    <tableColumn id="12" xr3:uid="{434FF012-AC8B-4C63-BB86-8E503178637A}" name="Lutron Kit PN with BMF" dataDxfId="67"/>
    <tableColumn id="9" xr3:uid="{F02CEC45-1224-4AD6-BBBD-29C8435EC8C1}" name="Lutron Driver PN" dataDxfId="66">
      <calculatedColumnFormula>_xlfn.XLOOKUP(Lutron_CFlex_Lookup[[#This Row],[C-FLEX Individual Kit]],Grackle_LED_Map[LED EcoSystem SKU],Grackle_LED_Map[EcoSystem Drivers],"",0)&amp;_xlfn.XLOOKUP(Lutron_CFlex_Lookup[[#This Row],[C-FLEX Individual Kit]],Grackle_LED_Map[LED 3W SKU with and without BMF],Grackle_LED_Map[3W Drivers],"",0)</calculatedColumnFormula>
    </tableColumn>
    <tableColumn id="14" xr3:uid="{A406887F-D33D-4681-9F46-7C2D88F6F084}" name="Lutron Lamp PN" dataDxfId="65">
      <calculatedColumnFormula>_xlfn.XLOOKUP(Lutron_CFlex_Lookup[[#This Row],[C-FLEX Individual Kit]],Grackle_LED_Map[LED EcoSystem SKU],Grackle_LED_Map[Lutron Lamp SKU],"",0)&amp;_xlfn.XLOOKUP(Lutron_CFlex_Lookup[[#This Row],[C-FLEX Individual Kit]],Grackle_LED_Map[LED 3W SKU with and without BMF],Grackle_LED_Map[Lutron Lamp SKU],"",0)</calculatedColumnFormula>
    </tableColumn>
    <tableColumn id="10" xr3:uid="{F63001DC-E0A8-46DA-BB01-BB69917A8E4A}" name="Commen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98DD3C6-F2F6-48CC-9D45-76F78FC54E0D}" name="ObsoleteModels" displayName="ObsoleteModels" ref="A1:A929" totalsRowShown="0" headerRowDxfId="64" dataDxfId="62" headerRowBorderDxfId="63" tableBorderDxfId="61" totalsRowBorderDxfId="60">
  <autoFilter ref="A1:A929" xr:uid="{398DD3C6-F2F6-48CC-9D45-76F78FC54E0D}"/>
  <tableColumns count="1">
    <tableColumn id="1" xr3:uid="{D6782286-E7B7-49EB-A000-0AF56B7A5238}" name="Obsolete Models" dataDxfId="59"/>
  </tableColumns>
  <tableStyleInfo name="TableStyleMedium2"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B2C932C-D435-4A2B-B6DB-3C05862F0BAC}" name="Grackle_LED_Map" displayName="Grackle_LED_Map" ref="A5:AA225" totalsRowShown="0" headerRowDxfId="58" headerRowBorderDxfId="57" tableBorderDxfId="56" totalsRowBorderDxfId="55">
  <autoFilter ref="A5:AA225" xr:uid="{D3EEC6EE-CADF-4822-8B8F-400A42EB7916}"/>
  <tableColumns count="27">
    <tableColumn id="1" xr3:uid="{308BE270-AC50-44EE-9B4A-D5BB27CA4AEF}" name="Lamp Type" dataDxfId="54"/>
    <tableColumn id="2" xr3:uid="{83B1102B-3240-44A7-9C29-258A7F056784}" name="Lamp Length" dataDxfId="53"/>
    <tableColumn id="3" xr3:uid="{5B02B436-0E86-4A3E-9D73-7693506BD5A4}" name="number of led lamps in kit" dataDxfId="52"/>
    <tableColumn id="4" xr3:uid="{AE25B2EC-EE52-40B5-B4D2-DACBF34BA4EB}" name="CCT" dataDxfId="51"/>
    <tableColumn id="21" xr3:uid="{60E23639-A609-40C8-B668-239BF77A3914}" name="Lumens" dataDxfId="50"/>
    <tableColumn id="17" xr3:uid="{D98BD8F9-FC56-465D-ADBF-2D8528C00365}" name="Case" dataDxfId="49"/>
    <tableColumn id="5" xr3:uid="{160698C9-5B93-463B-A611-DA5DA619169C}" name="Case EcoSystem Kits SKU" dataDxfId="48"/>
    <tableColumn id="6" xr3:uid="{5CAB5691-8C7C-4A19-9D45-68D68C3B217F}" name="Case 3W Kits SKU" dataDxfId="47"/>
    <tableColumn id="19" xr3:uid="{3CEF65C5-D2CB-410E-800A-873143B13D34}" name="Case 3W kits WITH BMF" dataDxfId="46"/>
    <tableColumn id="7" xr3:uid="{810251F2-03C4-4C37-A30F-45A2B2DC916A}" name="Single EcoSystem Kits SKU" dataDxfId="45"/>
    <tableColumn id="8" xr3:uid="{757B08B3-B14E-4836-8DA8-82C6660A58DF}" name="Single 3W Kits SKU" dataDxfId="44"/>
    <tableColumn id="22" xr3:uid="{762C4FC1-1100-4C18-8A21-B581B13D080E}" name="Single 3W kits with BMF" dataDxfId="43"/>
    <tableColumn id="9" xr3:uid="{93CC896C-4AFA-41C0-B240-768F6858698F}" name="Case Grainger EcoSystem Kits SKU" dataDxfId="42"/>
    <tableColumn id="10" xr3:uid="{211E6C87-DBAE-4BFA-AD48-B4EDC945B596}" name="Case Grainger3W Kits SKU" dataDxfId="41"/>
    <tableColumn id="23" xr3:uid="{E74E8788-C03E-42E3-95B8-CDA1DB6F3991}" name="CASE Grainger 3W Kits with BMF" dataDxfId="40"/>
    <tableColumn id="11" xr3:uid="{89871316-5E72-48A6-BD25-EB53E6F2F57E}" name="Single Grainger EcoSystem Kits SKU" dataDxfId="39"/>
    <tableColumn id="12" xr3:uid="{FDA2CC0C-55F9-453C-B9CE-5CF8DE5E3E7C}" name="Single Grainger 3W Kits SKU" dataDxfId="38"/>
    <tableColumn id="24" xr3:uid="{31D0D5D6-78A5-4187-BD5C-9019B5BE99EA}" name="Single Grainger 3W Kits with BMF" dataDxfId="37"/>
    <tableColumn id="13" xr3:uid="{275336DC-AAF1-40A1-ADB9-D9919CE0FCD8}" name="EcoSystem Drivers" dataDxfId="36"/>
    <tableColumn id="14" xr3:uid="{2913DAF8-A126-44B9-A4A7-013F3D053343}" name="3W Drivers" dataDxfId="35"/>
    <tableColumn id="15" xr3:uid="{A74651A7-68D3-4E85-BCCA-2EE358FCDD00}" name="Lutron Lamp SKU" dataDxfId="34"/>
    <tableColumn id="20" xr3:uid="{5AAA75D1-E436-48A7-87A2-9DDDF77FC6C1}" name="Lutron Adapter Part Number" dataDxfId="33"/>
    <tableColumn id="27" xr3:uid="{25B01A63-0BB3-4EAE-A4E1-DF1FFF2BDEBE}" name="L.E.D. Adapter Part Number" dataDxfId="32"/>
    <tableColumn id="25" xr3:uid="{42DA9F50-1794-4840-8493-FA7BCB15D689}" name="LED Compact Lamp reference Designator" dataDxfId="31"/>
    <tableColumn id="26" xr3:uid="{29D8C880-4D3B-46B1-BB9C-E2E7F1793652}" name="LED lamp Part Number" dataDxfId="30"/>
    <tableColumn id="16" xr3:uid="{BE44C648-76FA-4622-A9A5-A56E9CF4F0B4}" name="LED EcoSystem SKU" dataDxfId="29">
      <calculatedColumnFormula>"RP-"&amp;Grackle_LED_Map[[#This Row],[Lamp Type]]&amp;"-"&amp;Grackle_LED_Map[[#This Row],[Lamp Length]]&amp;"FT-"&amp;Grackle_LED_Map[[#This Row],[number of led lamps in kit]]&amp;"L-8"&amp;LEFT(Grackle_LED_Map[[#This Row],[CCT]],2)&amp;"-E1-"&amp;Grackle_LED_Map[[#This Row],[Case]]&amp;"-G2"</calculatedColumnFormula>
    </tableColumn>
    <tableColumn id="18" xr3:uid="{52320A1F-BE8F-416E-BF68-5EA56D58243E}" name="LED 3W SKU with and without BMF" dataDxfId="28">
      <calculatedColumnFormula>"RP-"&amp;Grackle_LED_Map[[#This Row],[Lamp Type]]&amp;"-"&amp;Grackle_LED_Map[[#This Row],[Lamp Length]]&amp;"FT-"&amp;Grackle_LED_Map[[#This Row],[number of led lamps in kit]]&amp;"L-8"&amp;LEFT(Grackle_LED_Map[[#This Row],[CCT]],2)&amp;"-3W-"&amp;Grackle_LED_Map[[#This Row],[Case]]&amp;"-G2"</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6422796-77CB-417F-8E29-2E6F454DFB53}" name="Table_Notes" displayName="Table_Notes" ref="A14:D33" totalsRowShown="0">
  <tableColumns count="4">
    <tableColumn id="1" xr3:uid="{A785D892-B33C-45BD-8930-FD523F3236EF}" name="Note Type"/>
    <tableColumn id="2" xr3:uid="{F6474CDF-D663-4923-B903-B104E5D53E8B}" name="Note Text"/>
    <tableColumn id="3" xr3:uid="{D85C4A3F-4396-4509-BA88-20F26EF1CA34}" name="Applies" dataDxfId="27">
      <calculatedColumnFormula>IF(VLOOKUP(Ballast_Model,Master_Reference[],MATCH(Table_Notes[[#This Row],[Note Type]],Master_Reference[#Headers],0),FALSE)=TRUE,Table_Notes[[#This Row],[Note Text]],"")</calculatedColumnFormula>
    </tableColumn>
    <tableColumn id="4" xr3:uid="{8DE39C01-3B62-4ED0-882D-042448A3B6C3}" name="Image"/>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E2816A1-63CC-4E51-8DD2-7ED17FFD99E9}" name="CCT_Table" displayName="CCT_Table" ref="F1:F5" totalsRowShown="0">
  <autoFilter ref="F1:F5" xr:uid="{DE2816A1-63CC-4E51-8DD2-7ED17FFD99E9}"/>
  <tableColumns count="1">
    <tableColumn id="1" xr3:uid="{CE31B955-9B28-41D3-8313-DF1DA26D3BEF}" name="CCT"/>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ACE9081-A169-435A-BE9F-10A00E45CEEC}" name="ControlType_Table" displayName="ControlType_Table" ref="H1:H4" totalsRowShown="0">
  <autoFilter ref="H1:H4" xr:uid="{7ACE9081-A169-435A-BE9F-10A00E45CEEC}"/>
  <tableColumns count="1">
    <tableColumn id="1" xr3:uid="{5A895FA0-230B-4A6C-9DEE-4A7FA7686D85}" name="Control Typ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DF40E41-2AA7-46A4-938A-BD1BD9CD6D16}" name="Voltage_Table" displayName="Voltage_Table" ref="J1:J5" totalsRowShown="0">
  <autoFilter ref="J1:J5" xr:uid="{1DF40E41-2AA7-46A4-938A-BD1BD9CD6D16}"/>
  <tableColumns count="1">
    <tableColumn id="1" xr3:uid="{4AF0DEBF-27F3-48D2-B961-84A3E631098E}" name="Voltag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17A9B0B-BF42-4A8A-9B41-960813602610}" name="UpgradePlan_Table" displayName="UpgradePlan_Table" ref="L1:L5" totalsRowShown="0">
  <autoFilter ref="L1:L5" xr:uid="{C17A9B0B-BF42-4A8A-9B41-960813602610}"/>
  <tableColumns count="1">
    <tableColumn id="1" xr3:uid="{53EE8C38-2B6B-4CD0-B831-D7182DA52B83}" name="Upgrade Pla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92F914-747E-4D7B-86EE-B45B7218A855}" name="SystemTypes_Table" displayName="SystemTypes_Table" ref="N1:N9" totalsRowShown="0">
  <autoFilter ref="N1:N9" xr:uid="{D192F914-747E-4D7B-86EE-B45B7218A855}"/>
  <tableColumns count="1">
    <tableColumn id="1" xr3:uid="{E4A27B2A-9EDE-4FC9-8C87-8DF782DA247F}" name="System Type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C23E27-C06D-400A-84E7-C7A3B26EEFB2}" name="Lutron_Models" displayName="Lutron_Models" ref="D12:F15" totalsRowShown="0" headerRowDxfId="159" dataDxfId="158" tableBorderDxfId="157">
  <tableColumns count="3">
    <tableColumn id="1" xr3:uid="{E859138A-A5EC-4AB2-8958-1F5F0B14EE82}" name="CCT" dataDxfId="156"/>
    <tableColumn id="2" xr3:uid="{D8B7F35C-C69D-451D-AF66-F2319BE9FFE1}" name="EcoSystem Control" dataDxfId="155"/>
    <tableColumn id="4" xr3:uid="{A2DA493A-266C-45F8-8276-5D801215E7FF}" name="3-Wire Control" dataDxfId="154">
      <calculatedColumnFormula>IF(ISBLANK(VLOOKUP(Ballast_Model,Master_Reference[],30,FALSE)),VLOOKUP(Ballast_Model,Master_Reference[],30,FALSE),"N/A")</calculatedColumnFormula>
    </tableColumn>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837838B-AA08-4FE6-B0E5-E3B59A2C4F0C}" name="CFLEX_Models" displayName="CFLEX_Models" ref="D18:F21" totalsRowShown="0" headerRowDxfId="153" dataDxfId="152" tableBorderDxfId="151">
  <tableColumns count="3">
    <tableColumn id="1" xr3:uid="{E171AA6B-3470-4B5C-8341-DB84BE3EB557}" name="CCT" dataDxfId="150"/>
    <tableColumn id="2" xr3:uid="{8AA4B5D6-07D0-46A1-BB05-ABB3E5D3539C}" name="EcoSystem Control" dataDxfId="149"/>
    <tableColumn id="4" xr3:uid="{0C0B086A-D450-439D-8920-7890E1282051}" name="3-Wire Control" dataDxfId="148">
      <calculatedColumnFormula>IF(ISTEXT(VLOOKUP(Ballast_Model,Master_Reference[],24,FALSE)),VLOOKUP(Ballast_Model,Master_Reference[],24,FALSE),"N/A")</calculatedColumnFormula>
    </tableColumn>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2B42F19-0FD0-4416-A1E3-B8773DD066EB}" name="Grainger_Models" displayName="Grainger_Models" ref="D21:F25" totalsRowShown="0" headerRowDxfId="147" dataDxfId="146" tableBorderDxfId="145">
  <tableColumns count="3">
    <tableColumn id="1" xr3:uid="{B35E2BDF-67F0-42A3-AA71-6BB815B42AF9}" name="CCT" dataDxfId="144"/>
    <tableColumn id="2" xr3:uid="{D0716200-F5F2-433F-9158-500EE983304A}" name="EcoSystem Control" dataDxfId="143">
      <calculatedColumnFormula>_xlfn.IFNA(VLOOKUP(E29,Grainger_TLED_Lookup[],2,FALSE),"N/A")</calculatedColumnFormula>
    </tableColumn>
    <tableColumn id="4" xr3:uid="{F5B7C882-68B4-4C1B-B8B2-0BDEC13F2B1E}" name="3-Wire Control" dataDxfId="142">
      <calculatedColumnFormula>_xlfn.IFNA(VLOOKUP(F29,Grainger_TLED_Lookup[],2,FALSE),"N/A")</calculatedColumnFormula>
    </tableColumn>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95DE3EC-9681-4FCA-A267-C324C4CF5D8C}" name="G_Lutron_Models" displayName="G_Lutron_Models" ref="D28:F32" totalsRowShown="0" headerRowDxfId="141" dataDxfId="140" tableBorderDxfId="139">
  <tableColumns count="3">
    <tableColumn id="1" xr3:uid="{CDC908A5-9720-4573-97F4-08CF2728F001}" name="CCT" dataDxfId="138"/>
    <tableColumn id="2" xr3:uid="{E4D87E5C-0DB7-4F03-9AF3-2A23C0B27D03}" name="EcoSystem Control" dataDxfId="137">
      <calculatedColumnFormula>_xlfn.IFNA(SUBSTITUTE(VLOOKUP(SUBSTITUTE(SUBSTITUTE(SUBSTITUTE(VLOOKUP(G_Ballast_Model,Master_Reference[],MATCH("EcoSystem C-Flex Kit Base",Master_Reference[#Headers],0),FALSE),"xx",LEFT(G_Lutron_Models[[#This Row],[CCT]],2)),"ww",G_CFLWattage),"m",LEFT(G_CFLMounting),1),Lutron_CFlex_Lookup[],MATCH("Lutron Kit PN"&amp;IF(G_SensorOnBallast," with BMF",""),Lutron_CFlex_Lookup[#Headers],0),FALSE),"q",IF(G_PackagingOption="Individual",1,CaseQty)),"N/A")</calculatedColumnFormula>
    </tableColumn>
    <tableColumn id="4" xr3:uid="{2715631A-FB0E-470F-A0E8-F92CCC8A2902}" name="3-Wire Control" dataDxfId="136">
      <calculatedColumnFormula>_xlfn.IFNA(IF(G_SensorOnBallast,NA(),SUBSTITUTE(VLOOKUP(SUBSTITUTE(SUBSTITUTE(SUBSTITUTE(VLOOKUP(G_Ballast_Model,Master_Reference[],MATCH("3-Wire C-Flex Kit Base",Master_Reference[#Headers],0),FALSE),"xx",LEFT(G_Lutron_Models[[#This Row],[CCT]],2)),"ww",G_CFLWattage),"m",LEFT(G_CFLMounting),1),Lutron_CFlex_Lookup[],MATCH("Lutron Kit PN",Lutron_CFlex_Lookup[#Headers],0),FALSE),"q",IF(G_PackagingOption="Individual",1,CaseQty))),"N/A")</calculatedColumnFormula>
    </tableColumn>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D173F29-9502-464F-A9AD-BF81C672E8FE}" name="Workbook" displayName="Workbook" ref="A6:O25" totalsRowShown="0" headerRowDxfId="135" dataDxfId="133" headerRowBorderDxfId="134" tableBorderDxfId="132" totalsRowBorderDxfId="131">
  <tableColumns count="15">
    <tableColumn id="1" xr3:uid="{57ACEDDF-0AAD-43F5-B535-1F9E9FA4F7AD}" name="Room Name" dataDxfId="130"/>
    <tableColumn id="2" xr3:uid="{22CB40B2-08FC-481E-8CC5-9F72B6D58B38}" name="Fixture Type/Description" dataDxfId="129"/>
    <tableColumn id="3" xr3:uid="{2FA60C7B-B215-4129-A5DC-16145B23B63D}" name="Quantity" dataDxfId="128"/>
    <tableColumn id="4" xr3:uid="{056F1198-D686-4733-B0BD-3ADA48858281}" name="Lutron Ballast Model Number" dataDxfId="127"/>
    <tableColumn id="5" xr3:uid="{B52B4CA9-D9B6-43EC-866F-1837741CF8E4}" name="Lamp CCT" dataDxfId="126"/>
    <tableColumn id="7" xr3:uid="{DD9CE5C9-4344-47F4-B925-1D64C8126349}" name="Control Type" dataDxfId="125"/>
    <tableColumn id="10" xr3:uid="{5D6913CC-5214-46DA-A50E-04165B46E1DA}" name="CFL Lamp Wattage" dataDxfId="26"/>
    <tableColumn id="12" xr3:uid="{CF0CC207-3B47-40E6-A0A5-74E732FEED5A}" name="CFL Lamp Orientation" dataDxfId="124"/>
    <tableColumn id="8" xr3:uid="{F595CD3A-A21B-426C-A57C-BA570C38A669}" name="Ballast Sensor Connections?" dataDxfId="123"/>
    <tableColumn id="9" xr3:uid="{CFC91907-0003-42F7-A40E-EB24F2E556C3}" name="Proposed Upgrade" dataDxfId="122"/>
    <tableColumn id="11" xr3:uid="{4079DCFC-EA92-4507-A5CB-45A3FDBBA846}" name="Recommended Lutron Individual Kit" dataDxfId="121">
      <calculatedColumnFormula>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calculatedColumnFormula>
    </tableColumn>
    <tableColumn id="15" xr3:uid="{041CD246-E3DE-4242-85CF-493E5E3FEE42}" name="Multi Control?" dataDxfId="120">
      <calculatedColumnFormula>IF(AND(VLOOKUP(Workbook[[#This Row],[Lutron Ballast Model Number]],Master_Reference[],MATCH("Control Eco",Master_Reference[#Headers],0),FALSE),VLOOKUP(Workbook[[#This Row],[Lutron Ballast Model Number]],Master_Reference[],MATCH("Control 3W",Master_Reference[#Headers],0),FALSE)),TRUE,FALSE)</calculatedColumnFormula>
    </tableColumn>
    <tableColumn id="13" xr3:uid="{123F31F8-E563-4C14-A466-006242488CA0}" name="MW Lamp?" dataDxfId="119">
      <calculatedColumnFormula>IF(VLOOKUP(Workbook[[#This Row],[Lutron Ballast Model Number]],Master_Reference[],MATCH("Lamp Wattage",Master_Reference[#Headers],0),FALSE)="MW",TRUE,FALSE)</calculatedColumnFormula>
    </tableColumn>
    <tableColumn id="14" xr3:uid="{4DC19F81-0343-457C-B74E-7796A1A1A961}" name="CFL Lamp?" dataDxfId="118">
      <calculatedColumnFormula>IF(VLOOKUP(Workbook[[#This Row],[Lutron Ballast Model Number]],Master_Reference[],MATCH("Lamp Type",Master_Reference[#Headers],0),FALSE)="T4",TRUE,FALSE)</calculatedColumnFormula>
    </tableColumn>
    <tableColumn id="16" xr3:uid="{578BEAFF-E7F9-454F-B6D6-1ED022EF7A0F}" name="Ballast Sensors?" dataDxfId="117">
      <calculatedColumnFormula>IF(VLOOKUP(Workbook[[#This Row],[Lutron Ballast Model Number]],Master_Reference[],MATCH("Sensor Support",Master_Reference[#Headers],0),FALSE),TRUE,FALSE)</calculatedColumnFormula>
    </tableColumn>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5CC671C-0845-4394-BD19-BC669318CBA5}" name="Master_Reference" displayName="Master_Reference" ref="A1:AO1003" totalsRowShown="0" headerRowDxfId="116" dataDxfId="115">
  <autoFilter ref="A1:AO1003" xr:uid="{B5CC671C-0845-4394-BD19-BC669318CBA5}"/>
  <tableColumns count="41">
    <tableColumn id="1" xr3:uid="{DEBFF20F-3571-45F7-B252-77605535D70F}" name="Model Number" dataDxfId="114"/>
    <tableColumn id="26" xr3:uid="{FD7301BD-C64C-4586-87D5-4FD7E685108A}" name="Control Eco" dataDxfId="113"/>
    <tableColumn id="24" xr3:uid="{363121B9-C0FA-45EE-9740-E3C093EC2B8B}" name="Control 3W" dataDxfId="112"/>
    <tableColumn id="23" xr3:uid="{0474C3B9-7A87-40DB-A6D8-F6EAC361C70D}" name="Control 2W" dataDxfId="111"/>
    <tableColumn id="25" xr3:uid="{A9E28D0A-316B-4E47-966E-FC8F7C6B8699}" name="Control 0-10" dataDxfId="110"/>
    <tableColumn id="27" xr3:uid="{02F29300-9759-48F5-9641-5049E94A10C6}" name="Sensor Support" dataDxfId="109">
      <calculatedColumnFormula>IF(LEFT(Master_Reference[[#This Row],[Model Number]],3)="EC5",TRUE,FALSE)</calculatedColumnFormula>
    </tableColumn>
    <tableColumn id="29" xr3:uid="{79A6BB16-80FC-4924-BC35-8454A934F939}" name="Non Standard Output" dataDxfId="108">
      <calculatedColumnFormula>IF(OR(LEFT(RIGHT(Master_Reference[[#This Row],[Model Number]],3),1)="C",LEFT(RIGHT(Master_Reference[[#This Row],[Model Number]],4),1)="C"),TRUE,"")</calculatedColumnFormula>
    </tableColumn>
    <tableColumn id="32" xr3:uid="{BD259DCA-550F-402B-A831-F6E11F42387E}" name="BAA Complaint" dataDxfId="107">
      <calculatedColumnFormula>IF(LEFT(Master_Reference[[#This Row],[Model Number]],1)="U",TRUE,"")</calculatedColumnFormula>
    </tableColumn>
    <tableColumn id="33" xr3:uid="{4E917688-77DF-418B-85BF-FB8A6353F8D0}" name="Case Size Difference" dataDxfId="106">
      <calculatedColumnFormula>IF(Master_Reference[[#This Row],[Lamp Type]]="T4","",IF(Master_Reference[[#This Row],[Case Type]]="M","",TRUE))</calculatedColumnFormula>
    </tableColumn>
    <tableColumn id="4" xr3:uid="{C32D5EE1-40EC-444A-AD3C-E10BCFA40C36}" name="Lamp Type" dataDxfId="105"/>
    <tableColumn id="5" xr3:uid="{B28293F5-86D2-4579-94AF-2A2C7C7E970B}" name="Lamp Wattage" dataDxfId="104"/>
    <tableColumn id="2" xr3:uid="{BEAEF0D9-A88C-4F1B-BBDF-DC6808D86E8B}" name="Lamp Length" dataDxfId="103"/>
    <tableColumn id="6" xr3:uid="{967190B2-D70E-4B95-938D-B5EDD7CBEEE8}" name="Lamp Qty" dataDxfId="102"/>
    <tableColumn id="7" xr3:uid="{7A82A367-D5E8-4B62-99AE-B75E0A6C5C43}" name="Voltage" dataDxfId="101"/>
    <tableColumn id="8" xr3:uid="{D9538295-B9FD-4A6C-8CDE-2DC816E44FFB}" name="Case Type" dataDxfId="100"/>
    <tableColumn id="9" xr3:uid="{A41E284D-DAE4-4161-ACB7-8A60D186AEBD}" name="Studs?" dataDxfId="99"/>
    <tableColumn id="28" xr3:uid="{26874AB2-3C62-477F-9401-4CF7748F8876}" name="Country" dataDxfId="98"/>
    <tableColumn id="10" xr3:uid="{B95A77F6-9C02-4CAF-ABB4-56FBC48C1E4B}" name="C-Flex Eco Kit" dataDxfId="97"/>
    <tableColumn id="3" xr3:uid="{6DDA13F2-996A-4AFB-889B-6F5EF4E0EE99}" name="C3-Flex 3W Kit"/>
    <tableColumn id="30" xr3:uid="{E69468B8-B917-47A2-811B-E8102E321845}" name="Lutron Eco Kit" dataDxfId="96">
      <calculatedColumnFormula>IF(COUNTBLANK(Master_Reference[[#This Row],[Lutron 3000K Eco Part Number]:[Lutron 4000K Eco Part Number]])=3,FALSE,TRUE)</calculatedColumnFormula>
    </tableColumn>
    <tableColumn id="31" xr3:uid="{9E807866-4D46-4540-926B-D6FE6C3D8A3C}" name="Lutron 3W Kit" dataDxfId="95">
      <calculatedColumnFormula>IF(COUNTBLANK(Master_Reference[[#This Row],[Lutron 3000K 3W Part Number]:[Lutron 4000K 3W Part Number]])=3,FALSE,TRUE)</calculatedColumnFormula>
    </tableColumn>
    <tableColumn id="11" xr3:uid="{1D8FE918-5228-4286-BD60-4DB4034980F6}" name="C-Flex 3000K Eco Part Number" dataDxfId="94"/>
    <tableColumn id="12" xr3:uid="{A1E95DB3-32B2-48A1-8610-AAB3F53F9B97}" name="C-Flex 3500K Eco Part Number" dataDxfId="93"/>
    <tableColumn id="13" xr3:uid="{B00C3A1F-A51C-4B1F-9005-8B0BC9A0308E}" name="C-Flex 4000K Eco Part Number" dataDxfId="92"/>
    <tableColumn id="43" xr3:uid="{E629D9D5-4FC6-4510-8FD2-BA7E98B24413}" name="C-Flex 5000K Eco Part Number" dataDxfId="91"/>
    <tableColumn id="14" xr3:uid="{09B31B71-1ADA-45C2-AB01-63D38CC1FFDD}" name="C-Flex 3000K 3W Part Number" dataDxfId="90"/>
    <tableColumn id="15" xr3:uid="{FE0F13E9-6343-4A85-BD90-E455DC4F2942}" name="C-Flex 3500K 3W Part Number" dataDxfId="89"/>
    <tableColumn id="16" xr3:uid="{928E616C-8EE7-4B0E-9A97-8D844863BAEB}" name="C-Flex 4000K 3W Part Number" dataDxfId="88"/>
    <tableColumn id="41" xr3:uid="{EA7D84E5-7411-4842-BCB8-CF5673D8E929}" name="C-Flex 5000K 3W Part Number" dataDxfId="87"/>
    <tableColumn id="39" xr3:uid="{E12F9007-87E2-4810-B9DC-C6FD7DC6BC9C}" name="EcoSystem C-Flex Kit Base" dataDxfId="86">
      <calculatedColumnFormula>SUBSTITUTE(Master_Reference[[#This Row],[C-Flex 4000K Eco Part Number]],"40-","xx-")</calculatedColumnFormula>
    </tableColumn>
    <tableColumn id="40" xr3:uid="{9E0E47B3-E6AD-4C7A-B25E-4FEB5BA2FB26}" name="3-Wire C-Flex Kit Base" dataDxfId="85">
      <calculatedColumnFormula>SUBSTITUTE(Master_Reference[[#This Row],[C-Flex 4000K 3W Part Number]],"40-","xx-")</calculatedColumnFormula>
    </tableColumn>
    <tableColumn id="17" xr3:uid="{20AFD8DA-2B9A-411F-8B26-20B840CA32CF}" name="Lutron 3000K Eco Part Number" dataDxfId="84">
      <calculatedColumnFormula>_xlfn.IFNA(VLOOKUP(Master_Reference[[#This Row],[C-Flex 3000K Eco Part Number]],Lutron_CFlex_Lookup[],MATCH("Lutron Kit PN",Lutron_CFlex_Lookup[#Headers],0),FALSE),"")</calculatedColumnFormula>
    </tableColumn>
    <tableColumn id="18" xr3:uid="{89E6DCCB-4604-4F9F-8771-2F1E8328CA63}" name="Lutron 3500K Eco Part Number" dataDxfId="83">
      <calculatedColumnFormula>_xlfn.IFNA(VLOOKUP(Master_Reference[[#This Row],[C-Flex 3500K Eco Part Number]],Lutron_CFlex_Lookup[],MATCH("Lutron Kit PN",Lutron_CFlex_Lookup[#Headers],0),FALSE),"")</calculatedColumnFormula>
    </tableColumn>
    <tableColumn id="19" xr3:uid="{90B28C3F-3FC2-460B-8CAB-8C92E4A0AB7B}" name="Lutron 4000K Eco Part Number" dataDxfId="82">
      <calculatedColumnFormula>_xlfn.IFNA(VLOOKUP(Master_Reference[[#This Row],[C-Flex 4000K Eco Part Number]],Lutron_CFlex_Lookup[],MATCH("Lutron Kit PN",Lutron_CFlex_Lookup[#Headers],0),FALSE),"")</calculatedColumnFormula>
    </tableColumn>
    <tableColumn id="44" xr3:uid="{9C36FDDB-74AB-44B9-827D-0A7ACED84908}" name="Lutron 5000K Eco Part Number" dataDxfId="81">
      <calculatedColumnFormula>_xlfn.IFNA(VLOOKUP(Master_Reference[[#This Row],[C-Flex 5000K Eco Part Number]],Lutron_CFlex_Lookup[],MATCH("Lutron Kit PN",Lutron_CFlex_Lookup[#Headers],0),FALSE),"")</calculatedColumnFormula>
    </tableColumn>
    <tableColumn id="20" xr3:uid="{2F9883E8-2517-4113-8FBA-824921BFE8C1}" name="Lutron 3000K 3W Part Number" dataDxfId="80">
      <calculatedColumnFormula>_xlfn.IFNA(VLOOKUP(Master_Reference[[#This Row],[C-Flex 3000K 3W Part Number]],Lutron_CFlex_Lookup[],MATCH("Lutron Kit PN",Lutron_CFlex_Lookup[#Headers],0),FALSE),"")</calculatedColumnFormula>
    </tableColumn>
    <tableColumn id="21" xr3:uid="{94BD4026-3CFE-432A-B980-135C07234B56}" name="Lutron 3500K 3W Part Number" dataDxfId="79">
      <calculatedColumnFormula>_xlfn.IFNA(VLOOKUP(Master_Reference[[#This Row],[C-Flex 3500K 3W Part Number]],Lutron_CFlex_Lookup[],MATCH("Lutron Kit PN",Lutron_CFlex_Lookup[#Headers],0),FALSE),"")</calculatedColumnFormula>
    </tableColumn>
    <tableColumn id="22" xr3:uid="{19059E05-4DA7-4222-9652-8EA7D7C70E78}" name="Lutron 4000K 3W Part Number" dataDxfId="78">
      <calculatedColumnFormula>_xlfn.IFNA(VLOOKUP(Master_Reference[[#This Row],[C-Flex 4000K 3W Part Number]],Lutron_CFlex_Lookup[],MATCH("Lutron Kit PN",Lutron_CFlex_Lookup[#Headers],0),FALSE),"")</calculatedColumnFormula>
    </tableColumn>
    <tableColumn id="45" xr3:uid="{DFAA1712-C993-4EA3-A9D7-3BE6C95E1213}" name="Lutron 5000K 3W Part Number" dataDxfId="77">
      <calculatedColumnFormula>_xlfn.IFNA(VLOOKUP(Master_Reference[[#This Row],[C-Flex 5000K 3W Part Number]],Lutron_CFlex_Lookup[],MATCH("Lutron Kit PN",Lutron_CFlex_Lookup[#Headers],0),FALSE),"")</calculatedColumnFormula>
    </tableColumn>
    <tableColumn id="34" xr3:uid="{B3F62238-059C-4EE5-AF5A-A2E8819E9D1A}" name="Is Obsolete?" dataDxfId="76">
      <calculatedColumnFormula>NOT(ISNA(VLOOKUP(Master_Reference[[#This Row],[Model Number]],ObsoleteModels[],1,FALSE)))</calculatedColumnFormula>
    </tableColumn>
    <tableColumn id="35" xr3:uid="{15347443-2AED-4D7F-A4D9-D790CBC962CD}" name="Prefix" dataDxfId="75">
      <calculatedColumnFormula>IF(LEFT(Master_Reference[[#This Row],[Model Number]],1)="U",LEFT(Master_Reference[[#This Row],[Model Number]],4),LEFT(Master_Reference[[#This Row],[Model Number]],3))</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994BCF5-596C-48DE-A51F-1775798649C3}" name="Grainger_Ballast_Lookup" displayName="Grainger_Ballast_Lookup" ref="A1:C86" totalsRowShown="0" dataDxfId="74" tableBorderDxfId="73">
  <autoFilter ref="A1:C86" xr:uid="{F994BCF5-596C-48DE-A51F-1775798649C3}"/>
  <sortState xmlns:xlrd2="http://schemas.microsoft.com/office/spreadsheetml/2017/richdata2" ref="A2:C86">
    <sortCondition ref="A1:A86"/>
  </sortState>
  <tableColumns count="3">
    <tableColumn id="1" xr3:uid="{716E8209-A696-4E83-81FB-D1CC0314120D}" name="Grainger Ballast PN" dataDxfId="72"/>
    <tableColumn id="2" xr3:uid="{FE12A44D-085F-4964-936F-0366AE4288BD}" name="Lutron Ballast PN" dataDxfId="71"/>
    <tableColumn id="3" xr3:uid="{99584504-C9C7-4547-A718-B7E30C71D842}" name="Voltage" dataDxfId="70">
      <calculatedColumnFormula>VLOOKUP(Grainger_Ballast_Lookup[[#This Row],[Lutron Ballast PN]],Master_Reference[],14,FALSE)</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72347FB-5B37-44A6-B4B0-059027894097}" name="Grainger_TLED_Lookup" displayName="Grainger_TLED_Lookup" ref="E1:F55" totalsRowShown="0">
  <autoFilter ref="E1:F55" xr:uid="{F72347FB-5B37-44A6-B4B0-059027894097}"/>
  <tableColumns count="2">
    <tableColumn id="2" xr3:uid="{8EC5EC29-C6A5-4DC5-8076-9D036253E8A7}" name="Lutron TLED PN"/>
    <tableColumn id="1" xr3:uid="{60EB91F2-95FB-4AF7-82C7-DF9BDA5576FD}" name="Grainger TLED P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L1" dT="2024-02-15T20:24:02.97" personId="{E17CF04D-0D2D-4E33-B48D-472DF850B7F8}" id="{769B1FD0-6B26-4250-A2E6-F1FFE227C7AE}">
    <text>Suggest deleting these columns; they're on the Lutron to Cflex Lookup tab</text>
  </threadedComment>
  <threadedComment ref="G257" dT="2023-01-16T15:38:32.89" personId="{E17CF04D-0D2D-4E33-B48D-472DF850B7F8}" id="{CAF0DC5E-F2AD-408E-8E60-360B72B98B42}">
    <text>These "reduced wattage ballasts" are similar to CBF ballasts from a retrofit perspective.</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youtu.be/qvW2E_32hBc" TargetMode="External"/><Relationship Id="rId1" Type="http://schemas.openxmlformats.org/officeDocument/2006/relationships/hyperlink" Target="http://www.lutron.com/BallastLookupToo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table" Target="../tables/table12.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8.xml"/><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 Id="rId9" Type="http://schemas.openxmlformats.org/officeDocument/2006/relationships/comments" Target="../comments5.xml"/></Relationships>
</file>

<file path=xl/worksheets/_rels/sheet2.xml.rels><?xml version="1.0" encoding="UTF-8" standalone="yes"?>
<Relationships xmlns="http://schemas.openxmlformats.org/package/2006/relationships"><Relationship Id="rId8" Type="http://schemas.openxmlformats.org/officeDocument/2006/relationships/hyperlink" Target="https://assets.lutron.com/a/documents/lutron_cflex_spec_sheet.pdf" TargetMode="External"/><Relationship Id="rId13" Type="http://schemas.openxmlformats.org/officeDocument/2006/relationships/control" Target="../activeX/activeX1.xml"/><Relationship Id="rId3" Type="http://schemas.openxmlformats.org/officeDocument/2006/relationships/hyperlink" Target="https://assets.lutron.com/a/documents/tled_lighting_scenarios_for_retro_app_whitepaper.pdf" TargetMode="External"/><Relationship Id="rId7" Type="http://schemas.openxmlformats.org/officeDocument/2006/relationships/hyperlink" Target="https://mylutronservices.lutron.net/passwordprotecteddocumentlibrary/lutron%20cflex%20full%20spec%20sheet.pdf" TargetMode="External"/><Relationship Id="rId12" Type="http://schemas.openxmlformats.org/officeDocument/2006/relationships/vmlDrawing" Target="../drawings/vmlDrawing1.vml"/><Relationship Id="rId2" Type="http://schemas.openxmlformats.org/officeDocument/2006/relationships/hyperlink" Target="https://c-flexretrofits.com/wp-content/uploads/2022/12/C-Flex-SpecSheet.pdf" TargetMode="External"/><Relationship Id="rId1" Type="http://schemas.openxmlformats.org/officeDocument/2006/relationships/hyperlink" Target="https://mylutronservices.lutron.net/passwordprotecteddocumentlibrary/fluorescent_upgrade_solutions_playbook.pdf" TargetMode="External"/><Relationship Id="rId6" Type="http://schemas.openxmlformats.org/officeDocument/2006/relationships/hyperlink" Target="https://youtu.be/ir5dYeneBxk" TargetMode="External"/><Relationship Id="rId11" Type="http://schemas.openxmlformats.org/officeDocument/2006/relationships/drawing" Target="../drawings/drawing2.xml"/><Relationship Id="rId5" Type="http://schemas.openxmlformats.org/officeDocument/2006/relationships/hyperlink" Target="https://www.youtube.com/watch?v=ir5dYeneBxk&amp;pp=ygULbHV0cm9uIHRsZWQ%3D" TargetMode="External"/><Relationship Id="rId15" Type="http://schemas.openxmlformats.org/officeDocument/2006/relationships/table" Target="../tables/table1.xml"/><Relationship Id="rId10" Type="http://schemas.openxmlformats.org/officeDocument/2006/relationships/printerSettings" Target="../printerSettings/printerSettings2.bin"/><Relationship Id="rId4" Type="http://schemas.openxmlformats.org/officeDocument/2006/relationships/hyperlink" Target="https://assets.lutron.com/a/documents/048744.pdf" TargetMode="External"/><Relationship Id="rId9" Type="http://schemas.openxmlformats.org/officeDocument/2006/relationships/hyperlink" Target="https://youtu.be/qvW2E_32hBc" TargetMode="External"/><Relationship Id="rId14" Type="http://schemas.openxmlformats.org/officeDocument/2006/relationships/image" Target="../media/image4.emf"/></Relationships>
</file>

<file path=xl/worksheets/_rels/sheet3.xml.rels><?xml version="1.0" encoding="UTF-8" standalone="yes"?>
<Relationships xmlns="http://schemas.openxmlformats.org/package/2006/relationships"><Relationship Id="rId8" Type="http://schemas.openxmlformats.org/officeDocument/2006/relationships/hyperlink" Target="https://assets.lutron.com/a/documents/lutron_cflex_spec_sheet.pdf" TargetMode="External"/><Relationship Id="rId13" Type="http://schemas.openxmlformats.org/officeDocument/2006/relationships/image" Target="../media/image5.emf"/><Relationship Id="rId3" Type="http://schemas.openxmlformats.org/officeDocument/2006/relationships/hyperlink" Target="https://assets.lutron.com/a/documents/tled_lighting_scenarios_for_retro_app_whitepaper.pdf" TargetMode="External"/><Relationship Id="rId7" Type="http://schemas.openxmlformats.org/officeDocument/2006/relationships/hyperlink" Target="https://mylutronservices.lutron.net/passwordprotecteddocumentlibrary/lutron%20cflex%20full%20spec%20sheet.pdf" TargetMode="External"/><Relationship Id="rId12" Type="http://schemas.openxmlformats.org/officeDocument/2006/relationships/control" Target="../activeX/activeX2.xml"/><Relationship Id="rId2" Type="http://schemas.openxmlformats.org/officeDocument/2006/relationships/hyperlink" Target="https://c-flexretrofits.com/wp-content/uploads/2022/12/C-Flex-SpecSheet.pdf" TargetMode="External"/><Relationship Id="rId1" Type="http://schemas.openxmlformats.org/officeDocument/2006/relationships/hyperlink" Target="https://mylutronservices.lutron.net/passwordprotecteddocumentlibrary/fluorescent_upgrade_solutions_playbook.pdf" TargetMode="External"/><Relationship Id="rId6" Type="http://schemas.openxmlformats.org/officeDocument/2006/relationships/hyperlink" Target="https://youtu.be/ir5dYeneBxk" TargetMode="External"/><Relationship Id="rId11" Type="http://schemas.openxmlformats.org/officeDocument/2006/relationships/vmlDrawing" Target="../drawings/vmlDrawing2.vml"/><Relationship Id="rId5" Type="http://schemas.openxmlformats.org/officeDocument/2006/relationships/hyperlink" Target="https://www.youtube.com/watch?v=ir5dYeneBxk&amp;pp=ygULbHV0cm9uIHRsZWQ%3D" TargetMode="External"/><Relationship Id="rId15" Type="http://schemas.openxmlformats.org/officeDocument/2006/relationships/table" Target="../tables/table3.xml"/><Relationship Id="rId10" Type="http://schemas.openxmlformats.org/officeDocument/2006/relationships/drawing" Target="../drawings/drawing3.xml"/><Relationship Id="rId4" Type="http://schemas.openxmlformats.org/officeDocument/2006/relationships/hyperlink" Target="https://assets.lutron.com/a/documents/048744.pdf" TargetMode="External"/><Relationship Id="rId9" Type="http://schemas.openxmlformats.org/officeDocument/2006/relationships/printerSettings" Target="../printerSettings/printerSettings3.bin"/><Relationship Id="rId1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hyperlink" Target="https://youtu.be/qvW2E_32hBc" TargetMode="External"/><Relationship Id="rId13" Type="http://schemas.openxmlformats.org/officeDocument/2006/relationships/ctrlProp" Target="../ctrlProps/ctrlProp2.xml"/><Relationship Id="rId3" Type="http://schemas.openxmlformats.org/officeDocument/2006/relationships/hyperlink" Target="https://assets.lutron.com/a/documents/048744.pdf" TargetMode="External"/><Relationship Id="rId7" Type="http://schemas.openxmlformats.org/officeDocument/2006/relationships/hyperlink" Target="https://assets.lutron.com/a/documents/lutron_cflex_spec_sheet.pdf" TargetMode="External"/><Relationship Id="rId12" Type="http://schemas.openxmlformats.org/officeDocument/2006/relationships/ctrlProp" Target="../ctrlProps/ctrlProp1.xml"/><Relationship Id="rId2" Type="http://schemas.openxmlformats.org/officeDocument/2006/relationships/hyperlink" Target="https://assets.lutron.com/a/documents/tled_lighting_scenarios_for_retro_app_whitepaper.pdf" TargetMode="External"/><Relationship Id="rId1" Type="http://schemas.openxmlformats.org/officeDocument/2006/relationships/hyperlink" Target="https://c-flexretrofits.com/wp-content/uploads/2022/12/C-Flex-SpecSheet.pdf" TargetMode="External"/><Relationship Id="rId6" Type="http://schemas.openxmlformats.org/officeDocument/2006/relationships/hyperlink" Target="https://mylutronservices.lutron.net/passwordprotecteddocumentlibrary/lutron%20cflex%20full%20spec%20sheet.pdf" TargetMode="External"/><Relationship Id="rId11" Type="http://schemas.openxmlformats.org/officeDocument/2006/relationships/vmlDrawing" Target="../drawings/vmlDrawing3.vml"/><Relationship Id="rId5" Type="http://schemas.openxmlformats.org/officeDocument/2006/relationships/hyperlink" Target="https://youtu.be/ir5dYeneBxk" TargetMode="External"/><Relationship Id="rId15" Type="http://schemas.openxmlformats.org/officeDocument/2006/relationships/table" Target="../tables/table5.xml"/><Relationship Id="rId10" Type="http://schemas.openxmlformats.org/officeDocument/2006/relationships/drawing" Target="../drawings/drawing4.xml"/><Relationship Id="rId4" Type="http://schemas.openxmlformats.org/officeDocument/2006/relationships/hyperlink" Target="https://www.youtube.com/watch?v=ir5dYeneBxk&amp;pp=ygULbHV0cm9uIHRsZWQ%3D" TargetMode="External"/><Relationship Id="rId9" Type="http://schemas.openxmlformats.org/officeDocument/2006/relationships/printerSettings" Target="../printerSettings/printerSettings4.bin"/><Relationship Id="rId1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6" Type="http://schemas.microsoft.com/office/2019/04/relationships/namedSheetView" Target="../namedSheetViews/namedSheetView1.xm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table" Target="../tables/table8.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11.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82C29-6DD0-4B6B-A37A-E7FA8E6102F3}">
  <sheetPr codeName="Sheet2"/>
  <dimension ref="A1:G26"/>
  <sheetViews>
    <sheetView zoomScaleNormal="100" workbookViewId="0">
      <selection activeCell="I7" sqref="I7"/>
    </sheetView>
  </sheetViews>
  <sheetFormatPr defaultRowHeight="15" x14ac:dyDescent="0.25"/>
  <cols>
    <col min="1" max="1" width="3.140625" customWidth="1"/>
    <col min="4" max="4" width="32" customWidth="1"/>
    <col min="5" max="5" width="12.7109375" customWidth="1"/>
    <col min="6" max="6" width="7.42578125" customWidth="1"/>
    <col min="7" max="7" width="36.140625" customWidth="1"/>
    <col min="9" max="10" width="9.28515625" customWidth="1"/>
  </cols>
  <sheetData>
    <row r="1" spans="1:7" ht="33" customHeight="1" x14ac:dyDescent="0.25">
      <c r="A1" s="171" t="s">
        <v>0</v>
      </c>
      <c r="B1" s="171"/>
      <c r="C1" s="171"/>
      <c r="D1" s="171"/>
      <c r="E1" s="171"/>
      <c r="F1" s="63"/>
      <c r="G1" s="14"/>
    </row>
    <row r="2" spans="1:7" ht="38.25" customHeight="1" x14ac:dyDescent="0.3">
      <c r="A2" s="172" t="s">
        <v>1</v>
      </c>
      <c r="B2" s="172"/>
      <c r="C2" s="172"/>
      <c r="D2" s="172"/>
      <c r="E2" s="172"/>
      <c r="F2" s="172"/>
      <c r="G2" s="172"/>
    </row>
    <row r="3" spans="1:7" ht="30.75" customHeight="1" x14ac:dyDescent="0.25">
      <c r="A3" s="173" t="s">
        <v>1661</v>
      </c>
      <c r="B3" s="173"/>
      <c r="C3" s="173"/>
      <c r="D3" s="173"/>
      <c r="E3" s="173"/>
      <c r="F3" s="173"/>
      <c r="G3" s="173"/>
    </row>
    <row r="4" spans="1:7" ht="30.75" customHeight="1" x14ac:dyDescent="0.25">
      <c r="A4" s="174" t="s">
        <v>2312</v>
      </c>
      <c r="B4" s="174"/>
      <c r="C4" s="174"/>
      <c r="D4" s="174"/>
      <c r="E4" s="174"/>
      <c r="F4" s="174"/>
      <c r="G4" s="174"/>
    </row>
    <row r="5" spans="1:7" x14ac:dyDescent="0.25">
      <c r="A5" s="14"/>
      <c r="B5" s="14"/>
      <c r="C5" s="14"/>
      <c r="D5" s="14"/>
      <c r="E5" s="14"/>
      <c r="F5" s="14"/>
      <c r="G5" s="14"/>
    </row>
    <row r="6" spans="1:7" x14ac:dyDescent="0.25">
      <c r="A6" s="176" t="s">
        <v>2</v>
      </c>
      <c r="B6" s="176"/>
      <c r="C6" s="14"/>
      <c r="D6" s="14"/>
      <c r="E6" s="14"/>
      <c r="F6" s="14"/>
      <c r="G6" s="14"/>
    </row>
    <row r="7" spans="1:7" ht="30" customHeight="1" x14ac:dyDescent="0.25">
      <c r="A7" s="70">
        <v>1</v>
      </c>
      <c r="B7" s="173" t="s">
        <v>2293</v>
      </c>
      <c r="C7" s="173"/>
      <c r="D7" s="173"/>
      <c r="E7" s="173"/>
      <c r="F7" s="173"/>
      <c r="G7" s="173"/>
    </row>
    <row r="8" spans="1:7" ht="30" customHeight="1" x14ac:dyDescent="0.25">
      <c r="A8" s="70">
        <f>A7+1</f>
        <v>2</v>
      </c>
      <c r="B8" s="173" t="s">
        <v>2292</v>
      </c>
      <c r="C8" s="173"/>
      <c r="D8" s="173"/>
      <c r="E8" s="173"/>
      <c r="F8" s="173"/>
      <c r="G8" s="173"/>
    </row>
    <row r="9" spans="1:7" ht="30" customHeight="1" x14ac:dyDescent="0.25">
      <c r="A9" s="70">
        <f t="shared" ref="A9:A10" si="0">A8+1</f>
        <v>3</v>
      </c>
      <c r="B9" s="173" t="s">
        <v>2295</v>
      </c>
      <c r="C9" s="173"/>
      <c r="D9" s="173"/>
      <c r="E9" s="173"/>
      <c r="F9" s="173"/>
      <c r="G9" s="173"/>
    </row>
    <row r="10" spans="1:7" ht="60" customHeight="1" x14ac:dyDescent="0.25">
      <c r="A10" s="178">
        <f t="shared" si="0"/>
        <v>4</v>
      </c>
      <c r="B10" s="173" t="s">
        <v>2294</v>
      </c>
      <c r="C10" s="173"/>
      <c r="D10" s="173"/>
      <c r="E10" s="173"/>
      <c r="F10" s="173"/>
      <c r="G10" s="173"/>
    </row>
    <row r="11" spans="1:7" ht="126.75" customHeight="1" x14ac:dyDescent="0.25">
      <c r="A11" s="178"/>
      <c r="B11" s="177" t="s">
        <v>3</v>
      </c>
      <c r="C11" s="177"/>
      <c r="D11" s="177"/>
      <c r="E11" s="177" t="s">
        <v>4</v>
      </c>
      <c r="F11" s="177"/>
      <c r="G11" s="177"/>
    </row>
    <row r="12" spans="1:7" x14ac:dyDescent="0.25">
      <c r="A12" s="70"/>
      <c r="B12" s="179" t="s">
        <v>3392</v>
      </c>
      <c r="C12" s="179"/>
      <c r="D12" s="179"/>
      <c r="E12" s="179"/>
      <c r="F12" s="179"/>
      <c r="G12" s="179"/>
    </row>
    <row r="13" spans="1:7" ht="60" customHeight="1" x14ac:dyDescent="0.25">
      <c r="A13" s="70">
        <f>A10+1</f>
        <v>5</v>
      </c>
      <c r="B13" s="173" t="s">
        <v>2296</v>
      </c>
      <c r="C13" s="173"/>
      <c r="D13" s="173"/>
      <c r="E13" s="173"/>
      <c r="F13" s="173"/>
      <c r="G13" s="173"/>
    </row>
    <row r="14" spans="1:7" ht="30" customHeight="1" x14ac:dyDescent="0.25">
      <c r="A14" s="70">
        <f>A13+1</f>
        <v>6</v>
      </c>
      <c r="B14" s="173" t="s">
        <v>2297</v>
      </c>
      <c r="C14" s="173"/>
      <c r="D14" s="173"/>
      <c r="E14" s="173"/>
      <c r="F14" s="173"/>
      <c r="G14" s="173"/>
    </row>
    <row r="15" spans="1:7" ht="30" customHeight="1" x14ac:dyDescent="0.25">
      <c r="A15" s="70">
        <f t="shared" ref="A15:A16" si="1">A14+1</f>
        <v>7</v>
      </c>
      <c r="B15" s="173" t="s">
        <v>2298</v>
      </c>
      <c r="C15" s="173"/>
      <c r="D15" s="173"/>
      <c r="E15" s="173"/>
      <c r="F15" s="173"/>
      <c r="G15" s="173"/>
    </row>
    <row r="16" spans="1:7" ht="30.75" customHeight="1" x14ac:dyDescent="0.25">
      <c r="A16" s="70">
        <f t="shared" si="1"/>
        <v>8</v>
      </c>
      <c r="B16" s="173" t="s">
        <v>1591</v>
      </c>
      <c r="C16" s="173"/>
      <c r="D16" s="173"/>
      <c r="E16" s="173"/>
      <c r="F16" s="173"/>
      <c r="G16" s="173"/>
    </row>
    <row r="17" spans="1:7" x14ac:dyDescent="0.25">
      <c r="A17" s="14"/>
      <c r="B17" s="14"/>
      <c r="C17" s="14"/>
      <c r="D17" s="14"/>
      <c r="E17" s="14"/>
      <c r="F17" s="14"/>
      <c r="G17" s="14"/>
    </row>
    <row r="18" spans="1:7" ht="45.75" customHeight="1" x14ac:dyDescent="0.25">
      <c r="A18" s="175" t="s">
        <v>1504</v>
      </c>
      <c r="B18" s="175"/>
      <c r="C18" s="175"/>
      <c r="D18" s="175"/>
      <c r="E18" s="175"/>
      <c r="F18" s="175"/>
      <c r="G18" s="175"/>
    </row>
    <row r="26" spans="1:7" x14ac:dyDescent="0.25">
      <c r="A26" t="str">
        <f>Version</f>
        <v>Rev K</v>
      </c>
    </row>
  </sheetData>
  <sheetProtection algorithmName="SHA-512" hashValue="by7rvzKdO02AWZPCOWtIfJR9ZVePAE+1/fxaguh75AU8Zw7HAehEf88fc04efgKiFXgVFY5VngmfI49uT2LebA==" saltValue="TZ9c8dsN5WfiH8GTVi3ZgA==" spinCount="100000" sheet="1" objects="1" scenarios="1"/>
  <mergeCells count="18">
    <mergeCell ref="B16:G16"/>
    <mergeCell ref="A18:G18"/>
    <mergeCell ref="B10:G10"/>
    <mergeCell ref="B13:G13"/>
    <mergeCell ref="A6:B6"/>
    <mergeCell ref="E11:G11"/>
    <mergeCell ref="B11:D11"/>
    <mergeCell ref="B15:G15"/>
    <mergeCell ref="B9:G9"/>
    <mergeCell ref="A10:A11"/>
    <mergeCell ref="B14:G14"/>
    <mergeCell ref="B12:G12"/>
    <mergeCell ref="A1:E1"/>
    <mergeCell ref="A2:G2"/>
    <mergeCell ref="A3:G3"/>
    <mergeCell ref="B7:G7"/>
    <mergeCell ref="B8:G8"/>
    <mergeCell ref="A4:G4"/>
  </mergeCells>
  <hyperlinks>
    <hyperlink ref="A4:G4" r:id="rId1" display="The latest version of this tool can be found at www.lutron.com/BallastLookupTool" xr:uid="{1727D17A-2D43-462B-9171-ADE4F68288EB}"/>
    <hyperlink ref="B12:G12" r:id="rId2" display="YouTube Video: Determining EcoSystem vs. 3-Wire control types" xr:uid="{7B8D5CF3-EF74-4B91-B09C-840C0CD41BAB}"/>
  </hyperlinks>
  <pageMargins left="0.7" right="0.7" top="0.75" bottom="0.75" header="0.3" footer="0.3"/>
  <pageSetup scale="82" orientation="portrait" r:id="rId3"/>
  <colBreaks count="1" manualBreakCount="1">
    <brk id="7" max="1048575" man="1"/>
  </colBreak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5CC77-B268-4528-9365-1C0841810B7F}">
  <sheetPr codeName="Sheet9">
    <tabColor theme="9" tint="-0.249977111117893"/>
  </sheetPr>
  <dimension ref="A1:AA231"/>
  <sheetViews>
    <sheetView topLeftCell="A75" zoomScale="70" zoomScaleNormal="70" workbookViewId="0">
      <selection activeCell="U91" sqref="U91"/>
    </sheetView>
  </sheetViews>
  <sheetFormatPr defaultRowHeight="15" x14ac:dyDescent="0.25"/>
  <cols>
    <col min="1" max="1" width="15.140625" customWidth="1"/>
    <col min="2" max="2" width="33.140625" customWidth="1"/>
    <col min="3" max="3" width="22.140625" customWidth="1"/>
    <col min="4" max="4" width="9.140625" style="1"/>
    <col min="5" max="5" width="10.85546875" style="1" customWidth="1"/>
    <col min="6" max="6" width="9.140625" style="1"/>
    <col min="7" max="7" width="31" style="1" customWidth="1"/>
    <col min="8" max="8" width="25.28515625" style="1" customWidth="1"/>
    <col min="9" max="9" width="31.7109375" style="1" customWidth="1"/>
    <col min="10" max="10" width="32.5703125" style="1" customWidth="1"/>
    <col min="11" max="12" width="25.28515625" style="1" customWidth="1"/>
    <col min="13" max="13" width="52.28515625" style="1" customWidth="1"/>
    <col min="14" max="15" width="32.5703125" style="1" customWidth="1"/>
    <col min="16" max="16" width="43" style="1" customWidth="1"/>
    <col min="17" max="18" width="34.7109375" customWidth="1"/>
    <col min="19" max="21" width="26.28515625" customWidth="1"/>
    <col min="22" max="23" width="26.28515625" style="1" customWidth="1"/>
    <col min="24" max="24" width="32.5703125" customWidth="1"/>
    <col min="25" max="25" width="32" customWidth="1"/>
    <col min="26" max="26" width="47.140625" style="131" customWidth="1"/>
    <col min="27" max="27" width="49.7109375" style="131" customWidth="1"/>
    <col min="28" max="28" width="36.7109375" customWidth="1"/>
  </cols>
  <sheetData>
    <row r="1" spans="1:27" x14ac:dyDescent="0.25">
      <c r="A1" s="129" t="s">
        <v>2335</v>
      </c>
      <c r="G1" s="130" t="s">
        <v>2336</v>
      </c>
      <c r="H1" s="130"/>
      <c r="I1" s="130"/>
      <c r="J1" s="130"/>
      <c r="K1" s="130"/>
      <c r="L1" s="130"/>
      <c r="M1" s="78" t="s">
        <v>2337</v>
      </c>
    </row>
    <row r="2" spans="1:27" ht="60" customHeight="1" x14ac:dyDescent="0.25">
      <c r="B2" s="132" t="s">
        <v>2338</v>
      </c>
      <c r="G2" s="133" t="s">
        <v>2339</v>
      </c>
      <c r="H2" s="134"/>
      <c r="I2" s="134"/>
      <c r="J2" s="134"/>
      <c r="K2" s="207" t="s">
        <v>2340</v>
      </c>
      <c r="L2" s="208"/>
      <c r="M2" s="135" t="s">
        <v>2341</v>
      </c>
    </row>
    <row r="3" spans="1:27" x14ac:dyDescent="0.25">
      <c r="G3" s="2" t="s">
        <v>2342</v>
      </c>
      <c r="J3" s="136" t="s">
        <v>2343</v>
      </c>
      <c r="Z3" s="131" t="s">
        <v>2344</v>
      </c>
      <c r="AA3" s="131" t="s">
        <v>2345</v>
      </c>
    </row>
    <row r="4" spans="1:27" ht="41.25" customHeight="1" x14ac:dyDescent="0.25">
      <c r="G4" s="205" t="s">
        <v>2313</v>
      </c>
      <c r="H4" s="209"/>
      <c r="I4" s="206"/>
      <c r="J4" s="205" t="s">
        <v>2346</v>
      </c>
      <c r="K4" s="209"/>
      <c r="L4" s="206"/>
      <c r="M4" s="205" t="s">
        <v>2347</v>
      </c>
      <c r="N4" s="209"/>
      <c r="O4" s="206"/>
      <c r="P4" s="205" t="s">
        <v>2348</v>
      </c>
      <c r="Q4" s="209"/>
      <c r="R4" s="206"/>
      <c r="S4" s="205" t="s">
        <v>2349</v>
      </c>
      <c r="T4" s="206"/>
      <c r="U4" s="137" t="s">
        <v>2350</v>
      </c>
      <c r="V4" s="137"/>
      <c r="W4" s="137"/>
    </row>
    <row r="5" spans="1:27" s="144" customFormat="1" ht="57.6" customHeight="1" x14ac:dyDescent="0.3">
      <c r="A5" s="138" t="s">
        <v>61</v>
      </c>
      <c r="B5" s="139" t="s">
        <v>63</v>
      </c>
      <c r="C5" s="139" t="s">
        <v>2351</v>
      </c>
      <c r="D5" s="139" t="s">
        <v>15</v>
      </c>
      <c r="E5" s="139" t="s">
        <v>2352</v>
      </c>
      <c r="F5" s="139" t="s">
        <v>2313</v>
      </c>
      <c r="G5" s="139" t="s">
        <v>2353</v>
      </c>
      <c r="H5" s="139" t="s">
        <v>2354</v>
      </c>
      <c r="I5" s="139" t="s">
        <v>2355</v>
      </c>
      <c r="J5" s="139" t="s">
        <v>2356</v>
      </c>
      <c r="K5" s="139" t="s">
        <v>2357</v>
      </c>
      <c r="L5" s="139" t="s">
        <v>2358</v>
      </c>
      <c r="M5" s="139" t="s">
        <v>2359</v>
      </c>
      <c r="N5" s="139" t="s">
        <v>2360</v>
      </c>
      <c r="O5" s="139" t="s">
        <v>2361</v>
      </c>
      <c r="P5" s="139" t="s">
        <v>2362</v>
      </c>
      <c r="Q5" s="139" t="s">
        <v>2363</v>
      </c>
      <c r="R5" s="139" t="s">
        <v>2364</v>
      </c>
      <c r="S5" s="139" t="s">
        <v>2365</v>
      </c>
      <c r="T5" s="139" t="s">
        <v>2366</v>
      </c>
      <c r="U5" s="140" t="s">
        <v>2367</v>
      </c>
      <c r="V5" s="141" t="s">
        <v>2368</v>
      </c>
      <c r="W5" s="141" t="s">
        <v>2369</v>
      </c>
      <c r="X5" s="140" t="s">
        <v>2370</v>
      </c>
      <c r="Y5" s="140" t="s">
        <v>2371</v>
      </c>
      <c r="Z5" s="142" t="s">
        <v>2372</v>
      </c>
      <c r="AA5" s="143" t="s">
        <v>2373</v>
      </c>
    </row>
    <row r="6" spans="1:27" x14ac:dyDescent="0.25">
      <c r="A6" s="145" t="s">
        <v>111</v>
      </c>
      <c r="B6" s="146">
        <v>2</v>
      </c>
      <c r="C6" s="146">
        <v>1</v>
      </c>
      <c r="D6" s="147">
        <v>3000</v>
      </c>
      <c r="E6" s="147">
        <v>1496</v>
      </c>
      <c r="F6" s="147" t="s">
        <v>632</v>
      </c>
      <c r="G6" s="147" t="s">
        <v>2374</v>
      </c>
      <c r="H6" s="147" t="s">
        <v>2375</v>
      </c>
      <c r="I6" s="147" t="s">
        <v>2376</v>
      </c>
      <c r="J6" s="147" t="s">
        <v>2377</v>
      </c>
      <c r="K6" s="147" t="s">
        <v>2378</v>
      </c>
      <c r="L6" s="147" t="s">
        <v>2379</v>
      </c>
      <c r="M6" s="147" t="s">
        <v>2125</v>
      </c>
      <c r="N6" s="147" t="s">
        <v>2125</v>
      </c>
      <c r="O6" s="147"/>
      <c r="P6" s="147"/>
      <c r="Q6" s="147"/>
      <c r="R6" s="147"/>
      <c r="S6" s="147" t="s">
        <v>2380</v>
      </c>
      <c r="T6" s="147" t="s">
        <v>2381</v>
      </c>
      <c r="U6" s="147" t="s">
        <v>2382</v>
      </c>
      <c r="V6" s="147"/>
      <c r="W6" s="147"/>
      <c r="X6" s="147"/>
      <c r="Y6" s="147" t="s">
        <v>2383</v>
      </c>
      <c r="Z6" s="146" t="str">
        <f>"RP-"&amp;Grackle_LED_Map[[#This Row],[Lamp Type]]&amp;"-"&amp;Grackle_LED_Map[[#This Row],[Lamp Length]]&amp;"FT-"&amp;Grackle_LED_Map[[#This Row],[number of led lamps in kit]]&amp;"L-8"&amp;LEFT(Grackle_LED_Map[[#This Row],[CCT]],2)&amp;"-E1-"&amp;Grackle_LED_Map[[#This Row],[Case]]&amp;"-G2"</f>
        <v>RP-T8-2FT-1L-830-E1-M-G2</v>
      </c>
      <c r="AA6" s="148" t="str">
        <f>"RP-"&amp;Grackle_LED_Map[[#This Row],[Lamp Type]]&amp;"-"&amp;Grackle_LED_Map[[#This Row],[Lamp Length]]&amp;"FT-"&amp;Grackle_LED_Map[[#This Row],[number of led lamps in kit]]&amp;"L-8"&amp;LEFT(Grackle_LED_Map[[#This Row],[CCT]],2)&amp;"-3W-"&amp;Grackle_LED_Map[[#This Row],[Case]]&amp;"-G2"</f>
        <v>RP-T8-2FT-1L-830-3W-M-G2</v>
      </c>
    </row>
    <row r="7" spans="1:27" x14ac:dyDescent="0.25">
      <c r="A7" s="145" t="s">
        <v>111</v>
      </c>
      <c r="B7" s="146">
        <v>2</v>
      </c>
      <c r="C7" s="146">
        <v>1</v>
      </c>
      <c r="D7" s="147">
        <v>3500</v>
      </c>
      <c r="E7" s="147">
        <v>1496</v>
      </c>
      <c r="F7" s="147" t="s">
        <v>632</v>
      </c>
      <c r="G7" s="147" t="s">
        <v>2384</v>
      </c>
      <c r="H7" s="147" t="s">
        <v>2385</v>
      </c>
      <c r="I7" s="147" t="s">
        <v>2386</v>
      </c>
      <c r="J7" s="147" t="s">
        <v>2387</v>
      </c>
      <c r="K7" s="147" t="s">
        <v>2388</v>
      </c>
      <c r="L7" s="147" t="s">
        <v>2389</v>
      </c>
      <c r="M7" s="147" t="s">
        <v>2125</v>
      </c>
      <c r="N7" s="147" t="s">
        <v>2125</v>
      </c>
      <c r="O7" s="147"/>
      <c r="P7" s="147"/>
      <c r="Q7" s="147"/>
      <c r="R7" s="147"/>
      <c r="S7" s="147" t="s">
        <v>2380</v>
      </c>
      <c r="T7" s="147" t="s">
        <v>2381</v>
      </c>
      <c r="U7" s="147" t="s">
        <v>2390</v>
      </c>
      <c r="V7" s="147"/>
      <c r="W7" s="147"/>
      <c r="X7" s="147"/>
      <c r="Y7" s="147" t="s">
        <v>2391</v>
      </c>
      <c r="Z7" s="146" t="str">
        <f>"RP-"&amp;Grackle_LED_Map[[#This Row],[Lamp Type]]&amp;"-"&amp;Grackle_LED_Map[[#This Row],[Lamp Length]]&amp;"FT-"&amp;Grackle_LED_Map[[#This Row],[number of led lamps in kit]]&amp;"L-8"&amp;LEFT(Grackle_LED_Map[[#This Row],[CCT]],2)&amp;"-E1-"&amp;Grackle_LED_Map[[#This Row],[Case]]&amp;"-G2"</f>
        <v>RP-T8-2FT-1L-835-E1-M-G2</v>
      </c>
      <c r="AA7" s="148" t="str">
        <f>"RP-"&amp;Grackle_LED_Map[[#This Row],[Lamp Type]]&amp;"-"&amp;Grackle_LED_Map[[#This Row],[Lamp Length]]&amp;"FT-"&amp;Grackle_LED_Map[[#This Row],[number of led lamps in kit]]&amp;"L-8"&amp;LEFT(Grackle_LED_Map[[#This Row],[CCT]],2)&amp;"-3W-"&amp;Grackle_LED_Map[[#This Row],[Case]]&amp;"-G2"</f>
        <v>RP-T8-2FT-1L-835-3W-M-G2</v>
      </c>
    </row>
    <row r="8" spans="1:27" x14ac:dyDescent="0.25">
      <c r="A8" s="145" t="s">
        <v>111</v>
      </c>
      <c r="B8" s="146">
        <v>2</v>
      </c>
      <c r="C8" s="146">
        <v>1</v>
      </c>
      <c r="D8" s="147">
        <v>4000</v>
      </c>
      <c r="E8" s="147">
        <v>1496</v>
      </c>
      <c r="F8" s="147" t="s">
        <v>632</v>
      </c>
      <c r="G8" s="147" t="s">
        <v>2392</v>
      </c>
      <c r="H8" s="147" t="s">
        <v>2393</v>
      </c>
      <c r="I8" s="147" t="s">
        <v>2394</v>
      </c>
      <c r="J8" s="147" t="s">
        <v>2395</v>
      </c>
      <c r="K8" s="147" t="s">
        <v>2396</v>
      </c>
      <c r="L8" s="147" t="s">
        <v>2397</v>
      </c>
      <c r="M8" s="147" t="s">
        <v>2125</v>
      </c>
      <c r="N8" s="147" t="s">
        <v>2125</v>
      </c>
      <c r="O8" s="147"/>
      <c r="P8" s="147"/>
      <c r="Q8" s="147"/>
      <c r="R8" s="147"/>
      <c r="S8" s="147" t="s">
        <v>2380</v>
      </c>
      <c r="T8" s="147" t="s">
        <v>2381</v>
      </c>
      <c r="U8" s="147" t="s">
        <v>2398</v>
      </c>
      <c r="V8" s="147"/>
      <c r="W8" s="147"/>
      <c r="X8" s="147"/>
      <c r="Y8" s="147" t="s">
        <v>2399</v>
      </c>
      <c r="Z8" s="146" t="str">
        <f>"RP-"&amp;Grackle_LED_Map[[#This Row],[Lamp Type]]&amp;"-"&amp;Grackle_LED_Map[[#This Row],[Lamp Length]]&amp;"FT-"&amp;Grackle_LED_Map[[#This Row],[number of led lamps in kit]]&amp;"L-8"&amp;LEFT(Grackle_LED_Map[[#This Row],[CCT]],2)&amp;"-E1-"&amp;Grackle_LED_Map[[#This Row],[Case]]&amp;"-G2"</f>
        <v>RP-T8-2FT-1L-840-E1-M-G2</v>
      </c>
      <c r="AA8" s="148" t="str">
        <f>"RP-"&amp;Grackle_LED_Map[[#This Row],[Lamp Type]]&amp;"-"&amp;Grackle_LED_Map[[#This Row],[Lamp Length]]&amp;"FT-"&amp;Grackle_LED_Map[[#This Row],[number of led lamps in kit]]&amp;"L-8"&amp;LEFT(Grackle_LED_Map[[#This Row],[CCT]],2)&amp;"-3W-"&amp;Grackle_LED_Map[[#This Row],[Case]]&amp;"-G2"</f>
        <v>RP-T8-2FT-1L-840-3W-M-G2</v>
      </c>
    </row>
    <row r="9" spans="1:27" x14ac:dyDescent="0.25">
      <c r="A9" s="145" t="s">
        <v>111</v>
      </c>
      <c r="B9" s="146">
        <v>2</v>
      </c>
      <c r="C9" s="146">
        <v>1</v>
      </c>
      <c r="D9" s="147">
        <v>5000</v>
      </c>
      <c r="E9" s="147">
        <v>1496</v>
      </c>
      <c r="F9" s="147" t="s">
        <v>632</v>
      </c>
      <c r="G9" s="147" t="s">
        <v>2400</v>
      </c>
      <c r="H9" s="147" t="s">
        <v>2401</v>
      </c>
      <c r="I9" s="147" t="s">
        <v>2402</v>
      </c>
      <c r="J9" s="147" t="s">
        <v>2403</v>
      </c>
      <c r="K9" s="147" t="s">
        <v>2404</v>
      </c>
      <c r="L9" s="147" t="s">
        <v>2405</v>
      </c>
      <c r="M9" s="147" t="s">
        <v>2125</v>
      </c>
      <c r="N9" s="66" t="s">
        <v>2125</v>
      </c>
      <c r="O9" s="66"/>
      <c r="P9" s="66"/>
      <c r="Q9" s="66"/>
      <c r="R9" s="66"/>
      <c r="S9" s="147" t="s">
        <v>2380</v>
      </c>
      <c r="T9" s="147" t="s">
        <v>2381</v>
      </c>
      <c r="U9" s="147" t="s">
        <v>2406</v>
      </c>
      <c r="V9" s="147"/>
      <c r="W9" s="147"/>
      <c r="X9" s="147"/>
      <c r="Y9" s="147" t="s">
        <v>2407</v>
      </c>
      <c r="Z9" s="146" t="str">
        <f>"RP-"&amp;Grackle_LED_Map[[#This Row],[Lamp Type]]&amp;"-"&amp;Grackle_LED_Map[[#This Row],[Lamp Length]]&amp;"FT-"&amp;Grackle_LED_Map[[#This Row],[number of led lamps in kit]]&amp;"L-8"&amp;LEFT(Grackle_LED_Map[[#This Row],[CCT]],2)&amp;"-E1-"&amp;Grackle_LED_Map[[#This Row],[Case]]&amp;"-G2"</f>
        <v>RP-T8-2FT-1L-850-E1-M-G2</v>
      </c>
      <c r="AA9" s="148" t="str">
        <f>"RP-"&amp;Grackle_LED_Map[[#This Row],[Lamp Type]]&amp;"-"&amp;Grackle_LED_Map[[#This Row],[Lamp Length]]&amp;"FT-"&amp;Grackle_LED_Map[[#This Row],[number of led lamps in kit]]&amp;"L-8"&amp;LEFT(Grackle_LED_Map[[#This Row],[CCT]],2)&amp;"-3W-"&amp;Grackle_LED_Map[[#This Row],[Case]]&amp;"-G2"</f>
        <v>RP-T8-2FT-1L-850-3W-M-G2</v>
      </c>
    </row>
    <row r="10" spans="1:27" x14ac:dyDescent="0.25">
      <c r="A10" s="145" t="s">
        <v>111</v>
      </c>
      <c r="B10" s="146">
        <v>2</v>
      </c>
      <c r="C10" s="146">
        <v>2</v>
      </c>
      <c r="D10" s="147">
        <v>3000</v>
      </c>
      <c r="E10" s="147">
        <v>2182</v>
      </c>
      <c r="F10" s="147" t="s">
        <v>632</v>
      </c>
      <c r="G10" s="147" t="s">
        <v>2408</v>
      </c>
      <c r="H10" s="147" t="s">
        <v>2409</v>
      </c>
      <c r="I10" s="147" t="s">
        <v>2410</v>
      </c>
      <c r="J10" s="147" t="s">
        <v>2411</v>
      </c>
      <c r="K10" s="147" t="s">
        <v>2412</v>
      </c>
      <c r="L10" s="147" t="s">
        <v>2413</v>
      </c>
      <c r="M10" s="147" t="s">
        <v>2125</v>
      </c>
      <c r="N10" s="147" t="s">
        <v>2125</v>
      </c>
      <c r="O10" s="147"/>
      <c r="P10" s="147"/>
      <c r="Q10" s="147"/>
      <c r="R10" s="147"/>
      <c r="S10" s="147" t="s">
        <v>2414</v>
      </c>
      <c r="T10" s="147" t="s">
        <v>2381</v>
      </c>
      <c r="U10" s="147" t="s">
        <v>2382</v>
      </c>
      <c r="V10" s="147"/>
      <c r="W10" s="147"/>
      <c r="X10" s="147"/>
      <c r="Y10" s="147" t="s">
        <v>2383</v>
      </c>
      <c r="Z10" s="146" t="str">
        <f>"RP-"&amp;Grackle_LED_Map[[#This Row],[Lamp Type]]&amp;"-"&amp;Grackle_LED_Map[[#This Row],[Lamp Length]]&amp;"FT-"&amp;Grackle_LED_Map[[#This Row],[number of led lamps in kit]]&amp;"L-8"&amp;LEFT(Grackle_LED_Map[[#This Row],[CCT]],2)&amp;"-E1-"&amp;Grackle_LED_Map[[#This Row],[Case]]&amp;"-G2"</f>
        <v>RP-T8-2FT-2L-830-E1-M-G2</v>
      </c>
      <c r="AA10" s="148" t="str">
        <f>"RP-"&amp;Grackle_LED_Map[[#This Row],[Lamp Type]]&amp;"-"&amp;Grackle_LED_Map[[#This Row],[Lamp Length]]&amp;"FT-"&amp;Grackle_LED_Map[[#This Row],[number of led lamps in kit]]&amp;"L-8"&amp;LEFT(Grackle_LED_Map[[#This Row],[CCT]],2)&amp;"-3W-"&amp;Grackle_LED_Map[[#This Row],[Case]]&amp;"-G2"</f>
        <v>RP-T8-2FT-2L-830-3W-M-G2</v>
      </c>
    </row>
    <row r="11" spans="1:27" x14ac:dyDescent="0.25">
      <c r="A11" s="145" t="s">
        <v>111</v>
      </c>
      <c r="B11" s="146">
        <v>2</v>
      </c>
      <c r="C11" s="146">
        <v>2</v>
      </c>
      <c r="D11" s="147">
        <v>3500</v>
      </c>
      <c r="E11" s="147">
        <v>2182</v>
      </c>
      <c r="F11" s="147" t="s">
        <v>632</v>
      </c>
      <c r="G11" s="147" t="s">
        <v>2415</v>
      </c>
      <c r="H11" s="147" t="s">
        <v>2416</v>
      </c>
      <c r="I11" s="147" t="s">
        <v>2417</v>
      </c>
      <c r="J11" s="147" t="s">
        <v>2418</v>
      </c>
      <c r="K11" s="147" t="s">
        <v>2419</v>
      </c>
      <c r="L11" s="147" t="s">
        <v>2420</v>
      </c>
      <c r="M11" s="147" t="s">
        <v>2125</v>
      </c>
      <c r="N11" s="147" t="s">
        <v>2125</v>
      </c>
      <c r="O11" s="147"/>
      <c r="P11" s="147"/>
      <c r="Q11" s="147"/>
      <c r="R11" s="147"/>
      <c r="S11" s="147" t="s">
        <v>2414</v>
      </c>
      <c r="T11" s="147" t="s">
        <v>2381</v>
      </c>
      <c r="U11" s="147" t="s">
        <v>2390</v>
      </c>
      <c r="V11" s="147"/>
      <c r="W11" s="147"/>
      <c r="X11" s="147"/>
      <c r="Y11" s="147" t="s">
        <v>2391</v>
      </c>
      <c r="Z11" s="146" t="str">
        <f>"RP-"&amp;Grackle_LED_Map[[#This Row],[Lamp Type]]&amp;"-"&amp;Grackle_LED_Map[[#This Row],[Lamp Length]]&amp;"FT-"&amp;Grackle_LED_Map[[#This Row],[number of led lamps in kit]]&amp;"L-8"&amp;LEFT(Grackle_LED_Map[[#This Row],[CCT]],2)&amp;"-E1-"&amp;Grackle_LED_Map[[#This Row],[Case]]&amp;"-G2"</f>
        <v>RP-T8-2FT-2L-835-E1-M-G2</v>
      </c>
      <c r="AA11" s="148" t="str">
        <f>"RP-"&amp;Grackle_LED_Map[[#This Row],[Lamp Type]]&amp;"-"&amp;Grackle_LED_Map[[#This Row],[Lamp Length]]&amp;"FT-"&amp;Grackle_LED_Map[[#This Row],[number of led lamps in kit]]&amp;"L-8"&amp;LEFT(Grackle_LED_Map[[#This Row],[CCT]],2)&amp;"-3W-"&amp;Grackle_LED_Map[[#This Row],[Case]]&amp;"-G2"</f>
        <v>RP-T8-2FT-2L-835-3W-M-G2</v>
      </c>
    </row>
    <row r="12" spans="1:27" x14ac:dyDescent="0.25">
      <c r="A12" s="145" t="s">
        <v>111</v>
      </c>
      <c r="B12" s="146">
        <v>2</v>
      </c>
      <c r="C12" s="146">
        <v>2</v>
      </c>
      <c r="D12" s="147">
        <v>4000</v>
      </c>
      <c r="E12" s="147">
        <v>2182</v>
      </c>
      <c r="F12" s="147" t="s">
        <v>632</v>
      </c>
      <c r="G12" s="147" t="s">
        <v>2421</v>
      </c>
      <c r="H12" s="147" t="s">
        <v>2422</v>
      </c>
      <c r="I12" s="147" t="s">
        <v>2423</v>
      </c>
      <c r="J12" s="147" t="s">
        <v>2424</v>
      </c>
      <c r="K12" s="147" t="s">
        <v>2425</v>
      </c>
      <c r="L12" s="147" t="s">
        <v>2426</v>
      </c>
      <c r="M12" s="147" t="s">
        <v>2125</v>
      </c>
      <c r="N12" s="147" t="s">
        <v>2125</v>
      </c>
      <c r="O12" s="147"/>
      <c r="P12" s="147"/>
      <c r="Q12" s="147"/>
      <c r="R12" s="147"/>
      <c r="S12" s="147" t="s">
        <v>2414</v>
      </c>
      <c r="T12" s="147" t="s">
        <v>2381</v>
      </c>
      <c r="U12" s="147" t="s">
        <v>2398</v>
      </c>
      <c r="V12" s="147"/>
      <c r="W12" s="147"/>
      <c r="X12" s="147"/>
      <c r="Y12" s="147" t="s">
        <v>2399</v>
      </c>
      <c r="Z12" s="146" t="str">
        <f>"RP-"&amp;Grackle_LED_Map[[#This Row],[Lamp Type]]&amp;"-"&amp;Grackle_LED_Map[[#This Row],[Lamp Length]]&amp;"FT-"&amp;Grackle_LED_Map[[#This Row],[number of led lamps in kit]]&amp;"L-8"&amp;LEFT(Grackle_LED_Map[[#This Row],[CCT]],2)&amp;"-E1-"&amp;Grackle_LED_Map[[#This Row],[Case]]&amp;"-G2"</f>
        <v>RP-T8-2FT-2L-840-E1-M-G2</v>
      </c>
      <c r="AA12" s="148" t="str">
        <f>"RP-"&amp;Grackle_LED_Map[[#This Row],[Lamp Type]]&amp;"-"&amp;Grackle_LED_Map[[#This Row],[Lamp Length]]&amp;"FT-"&amp;Grackle_LED_Map[[#This Row],[number of led lamps in kit]]&amp;"L-8"&amp;LEFT(Grackle_LED_Map[[#This Row],[CCT]],2)&amp;"-3W-"&amp;Grackle_LED_Map[[#This Row],[Case]]&amp;"-G2"</f>
        <v>RP-T8-2FT-2L-840-3W-M-G2</v>
      </c>
    </row>
    <row r="13" spans="1:27" x14ac:dyDescent="0.25">
      <c r="A13" s="145" t="s">
        <v>111</v>
      </c>
      <c r="B13" s="146">
        <v>2</v>
      </c>
      <c r="C13" s="146">
        <v>2</v>
      </c>
      <c r="D13" s="147">
        <v>5000</v>
      </c>
      <c r="E13" s="147">
        <v>2182</v>
      </c>
      <c r="F13" s="147" t="s">
        <v>632</v>
      </c>
      <c r="G13" s="147" t="s">
        <v>2427</v>
      </c>
      <c r="H13" s="147" t="s">
        <v>2428</v>
      </c>
      <c r="I13" s="147" t="s">
        <v>2429</v>
      </c>
      <c r="J13" s="147" t="s">
        <v>2430</v>
      </c>
      <c r="K13" s="147" t="s">
        <v>2431</v>
      </c>
      <c r="L13" s="147" t="s">
        <v>2432</v>
      </c>
      <c r="M13" s="147" t="s">
        <v>2125</v>
      </c>
      <c r="N13" s="66" t="s">
        <v>2125</v>
      </c>
      <c r="O13" s="66"/>
      <c r="P13" s="66"/>
      <c r="Q13" s="66"/>
      <c r="R13" s="66"/>
      <c r="S13" s="147" t="s">
        <v>2414</v>
      </c>
      <c r="T13" s="147" t="s">
        <v>2381</v>
      </c>
      <c r="U13" s="147" t="s">
        <v>2406</v>
      </c>
      <c r="V13" s="147"/>
      <c r="W13" s="147"/>
      <c r="X13" s="147"/>
      <c r="Y13" s="147" t="s">
        <v>2407</v>
      </c>
      <c r="Z13" s="146" t="str">
        <f>"RP-"&amp;Grackle_LED_Map[[#This Row],[Lamp Type]]&amp;"-"&amp;Grackle_LED_Map[[#This Row],[Lamp Length]]&amp;"FT-"&amp;Grackle_LED_Map[[#This Row],[number of led lamps in kit]]&amp;"L-8"&amp;LEFT(Grackle_LED_Map[[#This Row],[CCT]],2)&amp;"-E1-"&amp;Grackle_LED_Map[[#This Row],[Case]]&amp;"-G2"</f>
        <v>RP-T8-2FT-2L-850-E1-M-G2</v>
      </c>
      <c r="AA13" s="148" t="str">
        <f>"RP-"&amp;Grackle_LED_Map[[#This Row],[Lamp Type]]&amp;"-"&amp;Grackle_LED_Map[[#This Row],[Lamp Length]]&amp;"FT-"&amp;Grackle_LED_Map[[#This Row],[number of led lamps in kit]]&amp;"L-8"&amp;LEFT(Grackle_LED_Map[[#This Row],[CCT]],2)&amp;"-3W-"&amp;Grackle_LED_Map[[#This Row],[Case]]&amp;"-G2"</f>
        <v>RP-T8-2FT-2L-850-3W-M-G2</v>
      </c>
    </row>
    <row r="14" spans="1:27" x14ac:dyDescent="0.25">
      <c r="A14" s="145" t="s">
        <v>111</v>
      </c>
      <c r="B14" s="146">
        <v>2</v>
      </c>
      <c r="C14" s="146">
        <v>3</v>
      </c>
      <c r="D14" s="147">
        <v>3000</v>
      </c>
      <c r="E14" s="147">
        <v>3429</v>
      </c>
      <c r="F14" s="147" t="s">
        <v>632</v>
      </c>
      <c r="G14" s="147" t="s">
        <v>2433</v>
      </c>
      <c r="H14" s="147" t="s">
        <v>2434</v>
      </c>
      <c r="I14" s="147" t="s">
        <v>2435</v>
      </c>
      <c r="J14" s="147" t="s">
        <v>2436</v>
      </c>
      <c r="K14" s="147" t="s">
        <v>2437</v>
      </c>
      <c r="L14" s="147" t="s">
        <v>2438</v>
      </c>
      <c r="M14" s="147" t="s">
        <v>2125</v>
      </c>
      <c r="N14" s="147" t="s">
        <v>2125</v>
      </c>
      <c r="O14" s="147"/>
      <c r="P14" s="147"/>
      <c r="Q14" s="147"/>
      <c r="R14" s="147"/>
      <c r="S14" s="147" t="s">
        <v>2439</v>
      </c>
      <c r="T14" s="147" t="s">
        <v>2381</v>
      </c>
      <c r="U14" s="147" t="s">
        <v>2382</v>
      </c>
      <c r="V14" s="147"/>
      <c r="W14" s="147"/>
      <c r="X14" s="147"/>
      <c r="Y14" s="147" t="s">
        <v>2383</v>
      </c>
      <c r="Z14" s="146" t="str">
        <f>"RP-"&amp;Grackle_LED_Map[[#This Row],[Lamp Type]]&amp;"-"&amp;Grackle_LED_Map[[#This Row],[Lamp Length]]&amp;"FT-"&amp;Grackle_LED_Map[[#This Row],[number of led lamps in kit]]&amp;"L-8"&amp;LEFT(Grackle_LED_Map[[#This Row],[CCT]],2)&amp;"-E1-"&amp;Grackle_LED_Map[[#This Row],[Case]]&amp;"-G2"</f>
        <v>RP-T8-2FT-3L-830-E1-M-G2</v>
      </c>
      <c r="AA14" s="148" t="str">
        <f>"RP-"&amp;Grackle_LED_Map[[#This Row],[Lamp Type]]&amp;"-"&amp;Grackle_LED_Map[[#This Row],[Lamp Length]]&amp;"FT-"&amp;Grackle_LED_Map[[#This Row],[number of led lamps in kit]]&amp;"L-8"&amp;LEFT(Grackle_LED_Map[[#This Row],[CCT]],2)&amp;"-3W-"&amp;Grackle_LED_Map[[#This Row],[Case]]&amp;"-G2"</f>
        <v>RP-T8-2FT-3L-830-3W-M-G2</v>
      </c>
    </row>
    <row r="15" spans="1:27" x14ac:dyDescent="0.25">
      <c r="A15" s="145" t="s">
        <v>111</v>
      </c>
      <c r="B15" s="146">
        <v>2</v>
      </c>
      <c r="C15" s="146">
        <v>3</v>
      </c>
      <c r="D15" s="147">
        <v>3500</v>
      </c>
      <c r="E15" s="147">
        <v>3429</v>
      </c>
      <c r="F15" s="147" t="s">
        <v>632</v>
      </c>
      <c r="G15" s="147" t="s">
        <v>2440</v>
      </c>
      <c r="H15" s="147" t="s">
        <v>2441</v>
      </c>
      <c r="I15" s="147" t="s">
        <v>2442</v>
      </c>
      <c r="J15" s="147" t="s">
        <v>2443</v>
      </c>
      <c r="K15" s="147" t="s">
        <v>2444</v>
      </c>
      <c r="L15" s="147" t="s">
        <v>2445</v>
      </c>
      <c r="M15" s="147" t="s">
        <v>2125</v>
      </c>
      <c r="N15" s="147" t="s">
        <v>2125</v>
      </c>
      <c r="O15" s="147"/>
      <c r="P15" s="147"/>
      <c r="Q15" s="147"/>
      <c r="R15" s="147"/>
      <c r="S15" s="147" t="s">
        <v>2439</v>
      </c>
      <c r="T15" s="147" t="s">
        <v>2381</v>
      </c>
      <c r="U15" s="147" t="s">
        <v>2390</v>
      </c>
      <c r="V15" s="147"/>
      <c r="W15" s="147"/>
      <c r="X15" s="147"/>
      <c r="Y15" s="147" t="s">
        <v>2391</v>
      </c>
      <c r="Z15" s="146" t="str">
        <f>"RP-"&amp;Grackle_LED_Map[[#This Row],[Lamp Type]]&amp;"-"&amp;Grackle_LED_Map[[#This Row],[Lamp Length]]&amp;"FT-"&amp;Grackle_LED_Map[[#This Row],[number of led lamps in kit]]&amp;"L-8"&amp;LEFT(Grackle_LED_Map[[#This Row],[CCT]],2)&amp;"-E1-"&amp;Grackle_LED_Map[[#This Row],[Case]]&amp;"-G2"</f>
        <v>RP-T8-2FT-3L-835-E1-M-G2</v>
      </c>
      <c r="AA15" s="148" t="str">
        <f>"RP-"&amp;Grackle_LED_Map[[#This Row],[Lamp Type]]&amp;"-"&amp;Grackle_LED_Map[[#This Row],[Lamp Length]]&amp;"FT-"&amp;Grackle_LED_Map[[#This Row],[number of led lamps in kit]]&amp;"L-8"&amp;LEFT(Grackle_LED_Map[[#This Row],[CCT]],2)&amp;"-3W-"&amp;Grackle_LED_Map[[#This Row],[Case]]&amp;"-G2"</f>
        <v>RP-T8-2FT-3L-835-3W-M-G2</v>
      </c>
    </row>
    <row r="16" spans="1:27" x14ac:dyDescent="0.25">
      <c r="A16" s="145" t="s">
        <v>111</v>
      </c>
      <c r="B16" s="146">
        <v>2</v>
      </c>
      <c r="C16" s="146">
        <v>3</v>
      </c>
      <c r="D16" s="147">
        <v>4000</v>
      </c>
      <c r="E16" s="147">
        <v>3429</v>
      </c>
      <c r="F16" s="147" t="s">
        <v>632</v>
      </c>
      <c r="G16" s="147" t="s">
        <v>2446</v>
      </c>
      <c r="H16" s="147" t="s">
        <v>2447</v>
      </c>
      <c r="I16" s="147" t="s">
        <v>2448</v>
      </c>
      <c r="J16" s="147" t="s">
        <v>2449</v>
      </c>
      <c r="K16" s="147" t="s">
        <v>2450</v>
      </c>
      <c r="L16" s="147" t="s">
        <v>2451</v>
      </c>
      <c r="M16" s="147" t="s">
        <v>2125</v>
      </c>
      <c r="N16" s="147" t="s">
        <v>2125</v>
      </c>
      <c r="O16" s="147"/>
      <c r="P16" s="147"/>
      <c r="Q16" s="147"/>
      <c r="R16" s="147"/>
      <c r="S16" s="147" t="s">
        <v>2439</v>
      </c>
      <c r="T16" s="147" t="s">
        <v>2381</v>
      </c>
      <c r="U16" s="147" t="s">
        <v>2398</v>
      </c>
      <c r="V16" s="147"/>
      <c r="W16" s="147"/>
      <c r="X16" s="147"/>
      <c r="Y16" s="147" t="s">
        <v>2399</v>
      </c>
      <c r="Z16" s="146" t="str">
        <f>"RP-"&amp;Grackle_LED_Map[[#This Row],[Lamp Type]]&amp;"-"&amp;Grackle_LED_Map[[#This Row],[Lamp Length]]&amp;"FT-"&amp;Grackle_LED_Map[[#This Row],[number of led lamps in kit]]&amp;"L-8"&amp;LEFT(Grackle_LED_Map[[#This Row],[CCT]],2)&amp;"-E1-"&amp;Grackle_LED_Map[[#This Row],[Case]]&amp;"-G2"</f>
        <v>RP-T8-2FT-3L-840-E1-M-G2</v>
      </c>
      <c r="AA16" s="148" t="str">
        <f>"RP-"&amp;Grackle_LED_Map[[#This Row],[Lamp Type]]&amp;"-"&amp;Grackle_LED_Map[[#This Row],[Lamp Length]]&amp;"FT-"&amp;Grackle_LED_Map[[#This Row],[number of led lamps in kit]]&amp;"L-8"&amp;LEFT(Grackle_LED_Map[[#This Row],[CCT]],2)&amp;"-3W-"&amp;Grackle_LED_Map[[#This Row],[Case]]&amp;"-G2"</f>
        <v>RP-T8-2FT-3L-840-3W-M-G2</v>
      </c>
    </row>
    <row r="17" spans="1:27" x14ac:dyDescent="0.25">
      <c r="A17" s="145" t="s">
        <v>111</v>
      </c>
      <c r="B17" s="146">
        <v>2</v>
      </c>
      <c r="C17" s="146">
        <v>3</v>
      </c>
      <c r="D17" s="147">
        <v>5000</v>
      </c>
      <c r="E17" s="147">
        <v>3429</v>
      </c>
      <c r="F17" s="147" t="s">
        <v>632</v>
      </c>
      <c r="G17" s="147" t="s">
        <v>2452</v>
      </c>
      <c r="H17" s="147" t="s">
        <v>2453</v>
      </c>
      <c r="I17" s="147" t="s">
        <v>2454</v>
      </c>
      <c r="J17" s="147" t="s">
        <v>2455</v>
      </c>
      <c r="K17" s="147" t="s">
        <v>2456</v>
      </c>
      <c r="L17" s="147" t="s">
        <v>2457</v>
      </c>
      <c r="M17" s="147" t="s">
        <v>2125</v>
      </c>
      <c r="N17" s="66" t="s">
        <v>2125</v>
      </c>
      <c r="O17" s="66"/>
      <c r="P17" s="66"/>
      <c r="Q17" s="66"/>
      <c r="R17" s="66"/>
      <c r="S17" s="147" t="s">
        <v>2439</v>
      </c>
      <c r="T17" s="147" t="s">
        <v>2381</v>
      </c>
      <c r="U17" s="147" t="s">
        <v>2406</v>
      </c>
      <c r="V17" s="147"/>
      <c r="W17" s="147"/>
      <c r="X17" s="147"/>
      <c r="Y17" s="147" t="s">
        <v>2407</v>
      </c>
      <c r="Z17" s="146" t="str">
        <f>"RP-"&amp;Grackle_LED_Map[[#This Row],[Lamp Type]]&amp;"-"&amp;Grackle_LED_Map[[#This Row],[Lamp Length]]&amp;"FT-"&amp;Grackle_LED_Map[[#This Row],[number of led lamps in kit]]&amp;"L-8"&amp;LEFT(Grackle_LED_Map[[#This Row],[CCT]],2)&amp;"-E1-"&amp;Grackle_LED_Map[[#This Row],[Case]]&amp;"-G2"</f>
        <v>RP-T8-2FT-3L-850-E1-M-G2</v>
      </c>
      <c r="AA17" s="148" t="str">
        <f>"RP-"&amp;Grackle_LED_Map[[#This Row],[Lamp Type]]&amp;"-"&amp;Grackle_LED_Map[[#This Row],[Lamp Length]]&amp;"FT-"&amp;Grackle_LED_Map[[#This Row],[number of led lamps in kit]]&amp;"L-8"&amp;LEFT(Grackle_LED_Map[[#This Row],[CCT]],2)&amp;"-3W-"&amp;Grackle_LED_Map[[#This Row],[Case]]&amp;"-G2"</f>
        <v>RP-T8-2FT-3L-850-3W-M-G2</v>
      </c>
    </row>
    <row r="18" spans="1:27" x14ac:dyDescent="0.25">
      <c r="A18" s="145" t="s">
        <v>111</v>
      </c>
      <c r="B18" s="146">
        <v>3</v>
      </c>
      <c r="C18" s="146">
        <v>1</v>
      </c>
      <c r="D18" s="147">
        <v>3000</v>
      </c>
      <c r="E18" s="147"/>
      <c r="F18" s="147" t="s">
        <v>632</v>
      </c>
      <c r="G18" s="147" t="s">
        <v>2458</v>
      </c>
      <c r="H18" s="147" t="s">
        <v>2459</v>
      </c>
      <c r="I18" s="147" t="s">
        <v>2460</v>
      </c>
      <c r="J18" s="147" t="s">
        <v>2461</v>
      </c>
      <c r="K18" s="147" t="s">
        <v>2462</v>
      </c>
      <c r="L18" s="147" t="s">
        <v>2463</v>
      </c>
      <c r="M18" s="147" t="s">
        <v>2125</v>
      </c>
      <c r="N18" s="147" t="s">
        <v>2125</v>
      </c>
      <c r="O18" s="147"/>
      <c r="P18" s="147"/>
      <c r="Q18" s="147"/>
      <c r="R18" s="147"/>
      <c r="S18" s="147" t="s">
        <v>2414</v>
      </c>
      <c r="T18" s="147" t="s">
        <v>2381</v>
      </c>
      <c r="U18" s="147" t="s">
        <v>2464</v>
      </c>
      <c r="V18" s="147"/>
      <c r="W18" s="147"/>
      <c r="X18" s="147"/>
      <c r="Y18" s="147" t="s">
        <v>2465</v>
      </c>
      <c r="Z18" s="146" t="str">
        <f>"RP-"&amp;Grackle_LED_Map[[#This Row],[Lamp Type]]&amp;"-"&amp;Grackle_LED_Map[[#This Row],[Lamp Length]]&amp;"FT-"&amp;Grackle_LED_Map[[#This Row],[number of led lamps in kit]]&amp;"L-8"&amp;LEFT(Grackle_LED_Map[[#This Row],[CCT]],2)&amp;"-E1-"&amp;Grackle_LED_Map[[#This Row],[Case]]&amp;"-G2"</f>
        <v>RP-T8-3FT-1L-830-E1-M-G2</v>
      </c>
      <c r="AA18" s="148" t="str">
        <f>"RP-"&amp;Grackle_LED_Map[[#This Row],[Lamp Type]]&amp;"-"&amp;Grackle_LED_Map[[#This Row],[Lamp Length]]&amp;"FT-"&amp;Grackle_LED_Map[[#This Row],[number of led lamps in kit]]&amp;"L-8"&amp;LEFT(Grackle_LED_Map[[#This Row],[CCT]],2)&amp;"-3W-"&amp;Grackle_LED_Map[[#This Row],[Case]]&amp;"-G2"</f>
        <v>RP-T8-3FT-1L-830-3W-M-G2</v>
      </c>
    </row>
    <row r="19" spans="1:27" x14ac:dyDescent="0.25">
      <c r="A19" s="145" t="s">
        <v>111</v>
      </c>
      <c r="B19" s="146">
        <v>3</v>
      </c>
      <c r="C19" s="146">
        <v>1</v>
      </c>
      <c r="D19" s="147">
        <v>3500</v>
      </c>
      <c r="E19" s="147"/>
      <c r="F19" s="147" t="s">
        <v>632</v>
      </c>
      <c r="G19" s="147" t="s">
        <v>2466</v>
      </c>
      <c r="H19" s="147" t="s">
        <v>2467</v>
      </c>
      <c r="I19" s="147" t="s">
        <v>2468</v>
      </c>
      <c r="J19" s="147" t="s">
        <v>2469</v>
      </c>
      <c r="K19" s="147" t="s">
        <v>2470</v>
      </c>
      <c r="L19" s="147" t="s">
        <v>2471</v>
      </c>
      <c r="M19" s="147" t="s">
        <v>2125</v>
      </c>
      <c r="N19" s="147" t="s">
        <v>2125</v>
      </c>
      <c r="O19" s="147"/>
      <c r="P19" s="147"/>
      <c r="Q19" s="147"/>
      <c r="R19" s="147"/>
      <c r="S19" s="147" t="s">
        <v>2414</v>
      </c>
      <c r="T19" s="147" t="s">
        <v>2381</v>
      </c>
      <c r="U19" s="147" t="s">
        <v>2472</v>
      </c>
      <c r="V19" s="147"/>
      <c r="W19" s="147"/>
      <c r="X19" s="147"/>
      <c r="Y19" s="147" t="s">
        <v>2473</v>
      </c>
      <c r="Z19" s="146" t="str">
        <f>"RP-"&amp;Grackle_LED_Map[[#This Row],[Lamp Type]]&amp;"-"&amp;Grackle_LED_Map[[#This Row],[Lamp Length]]&amp;"FT-"&amp;Grackle_LED_Map[[#This Row],[number of led lamps in kit]]&amp;"L-8"&amp;LEFT(Grackle_LED_Map[[#This Row],[CCT]],2)&amp;"-E1-"&amp;Grackle_LED_Map[[#This Row],[Case]]&amp;"-G2"</f>
        <v>RP-T8-3FT-1L-835-E1-M-G2</v>
      </c>
      <c r="AA19" s="148" t="str">
        <f>"RP-"&amp;Grackle_LED_Map[[#This Row],[Lamp Type]]&amp;"-"&amp;Grackle_LED_Map[[#This Row],[Lamp Length]]&amp;"FT-"&amp;Grackle_LED_Map[[#This Row],[number of led lamps in kit]]&amp;"L-8"&amp;LEFT(Grackle_LED_Map[[#This Row],[CCT]],2)&amp;"-3W-"&amp;Grackle_LED_Map[[#This Row],[Case]]&amp;"-G2"</f>
        <v>RP-T8-3FT-1L-835-3W-M-G2</v>
      </c>
    </row>
    <row r="20" spans="1:27" x14ac:dyDescent="0.25">
      <c r="A20" s="145" t="s">
        <v>111</v>
      </c>
      <c r="B20" s="146">
        <v>3</v>
      </c>
      <c r="C20" s="146">
        <v>1</v>
      </c>
      <c r="D20" s="147">
        <v>4000</v>
      </c>
      <c r="E20" s="147"/>
      <c r="F20" s="147" t="s">
        <v>632</v>
      </c>
      <c r="G20" s="147" t="s">
        <v>2474</v>
      </c>
      <c r="H20" s="147" t="s">
        <v>2475</v>
      </c>
      <c r="I20" s="147" t="s">
        <v>2476</v>
      </c>
      <c r="J20" s="147" t="s">
        <v>2477</v>
      </c>
      <c r="K20" s="147" t="s">
        <v>2478</v>
      </c>
      <c r="L20" s="147" t="s">
        <v>2479</v>
      </c>
      <c r="M20" s="147" t="s">
        <v>2125</v>
      </c>
      <c r="N20" s="147" t="s">
        <v>2125</v>
      </c>
      <c r="O20" s="147"/>
      <c r="P20" s="147"/>
      <c r="Q20" s="147"/>
      <c r="R20" s="147"/>
      <c r="S20" s="147" t="s">
        <v>2414</v>
      </c>
      <c r="T20" s="147" t="s">
        <v>2381</v>
      </c>
      <c r="U20" s="147" t="s">
        <v>2480</v>
      </c>
      <c r="V20" s="147"/>
      <c r="W20" s="147"/>
      <c r="X20" s="147"/>
      <c r="Y20" s="147" t="s">
        <v>2481</v>
      </c>
      <c r="Z20" s="146" t="str">
        <f>"RP-"&amp;Grackle_LED_Map[[#This Row],[Lamp Type]]&amp;"-"&amp;Grackle_LED_Map[[#This Row],[Lamp Length]]&amp;"FT-"&amp;Grackle_LED_Map[[#This Row],[number of led lamps in kit]]&amp;"L-8"&amp;LEFT(Grackle_LED_Map[[#This Row],[CCT]],2)&amp;"-E1-"&amp;Grackle_LED_Map[[#This Row],[Case]]&amp;"-G2"</f>
        <v>RP-T8-3FT-1L-840-E1-M-G2</v>
      </c>
      <c r="AA20" s="148" t="str">
        <f>"RP-"&amp;Grackle_LED_Map[[#This Row],[Lamp Type]]&amp;"-"&amp;Grackle_LED_Map[[#This Row],[Lamp Length]]&amp;"FT-"&amp;Grackle_LED_Map[[#This Row],[number of led lamps in kit]]&amp;"L-8"&amp;LEFT(Grackle_LED_Map[[#This Row],[CCT]],2)&amp;"-3W-"&amp;Grackle_LED_Map[[#This Row],[Case]]&amp;"-G2"</f>
        <v>RP-T8-3FT-1L-840-3W-M-G2</v>
      </c>
    </row>
    <row r="21" spans="1:27" x14ac:dyDescent="0.25">
      <c r="A21" s="145" t="s">
        <v>111</v>
      </c>
      <c r="B21" s="146">
        <v>3</v>
      </c>
      <c r="C21" s="146">
        <v>1</v>
      </c>
      <c r="D21" s="147">
        <v>5000</v>
      </c>
      <c r="E21" s="147"/>
      <c r="F21" s="147" t="s">
        <v>632</v>
      </c>
      <c r="G21" s="147" t="s">
        <v>2482</v>
      </c>
      <c r="H21" s="147" t="s">
        <v>2483</v>
      </c>
      <c r="I21" s="147" t="s">
        <v>2484</v>
      </c>
      <c r="J21" s="147" t="s">
        <v>2485</v>
      </c>
      <c r="K21" s="147" t="s">
        <v>2486</v>
      </c>
      <c r="L21" s="147" t="s">
        <v>2487</v>
      </c>
      <c r="M21" s="147" t="s">
        <v>2125</v>
      </c>
      <c r="N21" s="147" t="s">
        <v>2125</v>
      </c>
      <c r="O21" s="147"/>
      <c r="P21" s="147"/>
      <c r="Q21" s="147"/>
      <c r="R21" s="147"/>
      <c r="S21" s="147" t="s">
        <v>2414</v>
      </c>
      <c r="T21" s="147" t="s">
        <v>2381</v>
      </c>
      <c r="U21" s="147" t="s">
        <v>2488</v>
      </c>
      <c r="V21" s="147"/>
      <c r="W21" s="147"/>
      <c r="X21" s="147"/>
      <c r="Y21" s="147" t="s">
        <v>2489</v>
      </c>
      <c r="Z21" s="146" t="str">
        <f>"RP-"&amp;Grackle_LED_Map[[#This Row],[Lamp Type]]&amp;"-"&amp;Grackle_LED_Map[[#This Row],[Lamp Length]]&amp;"FT-"&amp;Grackle_LED_Map[[#This Row],[number of led lamps in kit]]&amp;"L-8"&amp;LEFT(Grackle_LED_Map[[#This Row],[CCT]],2)&amp;"-E1-"&amp;Grackle_LED_Map[[#This Row],[Case]]&amp;"-G2"</f>
        <v>RP-T8-3FT-1L-850-E1-M-G2</v>
      </c>
      <c r="AA21" s="148" t="str">
        <f>"RP-"&amp;Grackle_LED_Map[[#This Row],[Lamp Type]]&amp;"-"&amp;Grackle_LED_Map[[#This Row],[Lamp Length]]&amp;"FT-"&amp;Grackle_LED_Map[[#This Row],[number of led lamps in kit]]&amp;"L-8"&amp;LEFT(Grackle_LED_Map[[#This Row],[CCT]],2)&amp;"-3W-"&amp;Grackle_LED_Map[[#This Row],[Case]]&amp;"-G2"</f>
        <v>RP-T8-3FT-1L-850-3W-M-G2</v>
      </c>
    </row>
    <row r="22" spans="1:27" x14ac:dyDescent="0.25">
      <c r="A22" s="145" t="s">
        <v>111</v>
      </c>
      <c r="B22" s="146">
        <v>3</v>
      </c>
      <c r="C22" s="146">
        <v>2</v>
      </c>
      <c r="D22" s="147">
        <v>3000</v>
      </c>
      <c r="E22" s="147"/>
      <c r="F22" s="147" t="s">
        <v>632</v>
      </c>
      <c r="G22" s="147" t="s">
        <v>2490</v>
      </c>
      <c r="H22" s="147" t="s">
        <v>2491</v>
      </c>
      <c r="I22" s="147" t="s">
        <v>2492</v>
      </c>
      <c r="J22" s="147" t="s">
        <v>2493</v>
      </c>
      <c r="K22" s="147" t="s">
        <v>2494</v>
      </c>
      <c r="L22" s="147" t="s">
        <v>2495</v>
      </c>
      <c r="M22" s="147" t="s">
        <v>2125</v>
      </c>
      <c r="N22" s="147" t="s">
        <v>2125</v>
      </c>
      <c r="O22" s="147"/>
      <c r="P22" s="147"/>
      <c r="Q22" s="147"/>
      <c r="R22" s="147"/>
      <c r="S22" s="147" t="s">
        <v>2439</v>
      </c>
      <c r="T22" s="147" t="s">
        <v>2381</v>
      </c>
      <c r="U22" s="147" t="s">
        <v>2464</v>
      </c>
      <c r="V22" s="147"/>
      <c r="W22" s="147"/>
      <c r="X22" s="147"/>
      <c r="Y22" s="147" t="s">
        <v>2465</v>
      </c>
      <c r="Z22" s="146" t="str">
        <f>"RP-"&amp;Grackle_LED_Map[[#This Row],[Lamp Type]]&amp;"-"&amp;Grackle_LED_Map[[#This Row],[Lamp Length]]&amp;"FT-"&amp;Grackle_LED_Map[[#This Row],[number of led lamps in kit]]&amp;"L-8"&amp;LEFT(Grackle_LED_Map[[#This Row],[CCT]],2)&amp;"-E1-"&amp;Grackle_LED_Map[[#This Row],[Case]]&amp;"-G2"</f>
        <v>RP-T8-3FT-2L-830-E1-M-G2</v>
      </c>
      <c r="AA22" s="148" t="str">
        <f>"RP-"&amp;Grackle_LED_Map[[#This Row],[Lamp Type]]&amp;"-"&amp;Grackle_LED_Map[[#This Row],[Lamp Length]]&amp;"FT-"&amp;Grackle_LED_Map[[#This Row],[number of led lamps in kit]]&amp;"L-8"&amp;LEFT(Grackle_LED_Map[[#This Row],[CCT]],2)&amp;"-3W-"&amp;Grackle_LED_Map[[#This Row],[Case]]&amp;"-G2"</f>
        <v>RP-T8-3FT-2L-830-3W-M-G2</v>
      </c>
    </row>
    <row r="23" spans="1:27" x14ac:dyDescent="0.25">
      <c r="A23" s="145" t="s">
        <v>111</v>
      </c>
      <c r="B23" s="146">
        <v>3</v>
      </c>
      <c r="C23" s="146">
        <v>2</v>
      </c>
      <c r="D23" s="147">
        <v>3500</v>
      </c>
      <c r="E23" s="147"/>
      <c r="F23" s="147" t="s">
        <v>632</v>
      </c>
      <c r="G23" s="147" t="s">
        <v>2496</v>
      </c>
      <c r="H23" s="147" t="s">
        <v>2497</v>
      </c>
      <c r="I23" s="147" t="s">
        <v>2498</v>
      </c>
      <c r="J23" s="147" t="s">
        <v>2499</v>
      </c>
      <c r="K23" s="147" t="s">
        <v>2500</v>
      </c>
      <c r="L23" s="147" t="s">
        <v>2501</v>
      </c>
      <c r="M23" s="147" t="s">
        <v>2125</v>
      </c>
      <c r="N23" s="147" t="s">
        <v>2125</v>
      </c>
      <c r="O23" s="147"/>
      <c r="P23" s="147"/>
      <c r="Q23" s="147"/>
      <c r="R23" s="147"/>
      <c r="S23" s="147" t="s">
        <v>2439</v>
      </c>
      <c r="T23" s="147" t="s">
        <v>2381</v>
      </c>
      <c r="U23" s="147" t="s">
        <v>2472</v>
      </c>
      <c r="V23" s="147"/>
      <c r="W23" s="147"/>
      <c r="X23" s="147"/>
      <c r="Y23" s="147" t="s">
        <v>2473</v>
      </c>
      <c r="Z23" s="146" t="str">
        <f>"RP-"&amp;Grackle_LED_Map[[#This Row],[Lamp Type]]&amp;"-"&amp;Grackle_LED_Map[[#This Row],[Lamp Length]]&amp;"FT-"&amp;Grackle_LED_Map[[#This Row],[number of led lamps in kit]]&amp;"L-8"&amp;LEFT(Grackle_LED_Map[[#This Row],[CCT]],2)&amp;"-E1-"&amp;Grackle_LED_Map[[#This Row],[Case]]&amp;"-G2"</f>
        <v>RP-T8-3FT-2L-835-E1-M-G2</v>
      </c>
      <c r="AA23" s="148" t="str">
        <f>"RP-"&amp;Grackle_LED_Map[[#This Row],[Lamp Type]]&amp;"-"&amp;Grackle_LED_Map[[#This Row],[Lamp Length]]&amp;"FT-"&amp;Grackle_LED_Map[[#This Row],[number of led lamps in kit]]&amp;"L-8"&amp;LEFT(Grackle_LED_Map[[#This Row],[CCT]],2)&amp;"-3W-"&amp;Grackle_LED_Map[[#This Row],[Case]]&amp;"-G2"</f>
        <v>RP-T8-3FT-2L-835-3W-M-G2</v>
      </c>
    </row>
    <row r="24" spans="1:27" x14ac:dyDescent="0.25">
      <c r="A24" s="145" t="s">
        <v>111</v>
      </c>
      <c r="B24" s="146">
        <v>3</v>
      </c>
      <c r="C24" s="146">
        <v>2</v>
      </c>
      <c r="D24" s="147">
        <v>4000</v>
      </c>
      <c r="E24" s="147"/>
      <c r="F24" s="147" t="s">
        <v>632</v>
      </c>
      <c r="G24" s="147" t="s">
        <v>2502</v>
      </c>
      <c r="H24" s="147" t="s">
        <v>2503</v>
      </c>
      <c r="I24" s="147" t="s">
        <v>2504</v>
      </c>
      <c r="J24" s="147" t="s">
        <v>2505</v>
      </c>
      <c r="K24" s="147" t="s">
        <v>2506</v>
      </c>
      <c r="L24" s="147" t="s">
        <v>2507</v>
      </c>
      <c r="M24" s="147" t="s">
        <v>2125</v>
      </c>
      <c r="N24" s="147" t="s">
        <v>2125</v>
      </c>
      <c r="O24" s="147"/>
      <c r="P24" s="147"/>
      <c r="Q24" s="147"/>
      <c r="R24" s="147"/>
      <c r="S24" s="147" t="s">
        <v>2439</v>
      </c>
      <c r="T24" s="147" t="s">
        <v>2381</v>
      </c>
      <c r="U24" s="147" t="s">
        <v>2480</v>
      </c>
      <c r="V24" s="147"/>
      <c r="W24" s="147"/>
      <c r="X24" s="147"/>
      <c r="Y24" s="147" t="s">
        <v>2481</v>
      </c>
      <c r="Z24" s="146" t="str">
        <f>"RP-"&amp;Grackle_LED_Map[[#This Row],[Lamp Type]]&amp;"-"&amp;Grackle_LED_Map[[#This Row],[Lamp Length]]&amp;"FT-"&amp;Grackle_LED_Map[[#This Row],[number of led lamps in kit]]&amp;"L-8"&amp;LEFT(Grackle_LED_Map[[#This Row],[CCT]],2)&amp;"-E1-"&amp;Grackle_LED_Map[[#This Row],[Case]]&amp;"-G2"</f>
        <v>RP-T8-3FT-2L-840-E1-M-G2</v>
      </c>
      <c r="AA24" s="148" t="str">
        <f>"RP-"&amp;Grackle_LED_Map[[#This Row],[Lamp Type]]&amp;"-"&amp;Grackle_LED_Map[[#This Row],[Lamp Length]]&amp;"FT-"&amp;Grackle_LED_Map[[#This Row],[number of led lamps in kit]]&amp;"L-8"&amp;LEFT(Grackle_LED_Map[[#This Row],[CCT]],2)&amp;"-3W-"&amp;Grackle_LED_Map[[#This Row],[Case]]&amp;"-G2"</f>
        <v>RP-T8-3FT-2L-840-3W-M-G2</v>
      </c>
    </row>
    <row r="25" spans="1:27" x14ac:dyDescent="0.25">
      <c r="A25" s="145" t="s">
        <v>111</v>
      </c>
      <c r="B25" s="146">
        <v>3</v>
      </c>
      <c r="C25" s="146">
        <v>2</v>
      </c>
      <c r="D25" s="147">
        <v>5000</v>
      </c>
      <c r="E25" s="147"/>
      <c r="F25" s="147" t="s">
        <v>632</v>
      </c>
      <c r="G25" s="147" t="s">
        <v>2508</v>
      </c>
      <c r="H25" s="147" t="s">
        <v>2509</v>
      </c>
      <c r="I25" s="147" t="s">
        <v>2510</v>
      </c>
      <c r="J25" s="147" t="s">
        <v>2511</v>
      </c>
      <c r="K25" s="147" t="s">
        <v>2512</v>
      </c>
      <c r="L25" s="147" t="s">
        <v>2513</v>
      </c>
      <c r="M25" s="147" t="s">
        <v>2125</v>
      </c>
      <c r="N25" s="147" t="s">
        <v>2125</v>
      </c>
      <c r="O25" s="147"/>
      <c r="P25" s="147"/>
      <c r="Q25" s="147"/>
      <c r="R25" s="147"/>
      <c r="S25" s="147" t="s">
        <v>2439</v>
      </c>
      <c r="T25" s="147" t="s">
        <v>2381</v>
      </c>
      <c r="U25" s="147" t="s">
        <v>2488</v>
      </c>
      <c r="V25" s="147"/>
      <c r="W25" s="147"/>
      <c r="X25" s="147"/>
      <c r="Y25" s="147" t="s">
        <v>2489</v>
      </c>
      <c r="Z25" s="146" t="str">
        <f>"RP-"&amp;Grackle_LED_Map[[#This Row],[Lamp Type]]&amp;"-"&amp;Grackle_LED_Map[[#This Row],[Lamp Length]]&amp;"FT-"&amp;Grackle_LED_Map[[#This Row],[number of led lamps in kit]]&amp;"L-8"&amp;LEFT(Grackle_LED_Map[[#This Row],[CCT]],2)&amp;"-E1-"&amp;Grackle_LED_Map[[#This Row],[Case]]&amp;"-G2"</f>
        <v>RP-T8-3FT-2L-850-E1-M-G2</v>
      </c>
      <c r="AA25" s="148" t="str">
        <f>"RP-"&amp;Grackle_LED_Map[[#This Row],[Lamp Type]]&amp;"-"&amp;Grackle_LED_Map[[#This Row],[Lamp Length]]&amp;"FT-"&amp;Grackle_LED_Map[[#This Row],[number of led lamps in kit]]&amp;"L-8"&amp;LEFT(Grackle_LED_Map[[#This Row],[CCT]],2)&amp;"-3W-"&amp;Grackle_LED_Map[[#This Row],[Case]]&amp;"-G2"</f>
        <v>RP-T8-3FT-2L-850-3W-M-G2</v>
      </c>
    </row>
    <row r="26" spans="1:27" x14ac:dyDescent="0.25">
      <c r="A26" s="145" t="s">
        <v>111</v>
      </c>
      <c r="B26" s="146">
        <v>3</v>
      </c>
      <c r="C26" s="146">
        <v>3</v>
      </c>
      <c r="D26" s="147">
        <v>3000</v>
      </c>
      <c r="E26" s="147"/>
      <c r="F26" s="147" t="s">
        <v>632</v>
      </c>
      <c r="G26" s="147" t="s">
        <v>2514</v>
      </c>
      <c r="H26" s="147" t="s">
        <v>2515</v>
      </c>
      <c r="I26" s="147" t="s">
        <v>2516</v>
      </c>
      <c r="J26" s="147" t="s">
        <v>2517</v>
      </c>
      <c r="K26" s="147" t="s">
        <v>2518</v>
      </c>
      <c r="L26" s="147" t="s">
        <v>2519</v>
      </c>
      <c r="M26" s="147" t="s">
        <v>2125</v>
      </c>
      <c r="N26" s="147" t="s">
        <v>2125</v>
      </c>
      <c r="O26" s="147"/>
      <c r="P26" s="147"/>
      <c r="Q26" s="147"/>
      <c r="R26" s="147"/>
      <c r="S26" s="147" t="s">
        <v>2520</v>
      </c>
      <c r="T26" s="147" t="s">
        <v>2381</v>
      </c>
      <c r="U26" s="147" t="s">
        <v>2464</v>
      </c>
      <c r="V26" s="147"/>
      <c r="W26" s="147"/>
      <c r="X26" s="147"/>
      <c r="Y26" s="147" t="s">
        <v>2465</v>
      </c>
      <c r="Z26" s="146" t="str">
        <f>"RP-"&amp;Grackle_LED_Map[[#This Row],[Lamp Type]]&amp;"-"&amp;Grackle_LED_Map[[#This Row],[Lamp Length]]&amp;"FT-"&amp;Grackle_LED_Map[[#This Row],[number of led lamps in kit]]&amp;"L-8"&amp;LEFT(Grackle_LED_Map[[#This Row],[CCT]],2)&amp;"-E1-"&amp;Grackle_LED_Map[[#This Row],[Case]]&amp;"-G2"</f>
        <v>RP-T8-3FT-3L-830-E1-M-G2</v>
      </c>
      <c r="AA26" s="148" t="str">
        <f>"RP-"&amp;Grackle_LED_Map[[#This Row],[Lamp Type]]&amp;"-"&amp;Grackle_LED_Map[[#This Row],[Lamp Length]]&amp;"FT-"&amp;Grackle_LED_Map[[#This Row],[number of led lamps in kit]]&amp;"L-8"&amp;LEFT(Grackle_LED_Map[[#This Row],[CCT]],2)&amp;"-3W-"&amp;Grackle_LED_Map[[#This Row],[Case]]&amp;"-G2"</f>
        <v>RP-T8-3FT-3L-830-3W-M-G2</v>
      </c>
    </row>
    <row r="27" spans="1:27" x14ac:dyDescent="0.25">
      <c r="A27" s="145" t="s">
        <v>111</v>
      </c>
      <c r="B27" s="146">
        <v>3</v>
      </c>
      <c r="C27" s="146">
        <v>3</v>
      </c>
      <c r="D27" s="147">
        <v>3500</v>
      </c>
      <c r="E27" s="147"/>
      <c r="F27" s="147" t="s">
        <v>632</v>
      </c>
      <c r="G27" s="147" t="s">
        <v>2521</v>
      </c>
      <c r="H27" s="147" t="s">
        <v>2522</v>
      </c>
      <c r="I27" s="147" t="s">
        <v>2523</v>
      </c>
      <c r="J27" s="147" t="s">
        <v>2524</v>
      </c>
      <c r="K27" s="147" t="s">
        <v>2525</v>
      </c>
      <c r="L27" s="147" t="s">
        <v>2526</v>
      </c>
      <c r="M27" s="147" t="s">
        <v>2125</v>
      </c>
      <c r="N27" s="147" t="s">
        <v>2125</v>
      </c>
      <c r="O27" s="147"/>
      <c r="P27" s="147"/>
      <c r="Q27" s="147"/>
      <c r="R27" s="147"/>
      <c r="S27" s="147" t="s">
        <v>2520</v>
      </c>
      <c r="T27" s="147" t="s">
        <v>2381</v>
      </c>
      <c r="U27" s="147" t="s">
        <v>2472</v>
      </c>
      <c r="V27" s="147"/>
      <c r="W27" s="147"/>
      <c r="X27" s="147"/>
      <c r="Y27" s="147" t="s">
        <v>2473</v>
      </c>
      <c r="Z27" s="146" t="str">
        <f>"RP-"&amp;Grackle_LED_Map[[#This Row],[Lamp Type]]&amp;"-"&amp;Grackle_LED_Map[[#This Row],[Lamp Length]]&amp;"FT-"&amp;Grackle_LED_Map[[#This Row],[number of led lamps in kit]]&amp;"L-8"&amp;LEFT(Grackle_LED_Map[[#This Row],[CCT]],2)&amp;"-E1-"&amp;Grackle_LED_Map[[#This Row],[Case]]&amp;"-G2"</f>
        <v>RP-T8-3FT-3L-835-E1-M-G2</v>
      </c>
      <c r="AA27" s="148" t="str">
        <f>"RP-"&amp;Grackle_LED_Map[[#This Row],[Lamp Type]]&amp;"-"&amp;Grackle_LED_Map[[#This Row],[Lamp Length]]&amp;"FT-"&amp;Grackle_LED_Map[[#This Row],[number of led lamps in kit]]&amp;"L-8"&amp;LEFT(Grackle_LED_Map[[#This Row],[CCT]],2)&amp;"-3W-"&amp;Grackle_LED_Map[[#This Row],[Case]]&amp;"-G2"</f>
        <v>RP-T8-3FT-3L-835-3W-M-G2</v>
      </c>
    </row>
    <row r="28" spans="1:27" x14ac:dyDescent="0.25">
      <c r="A28" s="145" t="s">
        <v>111</v>
      </c>
      <c r="B28" s="146">
        <v>3</v>
      </c>
      <c r="C28" s="146">
        <v>3</v>
      </c>
      <c r="D28" s="147">
        <v>4000</v>
      </c>
      <c r="E28" s="147"/>
      <c r="F28" s="147" t="s">
        <v>632</v>
      </c>
      <c r="G28" s="147" t="s">
        <v>2527</v>
      </c>
      <c r="H28" s="147" t="s">
        <v>2528</v>
      </c>
      <c r="I28" s="147" t="s">
        <v>2529</v>
      </c>
      <c r="J28" s="147" t="s">
        <v>2530</v>
      </c>
      <c r="K28" s="147" t="s">
        <v>2531</v>
      </c>
      <c r="L28" s="147" t="s">
        <v>2532</v>
      </c>
      <c r="M28" s="147" t="s">
        <v>2125</v>
      </c>
      <c r="N28" s="147" t="s">
        <v>2125</v>
      </c>
      <c r="O28" s="147"/>
      <c r="P28" s="147"/>
      <c r="Q28" s="147"/>
      <c r="R28" s="147"/>
      <c r="S28" s="147" t="s">
        <v>2520</v>
      </c>
      <c r="T28" s="147" t="s">
        <v>2381</v>
      </c>
      <c r="U28" s="147" t="s">
        <v>2480</v>
      </c>
      <c r="V28" s="147"/>
      <c r="W28" s="147"/>
      <c r="X28" s="147"/>
      <c r="Y28" s="147" t="s">
        <v>2481</v>
      </c>
      <c r="Z28" s="146" t="str">
        <f>"RP-"&amp;Grackle_LED_Map[[#This Row],[Lamp Type]]&amp;"-"&amp;Grackle_LED_Map[[#This Row],[Lamp Length]]&amp;"FT-"&amp;Grackle_LED_Map[[#This Row],[number of led lamps in kit]]&amp;"L-8"&amp;LEFT(Grackle_LED_Map[[#This Row],[CCT]],2)&amp;"-E1-"&amp;Grackle_LED_Map[[#This Row],[Case]]&amp;"-G2"</f>
        <v>RP-T8-3FT-3L-840-E1-M-G2</v>
      </c>
      <c r="AA28" s="148" t="str">
        <f>"RP-"&amp;Grackle_LED_Map[[#This Row],[Lamp Type]]&amp;"-"&amp;Grackle_LED_Map[[#This Row],[Lamp Length]]&amp;"FT-"&amp;Grackle_LED_Map[[#This Row],[number of led lamps in kit]]&amp;"L-8"&amp;LEFT(Grackle_LED_Map[[#This Row],[CCT]],2)&amp;"-3W-"&amp;Grackle_LED_Map[[#This Row],[Case]]&amp;"-G2"</f>
        <v>RP-T8-3FT-3L-840-3W-M-G2</v>
      </c>
    </row>
    <row r="29" spans="1:27" x14ac:dyDescent="0.25">
      <c r="A29" s="145" t="s">
        <v>111</v>
      </c>
      <c r="B29" s="146">
        <v>3</v>
      </c>
      <c r="C29" s="146">
        <v>3</v>
      </c>
      <c r="D29" s="147">
        <v>5000</v>
      </c>
      <c r="E29" s="147"/>
      <c r="F29" s="147" t="s">
        <v>632</v>
      </c>
      <c r="G29" s="147" t="s">
        <v>2533</v>
      </c>
      <c r="H29" s="147" t="s">
        <v>2534</v>
      </c>
      <c r="I29" s="147" t="s">
        <v>2535</v>
      </c>
      <c r="J29" s="147" t="s">
        <v>2536</v>
      </c>
      <c r="K29" s="147" t="s">
        <v>2537</v>
      </c>
      <c r="L29" s="147" t="s">
        <v>2538</v>
      </c>
      <c r="M29" s="147" t="s">
        <v>2125</v>
      </c>
      <c r="N29" s="147" t="s">
        <v>2125</v>
      </c>
      <c r="O29" s="147"/>
      <c r="P29" s="147"/>
      <c r="Q29" s="147"/>
      <c r="R29" s="147"/>
      <c r="S29" s="147" t="s">
        <v>2520</v>
      </c>
      <c r="T29" s="147" t="s">
        <v>2381</v>
      </c>
      <c r="U29" s="147" t="s">
        <v>2488</v>
      </c>
      <c r="V29" s="147"/>
      <c r="W29" s="147"/>
      <c r="X29" s="147"/>
      <c r="Y29" s="147" t="s">
        <v>2489</v>
      </c>
      <c r="Z29" s="146" t="str">
        <f>"RP-"&amp;Grackle_LED_Map[[#This Row],[Lamp Type]]&amp;"-"&amp;Grackle_LED_Map[[#This Row],[Lamp Length]]&amp;"FT-"&amp;Grackle_LED_Map[[#This Row],[number of led lamps in kit]]&amp;"L-8"&amp;LEFT(Grackle_LED_Map[[#This Row],[CCT]],2)&amp;"-E1-"&amp;Grackle_LED_Map[[#This Row],[Case]]&amp;"-G2"</f>
        <v>RP-T8-3FT-3L-850-E1-M-G2</v>
      </c>
      <c r="AA29" s="148" t="str">
        <f>"RP-"&amp;Grackle_LED_Map[[#This Row],[Lamp Type]]&amp;"-"&amp;Grackle_LED_Map[[#This Row],[Lamp Length]]&amp;"FT-"&amp;Grackle_LED_Map[[#This Row],[number of led lamps in kit]]&amp;"L-8"&amp;LEFT(Grackle_LED_Map[[#This Row],[CCT]],2)&amp;"-3W-"&amp;Grackle_LED_Map[[#This Row],[Case]]&amp;"-G2"</f>
        <v>RP-T8-3FT-3L-850-3W-M-G2</v>
      </c>
    </row>
    <row r="30" spans="1:27" x14ac:dyDescent="0.25">
      <c r="A30" s="145" t="s">
        <v>111</v>
      </c>
      <c r="B30" s="146">
        <v>4</v>
      </c>
      <c r="C30" s="146">
        <v>1</v>
      </c>
      <c r="D30" s="147">
        <v>3000</v>
      </c>
      <c r="E30" s="147">
        <v>2182</v>
      </c>
      <c r="F30" s="147" t="s">
        <v>632</v>
      </c>
      <c r="G30" s="149" t="s">
        <v>1407</v>
      </c>
      <c r="H30" s="149" t="s">
        <v>1438</v>
      </c>
      <c r="I30" s="147" t="s">
        <v>2539</v>
      </c>
      <c r="J30" s="149" t="s">
        <v>2540</v>
      </c>
      <c r="K30" s="149" t="s">
        <v>2541</v>
      </c>
      <c r="L30" s="147" t="s">
        <v>2542</v>
      </c>
      <c r="M30" s="149" t="s">
        <v>1520</v>
      </c>
      <c r="N30" s="149" t="s">
        <v>1547</v>
      </c>
      <c r="O30" s="147"/>
      <c r="P30" s="147" t="s">
        <v>2543</v>
      </c>
      <c r="Q30" s="147" t="s">
        <v>2543</v>
      </c>
      <c r="R30" s="147"/>
      <c r="S30" s="147" t="s">
        <v>2414</v>
      </c>
      <c r="T30" s="147" t="s">
        <v>2381</v>
      </c>
      <c r="U30" s="147" t="s">
        <v>2544</v>
      </c>
      <c r="V30" s="147"/>
      <c r="W30" s="147"/>
      <c r="X30" s="147"/>
      <c r="Y30" s="147" t="s">
        <v>2545</v>
      </c>
      <c r="Z30" s="146" t="str">
        <f>"RP-"&amp;Grackle_LED_Map[[#This Row],[Lamp Type]]&amp;"-"&amp;Grackle_LED_Map[[#This Row],[Lamp Length]]&amp;"FT-"&amp;Grackle_LED_Map[[#This Row],[number of led lamps in kit]]&amp;"L-8"&amp;LEFT(Grackle_LED_Map[[#This Row],[CCT]],2)&amp;"-E1-"&amp;Grackle_LED_Map[[#This Row],[Case]]&amp;"-G2"</f>
        <v>RP-T8-4FT-1L-830-E1-M-G2</v>
      </c>
      <c r="AA30" s="148" t="str">
        <f>"RP-"&amp;Grackle_LED_Map[[#This Row],[Lamp Type]]&amp;"-"&amp;Grackle_LED_Map[[#This Row],[Lamp Length]]&amp;"FT-"&amp;Grackle_LED_Map[[#This Row],[number of led lamps in kit]]&amp;"L-8"&amp;LEFT(Grackle_LED_Map[[#This Row],[CCT]],2)&amp;"-3W-"&amp;Grackle_LED_Map[[#This Row],[Case]]&amp;"-G2"</f>
        <v>RP-T8-4FT-1L-830-3W-M-G2</v>
      </c>
    </row>
    <row r="31" spans="1:27" x14ac:dyDescent="0.25">
      <c r="A31" s="145" t="s">
        <v>111</v>
      </c>
      <c r="B31" s="146">
        <v>4</v>
      </c>
      <c r="C31" s="146">
        <v>1</v>
      </c>
      <c r="D31" s="147">
        <v>3500</v>
      </c>
      <c r="E31" s="147">
        <v>2182</v>
      </c>
      <c r="F31" s="147" t="s">
        <v>632</v>
      </c>
      <c r="G31" s="149" t="s">
        <v>1408</v>
      </c>
      <c r="H31" s="149" t="s">
        <v>1439</v>
      </c>
      <c r="I31" s="147" t="s">
        <v>2546</v>
      </c>
      <c r="J31" s="149" t="s">
        <v>2547</v>
      </c>
      <c r="K31" s="149" t="s">
        <v>2548</v>
      </c>
      <c r="L31" s="147" t="s">
        <v>2549</v>
      </c>
      <c r="M31" s="149" t="s">
        <v>1521</v>
      </c>
      <c r="N31" s="149" t="s">
        <v>1548</v>
      </c>
      <c r="O31" s="147"/>
      <c r="P31" s="147" t="s">
        <v>2543</v>
      </c>
      <c r="Q31" s="147" t="s">
        <v>2543</v>
      </c>
      <c r="R31" s="147"/>
      <c r="S31" s="147" t="s">
        <v>2414</v>
      </c>
      <c r="T31" s="147" t="s">
        <v>2381</v>
      </c>
      <c r="U31" s="147" t="s">
        <v>2550</v>
      </c>
      <c r="V31" s="147"/>
      <c r="W31" s="147"/>
      <c r="X31" s="147"/>
      <c r="Y31" s="147" t="s">
        <v>2551</v>
      </c>
      <c r="Z31" s="146" t="str">
        <f>"RP-"&amp;Grackle_LED_Map[[#This Row],[Lamp Type]]&amp;"-"&amp;Grackle_LED_Map[[#This Row],[Lamp Length]]&amp;"FT-"&amp;Grackle_LED_Map[[#This Row],[number of led lamps in kit]]&amp;"L-8"&amp;LEFT(Grackle_LED_Map[[#This Row],[CCT]],2)&amp;"-E1-"&amp;Grackle_LED_Map[[#This Row],[Case]]&amp;"-G2"</f>
        <v>RP-T8-4FT-1L-835-E1-M-G2</v>
      </c>
      <c r="AA31" s="148" t="str">
        <f>"RP-"&amp;Grackle_LED_Map[[#This Row],[Lamp Type]]&amp;"-"&amp;Grackle_LED_Map[[#This Row],[Lamp Length]]&amp;"FT-"&amp;Grackle_LED_Map[[#This Row],[number of led lamps in kit]]&amp;"L-8"&amp;LEFT(Grackle_LED_Map[[#This Row],[CCT]],2)&amp;"-3W-"&amp;Grackle_LED_Map[[#This Row],[Case]]&amp;"-G2"</f>
        <v>RP-T8-4FT-1L-835-3W-M-G2</v>
      </c>
    </row>
    <row r="32" spans="1:27" x14ac:dyDescent="0.25">
      <c r="A32" s="145" t="s">
        <v>111</v>
      </c>
      <c r="B32" s="146">
        <v>4</v>
      </c>
      <c r="C32" s="146">
        <v>1</v>
      </c>
      <c r="D32" s="147">
        <v>4000</v>
      </c>
      <c r="E32" s="147">
        <v>2182</v>
      </c>
      <c r="F32" s="147" t="s">
        <v>632</v>
      </c>
      <c r="G32" s="149" t="s">
        <v>1409</v>
      </c>
      <c r="H32" s="149" t="s">
        <v>1440</v>
      </c>
      <c r="I32" s="147" t="s">
        <v>2552</v>
      </c>
      <c r="J32" s="149" t="s">
        <v>2553</v>
      </c>
      <c r="K32" s="149" t="s">
        <v>2554</v>
      </c>
      <c r="L32" s="147" t="s">
        <v>2555</v>
      </c>
      <c r="M32" s="149" t="s">
        <v>1522</v>
      </c>
      <c r="N32" s="149" t="s">
        <v>1549</v>
      </c>
      <c r="O32" s="147"/>
      <c r="P32" s="147" t="s">
        <v>2543</v>
      </c>
      <c r="Q32" s="147" t="s">
        <v>2543</v>
      </c>
      <c r="R32" s="147"/>
      <c r="S32" s="147" t="s">
        <v>2414</v>
      </c>
      <c r="T32" s="147" t="s">
        <v>2381</v>
      </c>
      <c r="U32" s="147" t="s">
        <v>2556</v>
      </c>
      <c r="V32" s="147"/>
      <c r="W32" s="147"/>
      <c r="X32" s="147"/>
      <c r="Y32" s="147" t="s">
        <v>2557</v>
      </c>
      <c r="Z32" s="146" t="str">
        <f>"RP-"&amp;Grackle_LED_Map[[#This Row],[Lamp Type]]&amp;"-"&amp;Grackle_LED_Map[[#This Row],[Lamp Length]]&amp;"FT-"&amp;Grackle_LED_Map[[#This Row],[number of led lamps in kit]]&amp;"L-8"&amp;LEFT(Grackle_LED_Map[[#This Row],[CCT]],2)&amp;"-E1-"&amp;Grackle_LED_Map[[#This Row],[Case]]&amp;"-G2"</f>
        <v>RP-T8-4FT-1L-840-E1-M-G2</v>
      </c>
      <c r="AA32" s="148" t="str">
        <f>"RP-"&amp;Grackle_LED_Map[[#This Row],[Lamp Type]]&amp;"-"&amp;Grackle_LED_Map[[#This Row],[Lamp Length]]&amp;"FT-"&amp;Grackle_LED_Map[[#This Row],[number of led lamps in kit]]&amp;"L-8"&amp;LEFT(Grackle_LED_Map[[#This Row],[CCT]],2)&amp;"-3W-"&amp;Grackle_LED_Map[[#This Row],[Case]]&amp;"-G2"</f>
        <v>RP-T8-4FT-1L-840-3W-M-G2</v>
      </c>
    </row>
    <row r="33" spans="1:27" x14ac:dyDescent="0.25">
      <c r="A33" s="145" t="s">
        <v>111</v>
      </c>
      <c r="B33" s="146">
        <v>4</v>
      </c>
      <c r="C33" s="146">
        <v>1</v>
      </c>
      <c r="D33" s="147">
        <v>5000</v>
      </c>
      <c r="E33" s="147">
        <v>2182</v>
      </c>
      <c r="F33" s="147" t="s">
        <v>632</v>
      </c>
      <c r="G33" s="147" t="s">
        <v>2558</v>
      </c>
      <c r="H33" s="147" t="s">
        <v>2559</v>
      </c>
      <c r="I33" s="147" t="s">
        <v>2560</v>
      </c>
      <c r="J33" s="147" t="s">
        <v>2561</v>
      </c>
      <c r="K33" s="147" t="s">
        <v>2562</v>
      </c>
      <c r="L33" s="147" t="s">
        <v>2563</v>
      </c>
      <c r="M33" s="147" t="s">
        <v>2125</v>
      </c>
      <c r="N33" s="147" t="s">
        <v>2125</v>
      </c>
      <c r="O33" s="147"/>
      <c r="P33" s="147"/>
      <c r="Q33" s="147"/>
      <c r="R33" s="147"/>
      <c r="S33" s="147" t="s">
        <v>2414</v>
      </c>
      <c r="T33" s="147" t="s">
        <v>2381</v>
      </c>
      <c r="U33" s="147" t="s">
        <v>2564</v>
      </c>
      <c r="V33" s="147"/>
      <c r="W33" s="147"/>
      <c r="X33" s="147"/>
      <c r="Y33" s="147" t="s">
        <v>2565</v>
      </c>
      <c r="Z33" s="146" t="str">
        <f>"RP-"&amp;Grackle_LED_Map[[#This Row],[Lamp Type]]&amp;"-"&amp;Grackle_LED_Map[[#This Row],[Lamp Length]]&amp;"FT-"&amp;Grackle_LED_Map[[#This Row],[number of led lamps in kit]]&amp;"L-8"&amp;LEFT(Grackle_LED_Map[[#This Row],[CCT]],2)&amp;"-E1-"&amp;Grackle_LED_Map[[#This Row],[Case]]&amp;"-G2"</f>
        <v>RP-T8-4FT-1L-850-E1-M-G2</v>
      </c>
      <c r="AA33" s="148" t="str">
        <f>"RP-"&amp;Grackle_LED_Map[[#This Row],[Lamp Type]]&amp;"-"&amp;Grackle_LED_Map[[#This Row],[Lamp Length]]&amp;"FT-"&amp;Grackle_LED_Map[[#This Row],[number of led lamps in kit]]&amp;"L-8"&amp;LEFT(Grackle_LED_Map[[#This Row],[CCT]],2)&amp;"-3W-"&amp;Grackle_LED_Map[[#This Row],[Case]]&amp;"-G2"</f>
        <v>RP-T8-4FT-1L-850-3W-M-G2</v>
      </c>
    </row>
    <row r="34" spans="1:27" x14ac:dyDescent="0.25">
      <c r="A34" s="145" t="s">
        <v>111</v>
      </c>
      <c r="B34" s="146">
        <v>4</v>
      </c>
      <c r="C34" s="146">
        <v>2</v>
      </c>
      <c r="D34" s="147">
        <v>3000</v>
      </c>
      <c r="E34" s="147">
        <v>4365</v>
      </c>
      <c r="F34" s="147" t="s">
        <v>632</v>
      </c>
      <c r="G34" s="149" t="s">
        <v>1410</v>
      </c>
      <c r="H34" s="149" t="s">
        <v>1441</v>
      </c>
      <c r="I34" s="147" t="s">
        <v>2566</v>
      </c>
      <c r="J34" s="149" t="s">
        <v>2567</v>
      </c>
      <c r="K34" s="149" t="s">
        <v>2568</v>
      </c>
      <c r="L34" s="147" t="s">
        <v>2569</v>
      </c>
      <c r="M34" s="149" t="s">
        <v>1523</v>
      </c>
      <c r="N34" s="149" t="s">
        <v>1550</v>
      </c>
      <c r="O34" s="147"/>
      <c r="P34" s="147" t="s">
        <v>2543</v>
      </c>
      <c r="Q34" s="147" t="s">
        <v>2543</v>
      </c>
      <c r="R34" s="147"/>
      <c r="S34" s="147" t="s">
        <v>2439</v>
      </c>
      <c r="T34" s="147" t="s">
        <v>2381</v>
      </c>
      <c r="U34" s="147" t="s">
        <v>2544</v>
      </c>
      <c r="V34" s="147"/>
      <c r="W34" s="147"/>
      <c r="X34" s="147"/>
      <c r="Y34" s="147" t="s">
        <v>2545</v>
      </c>
      <c r="Z34" s="146" t="str">
        <f>"RP-"&amp;Grackle_LED_Map[[#This Row],[Lamp Type]]&amp;"-"&amp;Grackle_LED_Map[[#This Row],[Lamp Length]]&amp;"FT-"&amp;Grackle_LED_Map[[#This Row],[number of led lamps in kit]]&amp;"L-8"&amp;LEFT(Grackle_LED_Map[[#This Row],[CCT]],2)&amp;"-E1-"&amp;Grackle_LED_Map[[#This Row],[Case]]&amp;"-G2"</f>
        <v>RP-T8-4FT-2L-830-E1-M-G2</v>
      </c>
      <c r="AA34" s="148" t="str">
        <f>"RP-"&amp;Grackle_LED_Map[[#This Row],[Lamp Type]]&amp;"-"&amp;Grackle_LED_Map[[#This Row],[Lamp Length]]&amp;"FT-"&amp;Grackle_LED_Map[[#This Row],[number of led lamps in kit]]&amp;"L-8"&amp;LEFT(Grackle_LED_Map[[#This Row],[CCT]],2)&amp;"-3W-"&amp;Grackle_LED_Map[[#This Row],[Case]]&amp;"-G2"</f>
        <v>RP-T8-4FT-2L-830-3W-M-G2</v>
      </c>
    </row>
    <row r="35" spans="1:27" x14ac:dyDescent="0.25">
      <c r="A35" s="145" t="s">
        <v>111</v>
      </c>
      <c r="B35" s="146">
        <v>4</v>
      </c>
      <c r="C35" s="146">
        <v>2</v>
      </c>
      <c r="D35" s="147">
        <v>3500</v>
      </c>
      <c r="E35" s="147">
        <v>4365</v>
      </c>
      <c r="F35" s="147" t="s">
        <v>632</v>
      </c>
      <c r="G35" s="149" t="s">
        <v>1411</v>
      </c>
      <c r="H35" s="149" t="s">
        <v>1442</v>
      </c>
      <c r="I35" s="147" t="s">
        <v>2570</v>
      </c>
      <c r="J35" s="149" t="s">
        <v>2571</v>
      </c>
      <c r="K35" s="149" t="s">
        <v>2572</v>
      </c>
      <c r="L35" s="147" t="s">
        <v>2573</v>
      </c>
      <c r="M35" s="149" t="s">
        <v>1524</v>
      </c>
      <c r="N35" s="149" t="s">
        <v>1551</v>
      </c>
      <c r="O35" s="147"/>
      <c r="P35" s="147" t="s">
        <v>2543</v>
      </c>
      <c r="Q35" s="147" t="s">
        <v>2543</v>
      </c>
      <c r="R35" s="147"/>
      <c r="S35" s="147" t="s">
        <v>2439</v>
      </c>
      <c r="T35" s="147" t="s">
        <v>2381</v>
      </c>
      <c r="U35" s="147" t="s">
        <v>2550</v>
      </c>
      <c r="V35" s="147"/>
      <c r="W35" s="147"/>
      <c r="X35" s="147"/>
      <c r="Y35" s="147" t="s">
        <v>2551</v>
      </c>
      <c r="Z35" s="146" t="str">
        <f>"RP-"&amp;Grackle_LED_Map[[#This Row],[Lamp Type]]&amp;"-"&amp;Grackle_LED_Map[[#This Row],[Lamp Length]]&amp;"FT-"&amp;Grackle_LED_Map[[#This Row],[number of led lamps in kit]]&amp;"L-8"&amp;LEFT(Grackle_LED_Map[[#This Row],[CCT]],2)&amp;"-E1-"&amp;Grackle_LED_Map[[#This Row],[Case]]&amp;"-G2"</f>
        <v>RP-T8-4FT-2L-835-E1-M-G2</v>
      </c>
      <c r="AA35" s="148" t="str">
        <f>"RP-"&amp;Grackle_LED_Map[[#This Row],[Lamp Type]]&amp;"-"&amp;Grackle_LED_Map[[#This Row],[Lamp Length]]&amp;"FT-"&amp;Grackle_LED_Map[[#This Row],[number of led lamps in kit]]&amp;"L-8"&amp;LEFT(Grackle_LED_Map[[#This Row],[CCT]],2)&amp;"-3W-"&amp;Grackle_LED_Map[[#This Row],[Case]]&amp;"-G2"</f>
        <v>RP-T8-4FT-2L-835-3W-M-G2</v>
      </c>
    </row>
    <row r="36" spans="1:27" x14ac:dyDescent="0.25">
      <c r="A36" s="145" t="s">
        <v>111</v>
      </c>
      <c r="B36" s="146">
        <v>4</v>
      </c>
      <c r="C36" s="146">
        <v>2</v>
      </c>
      <c r="D36" s="147">
        <v>4000</v>
      </c>
      <c r="E36" s="147">
        <v>4365</v>
      </c>
      <c r="F36" s="147" t="s">
        <v>632</v>
      </c>
      <c r="G36" s="149" t="s">
        <v>1412</v>
      </c>
      <c r="H36" s="149" t="s">
        <v>1443</v>
      </c>
      <c r="I36" s="147" t="s">
        <v>2574</v>
      </c>
      <c r="J36" s="149" t="s">
        <v>2575</v>
      </c>
      <c r="K36" s="149" t="s">
        <v>2576</v>
      </c>
      <c r="L36" s="147" t="s">
        <v>2577</v>
      </c>
      <c r="M36" s="149" t="s">
        <v>1525</v>
      </c>
      <c r="N36" s="149" t="s">
        <v>1552</v>
      </c>
      <c r="O36" s="147"/>
      <c r="P36" s="147" t="s">
        <v>2543</v>
      </c>
      <c r="Q36" s="147" t="s">
        <v>2543</v>
      </c>
      <c r="R36" s="147"/>
      <c r="S36" s="147" t="s">
        <v>2439</v>
      </c>
      <c r="T36" s="147" t="s">
        <v>2381</v>
      </c>
      <c r="U36" s="147" t="s">
        <v>2556</v>
      </c>
      <c r="V36" s="147"/>
      <c r="W36" s="147"/>
      <c r="X36" s="147"/>
      <c r="Y36" s="147" t="s">
        <v>2557</v>
      </c>
      <c r="Z36" s="146" t="str">
        <f>"RP-"&amp;Grackle_LED_Map[[#This Row],[Lamp Type]]&amp;"-"&amp;Grackle_LED_Map[[#This Row],[Lamp Length]]&amp;"FT-"&amp;Grackle_LED_Map[[#This Row],[number of led lamps in kit]]&amp;"L-8"&amp;LEFT(Grackle_LED_Map[[#This Row],[CCT]],2)&amp;"-E1-"&amp;Grackle_LED_Map[[#This Row],[Case]]&amp;"-G2"</f>
        <v>RP-T8-4FT-2L-840-E1-M-G2</v>
      </c>
      <c r="AA36" s="148" t="str">
        <f>"RP-"&amp;Grackle_LED_Map[[#This Row],[Lamp Type]]&amp;"-"&amp;Grackle_LED_Map[[#This Row],[Lamp Length]]&amp;"FT-"&amp;Grackle_LED_Map[[#This Row],[number of led lamps in kit]]&amp;"L-8"&amp;LEFT(Grackle_LED_Map[[#This Row],[CCT]],2)&amp;"-3W-"&amp;Grackle_LED_Map[[#This Row],[Case]]&amp;"-G2"</f>
        <v>RP-T8-4FT-2L-840-3W-M-G2</v>
      </c>
    </row>
    <row r="37" spans="1:27" x14ac:dyDescent="0.25">
      <c r="A37" s="145" t="s">
        <v>111</v>
      </c>
      <c r="B37" s="146">
        <v>4</v>
      </c>
      <c r="C37" s="146">
        <v>2</v>
      </c>
      <c r="D37" s="147">
        <v>5000</v>
      </c>
      <c r="E37" s="147">
        <v>4365</v>
      </c>
      <c r="F37" s="147" t="s">
        <v>632</v>
      </c>
      <c r="G37" s="147" t="s">
        <v>2578</v>
      </c>
      <c r="H37" s="147" t="s">
        <v>2579</v>
      </c>
      <c r="I37" s="147" t="s">
        <v>2580</v>
      </c>
      <c r="J37" s="147" t="s">
        <v>2581</v>
      </c>
      <c r="K37" s="147" t="s">
        <v>2582</v>
      </c>
      <c r="L37" s="147" t="s">
        <v>2583</v>
      </c>
      <c r="M37" s="147" t="s">
        <v>2125</v>
      </c>
      <c r="N37" s="147" t="s">
        <v>2125</v>
      </c>
      <c r="O37" s="147"/>
      <c r="P37" s="147"/>
      <c r="Q37" s="147"/>
      <c r="R37" s="147"/>
      <c r="S37" s="147" t="s">
        <v>2439</v>
      </c>
      <c r="T37" s="147" t="s">
        <v>2381</v>
      </c>
      <c r="U37" s="147" t="s">
        <v>2564</v>
      </c>
      <c r="V37" s="147"/>
      <c r="W37" s="147"/>
      <c r="X37" s="147"/>
      <c r="Y37" s="147" t="s">
        <v>2565</v>
      </c>
      <c r="Z37" s="146" t="str">
        <f>"RP-"&amp;Grackle_LED_Map[[#This Row],[Lamp Type]]&amp;"-"&amp;Grackle_LED_Map[[#This Row],[Lamp Length]]&amp;"FT-"&amp;Grackle_LED_Map[[#This Row],[number of led lamps in kit]]&amp;"L-8"&amp;LEFT(Grackle_LED_Map[[#This Row],[CCT]],2)&amp;"-E1-"&amp;Grackle_LED_Map[[#This Row],[Case]]&amp;"-G2"</f>
        <v>RP-T8-4FT-2L-850-E1-M-G2</v>
      </c>
      <c r="AA37" s="148" t="str">
        <f>"RP-"&amp;Grackle_LED_Map[[#This Row],[Lamp Type]]&amp;"-"&amp;Grackle_LED_Map[[#This Row],[Lamp Length]]&amp;"FT-"&amp;Grackle_LED_Map[[#This Row],[number of led lamps in kit]]&amp;"L-8"&amp;LEFT(Grackle_LED_Map[[#This Row],[CCT]],2)&amp;"-3W-"&amp;Grackle_LED_Map[[#This Row],[Case]]&amp;"-G2"</f>
        <v>RP-T8-4FT-2L-850-3W-M-G2</v>
      </c>
    </row>
    <row r="38" spans="1:27" x14ac:dyDescent="0.25">
      <c r="A38" s="145" t="s">
        <v>111</v>
      </c>
      <c r="B38" s="146">
        <v>4</v>
      </c>
      <c r="C38" s="146">
        <v>3</v>
      </c>
      <c r="D38" s="147">
        <v>3000</v>
      </c>
      <c r="E38" s="147">
        <v>6547</v>
      </c>
      <c r="F38" s="147" t="s">
        <v>632</v>
      </c>
      <c r="G38" s="147" t="s">
        <v>2584</v>
      </c>
      <c r="H38" s="147" t="s">
        <v>2585</v>
      </c>
      <c r="I38" s="147" t="s">
        <v>2586</v>
      </c>
      <c r="J38" s="147" t="s">
        <v>2587</v>
      </c>
      <c r="K38" s="150" t="s">
        <v>2588</v>
      </c>
      <c r="L38" s="150" t="s">
        <v>2589</v>
      </c>
      <c r="M38" s="147" t="s">
        <v>2125</v>
      </c>
      <c r="N38" s="147" t="s">
        <v>2125</v>
      </c>
      <c r="O38" s="147"/>
      <c r="P38" s="147"/>
      <c r="Q38" s="147"/>
      <c r="R38" s="147"/>
      <c r="S38" s="147" t="s">
        <v>2520</v>
      </c>
      <c r="T38" s="147" t="s">
        <v>2381</v>
      </c>
      <c r="U38" s="147" t="s">
        <v>2544</v>
      </c>
      <c r="V38" s="147"/>
      <c r="W38" s="147"/>
      <c r="X38" s="147"/>
      <c r="Y38" s="147" t="s">
        <v>2545</v>
      </c>
      <c r="Z38" s="146" t="str">
        <f>"RP-"&amp;Grackle_LED_Map[[#This Row],[Lamp Type]]&amp;"-"&amp;Grackle_LED_Map[[#This Row],[Lamp Length]]&amp;"FT-"&amp;Grackle_LED_Map[[#This Row],[number of led lamps in kit]]&amp;"L-8"&amp;LEFT(Grackle_LED_Map[[#This Row],[CCT]],2)&amp;"-E1-"&amp;Grackle_LED_Map[[#This Row],[Case]]&amp;"-G2"</f>
        <v>RP-T8-4FT-3L-830-E1-M-G2</v>
      </c>
      <c r="AA38" s="148" t="str">
        <f>"RP-"&amp;Grackle_LED_Map[[#This Row],[Lamp Type]]&amp;"-"&amp;Grackle_LED_Map[[#This Row],[Lamp Length]]&amp;"FT-"&amp;Grackle_LED_Map[[#This Row],[number of led lamps in kit]]&amp;"L-8"&amp;LEFT(Grackle_LED_Map[[#This Row],[CCT]],2)&amp;"-3W-"&amp;Grackle_LED_Map[[#This Row],[Case]]&amp;"-G2"</f>
        <v>RP-T8-4FT-3L-830-3W-M-G2</v>
      </c>
    </row>
    <row r="39" spans="1:27" x14ac:dyDescent="0.25">
      <c r="A39" s="145" t="s">
        <v>111</v>
      </c>
      <c r="B39" s="146">
        <v>4</v>
      </c>
      <c r="C39" s="146">
        <v>3</v>
      </c>
      <c r="D39" s="147">
        <v>3500</v>
      </c>
      <c r="E39" s="147">
        <v>6547</v>
      </c>
      <c r="F39" s="147" t="s">
        <v>632</v>
      </c>
      <c r="G39" s="147" t="s">
        <v>2590</v>
      </c>
      <c r="H39" s="147" t="s">
        <v>2591</v>
      </c>
      <c r="I39" s="147" t="s">
        <v>2592</v>
      </c>
      <c r="J39" s="147" t="s">
        <v>2593</v>
      </c>
      <c r="K39" s="150" t="s">
        <v>2594</v>
      </c>
      <c r="L39" s="150" t="s">
        <v>2595</v>
      </c>
      <c r="M39" s="147" t="s">
        <v>2125</v>
      </c>
      <c r="N39" s="147" t="s">
        <v>2125</v>
      </c>
      <c r="O39" s="147"/>
      <c r="P39" s="147"/>
      <c r="Q39" s="147"/>
      <c r="R39" s="147"/>
      <c r="S39" s="147" t="s">
        <v>2520</v>
      </c>
      <c r="T39" s="147" t="s">
        <v>2381</v>
      </c>
      <c r="U39" s="147" t="s">
        <v>2550</v>
      </c>
      <c r="V39" s="147"/>
      <c r="W39" s="147"/>
      <c r="X39" s="147"/>
      <c r="Y39" s="147" t="s">
        <v>2551</v>
      </c>
      <c r="Z39" s="146" t="str">
        <f>"RP-"&amp;Grackle_LED_Map[[#This Row],[Lamp Type]]&amp;"-"&amp;Grackle_LED_Map[[#This Row],[Lamp Length]]&amp;"FT-"&amp;Grackle_LED_Map[[#This Row],[number of led lamps in kit]]&amp;"L-8"&amp;LEFT(Grackle_LED_Map[[#This Row],[CCT]],2)&amp;"-E1-"&amp;Grackle_LED_Map[[#This Row],[Case]]&amp;"-G2"</f>
        <v>RP-T8-4FT-3L-835-E1-M-G2</v>
      </c>
      <c r="AA39" s="148" t="str">
        <f>"RP-"&amp;Grackle_LED_Map[[#This Row],[Lamp Type]]&amp;"-"&amp;Grackle_LED_Map[[#This Row],[Lamp Length]]&amp;"FT-"&amp;Grackle_LED_Map[[#This Row],[number of led lamps in kit]]&amp;"L-8"&amp;LEFT(Grackle_LED_Map[[#This Row],[CCT]],2)&amp;"-3W-"&amp;Grackle_LED_Map[[#This Row],[Case]]&amp;"-G2"</f>
        <v>RP-T8-4FT-3L-835-3W-M-G2</v>
      </c>
    </row>
    <row r="40" spans="1:27" x14ac:dyDescent="0.25">
      <c r="A40" s="145" t="s">
        <v>111</v>
      </c>
      <c r="B40" s="146">
        <v>4</v>
      </c>
      <c r="C40" s="146">
        <v>3</v>
      </c>
      <c r="D40" s="147">
        <v>4000</v>
      </c>
      <c r="E40" s="147">
        <v>6547</v>
      </c>
      <c r="F40" s="147" t="s">
        <v>632</v>
      </c>
      <c r="G40" s="147" t="s">
        <v>2596</v>
      </c>
      <c r="H40" s="147" t="s">
        <v>2597</v>
      </c>
      <c r="I40" s="147" t="s">
        <v>2598</v>
      </c>
      <c r="J40" s="147" t="s">
        <v>2599</v>
      </c>
      <c r="K40" s="150" t="s">
        <v>2600</v>
      </c>
      <c r="L40" s="150" t="s">
        <v>2601</v>
      </c>
      <c r="M40" s="147" t="s">
        <v>2125</v>
      </c>
      <c r="N40" s="147" t="s">
        <v>2125</v>
      </c>
      <c r="O40" s="147"/>
      <c r="P40" s="147"/>
      <c r="Q40" s="147"/>
      <c r="R40" s="147"/>
      <c r="S40" s="147" t="s">
        <v>2520</v>
      </c>
      <c r="T40" s="147" t="s">
        <v>2381</v>
      </c>
      <c r="U40" s="147" t="s">
        <v>2556</v>
      </c>
      <c r="V40" s="147"/>
      <c r="W40" s="147"/>
      <c r="X40" s="147"/>
      <c r="Y40" s="147" t="s">
        <v>2557</v>
      </c>
      <c r="Z40" s="146" t="str">
        <f>"RP-"&amp;Grackle_LED_Map[[#This Row],[Lamp Type]]&amp;"-"&amp;Grackle_LED_Map[[#This Row],[Lamp Length]]&amp;"FT-"&amp;Grackle_LED_Map[[#This Row],[number of led lamps in kit]]&amp;"L-8"&amp;LEFT(Grackle_LED_Map[[#This Row],[CCT]],2)&amp;"-E1-"&amp;Grackle_LED_Map[[#This Row],[Case]]&amp;"-G2"</f>
        <v>RP-T8-4FT-3L-840-E1-M-G2</v>
      </c>
      <c r="AA40" s="148" t="str">
        <f>"RP-"&amp;Grackle_LED_Map[[#This Row],[Lamp Type]]&amp;"-"&amp;Grackle_LED_Map[[#This Row],[Lamp Length]]&amp;"FT-"&amp;Grackle_LED_Map[[#This Row],[number of led lamps in kit]]&amp;"L-8"&amp;LEFT(Grackle_LED_Map[[#This Row],[CCT]],2)&amp;"-3W-"&amp;Grackle_LED_Map[[#This Row],[Case]]&amp;"-G2"</f>
        <v>RP-T8-4FT-3L-840-3W-M-G2</v>
      </c>
    </row>
    <row r="41" spans="1:27" x14ac:dyDescent="0.25">
      <c r="A41" s="145" t="s">
        <v>111</v>
      </c>
      <c r="B41" s="146">
        <v>4</v>
      </c>
      <c r="C41" s="146">
        <v>3</v>
      </c>
      <c r="D41" s="147">
        <v>5000</v>
      </c>
      <c r="E41" s="147">
        <v>6547</v>
      </c>
      <c r="F41" s="147" t="s">
        <v>632</v>
      </c>
      <c r="G41" s="147" t="s">
        <v>2602</v>
      </c>
      <c r="H41" s="147" t="s">
        <v>2603</v>
      </c>
      <c r="I41" s="147" t="s">
        <v>2604</v>
      </c>
      <c r="J41" s="147" t="s">
        <v>2605</v>
      </c>
      <c r="K41" s="150" t="s">
        <v>2606</v>
      </c>
      <c r="L41" s="150" t="s">
        <v>2607</v>
      </c>
      <c r="M41" s="147" t="s">
        <v>2125</v>
      </c>
      <c r="N41" s="147" t="s">
        <v>2125</v>
      </c>
      <c r="O41" s="147"/>
      <c r="P41" s="147"/>
      <c r="Q41" s="147"/>
      <c r="R41" s="147"/>
      <c r="S41" s="147" t="s">
        <v>2520</v>
      </c>
      <c r="T41" s="147" t="s">
        <v>2381</v>
      </c>
      <c r="U41" s="147" t="s">
        <v>2564</v>
      </c>
      <c r="V41" s="147"/>
      <c r="W41" s="147"/>
      <c r="X41" s="147"/>
      <c r="Y41" s="147" t="s">
        <v>2565</v>
      </c>
      <c r="Z41" s="146" t="str">
        <f>"RP-"&amp;Grackle_LED_Map[[#This Row],[Lamp Type]]&amp;"-"&amp;Grackle_LED_Map[[#This Row],[Lamp Length]]&amp;"FT-"&amp;Grackle_LED_Map[[#This Row],[number of led lamps in kit]]&amp;"L-8"&amp;LEFT(Grackle_LED_Map[[#This Row],[CCT]],2)&amp;"-E1-"&amp;Grackle_LED_Map[[#This Row],[Case]]&amp;"-G2"</f>
        <v>RP-T8-4FT-3L-850-E1-M-G2</v>
      </c>
      <c r="AA41" s="148" t="str">
        <f>"RP-"&amp;Grackle_LED_Map[[#This Row],[Lamp Type]]&amp;"-"&amp;Grackle_LED_Map[[#This Row],[Lamp Length]]&amp;"FT-"&amp;Grackle_LED_Map[[#This Row],[number of led lamps in kit]]&amp;"L-8"&amp;LEFT(Grackle_LED_Map[[#This Row],[CCT]],2)&amp;"-3W-"&amp;Grackle_LED_Map[[#This Row],[Case]]&amp;"-G2"</f>
        <v>RP-T8-4FT-3L-850-3W-M-G2</v>
      </c>
    </row>
    <row r="42" spans="1:27" x14ac:dyDescent="0.25">
      <c r="A42" s="145" t="s">
        <v>123</v>
      </c>
      <c r="B42" s="146">
        <v>2</v>
      </c>
      <c r="C42" s="146">
        <v>1</v>
      </c>
      <c r="D42" s="147">
        <v>3000</v>
      </c>
      <c r="E42" s="147">
        <v>1544</v>
      </c>
      <c r="F42" s="147" t="s">
        <v>632</v>
      </c>
      <c r="G42" s="147" t="s">
        <v>2608</v>
      </c>
      <c r="H42" s="147" t="s">
        <v>2609</v>
      </c>
      <c r="I42" s="147" t="s">
        <v>2610</v>
      </c>
      <c r="J42" s="147" t="s">
        <v>2611</v>
      </c>
      <c r="K42" s="147" t="s">
        <v>2612</v>
      </c>
      <c r="L42" s="147" t="s">
        <v>2613</v>
      </c>
      <c r="M42" s="147" t="s">
        <v>2125</v>
      </c>
      <c r="N42" s="147" t="s">
        <v>2125</v>
      </c>
      <c r="O42" s="147"/>
      <c r="P42" s="147"/>
      <c r="Q42" s="147"/>
      <c r="R42" s="147"/>
      <c r="S42" s="147" t="s">
        <v>2414</v>
      </c>
      <c r="T42" s="147" t="s">
        <v>2381</v>
      </c>
      <c r="U42" s="147" t="s">
        <v>2614</v>
      </c>
      <c r="V42" s="147"/>
      <c r="W42" s="147"/>
      <c r="X42" s="147"/>
      <c r="Y42" s="147" t="s">
        <v>2615</v>
      </c>
      <c r="Z42" s="146" t="str">
        <f>"RP-"&amp;Grackle_LED_Map[[#This Row],[Lamp Type]]&amp;"-"&amp;Grackle_LED_Map[[#This Row],[Lamp Length]]&amp;"FT-"&amp;Grackle_LED_Map[[#This Row],[number of led lamps in kit]]&amp;"L-8"&amp;LEFT(Grackle_LED_Map[[#This Row],[CCT]],2)&amp;"-E1-"&amp;Grackle_LED_Map[[#This Row],[Case]]&amp;"-G2"</f>
        <v>RP-T5-2FT-1L-830-E1-M-G2</v>
      </c>
      <c r="AA42" s="148" t="str">
        <f>"RP-"&amp;Grackle_LED_Map[[#This Row],[Lamp Type]]&amp;"-"&amp;Grackle_LED_Map[[#This Row],[Lamp Length]]&amp;"FT-"&amp;Grackle_LED_Map[[#This Row],[number of led lamps in kit]]&amp;"L-8"&amp;LEFT(Grackle_LED_Map[[#This Row],[CCT]],2)&amp;"-3W-"&amp;Grackle_LED_Map[[#This Row],[Case]]&amp;"-G2"</f>
        <v>RP-T5-2FT-1L-830-3W-M-G2</v>
      </c>
    </row>
    <row r="43" spans="1:27" x14ac:dyDescent="0.25">
      <c r="A43" s="145" t="s">
        <v>123</v>
      </c>
      <c r="B43" s="146">
        <v>2</v>
      </c>
      <c r="C43" s="146">
        <v>1</v>
      </c>
      <c r="D43" s="147">
        <v>3500</v>
      </c>
      <c r="E43" s="147">
        <v>1544</v>
      </c>
      <c r="F43" s="147" t="s">
        <v>632</v>
      </c>
      <c r="G43" s="147" t="s">
        <v>2616</v>
      </c>
      <c r="H43" s="147" t="s">
        <v>2617</v>
      </c>
      <c r="I43" s="147" t="s">
        <v>2618</v>
      </c>
      <c r="J43" s="147" t="s">
        <v>2619</v>
      </c>
      <c r="K43" s="147" t="s">
        <v>2620</v>
      </c>
      <c r="L43" s="147" t="s">
        <v>2621</v>
      </c>
      <c r="M43" s="147" t="s">
        <v>2125</v>
      </c>
      <c r="N43" s="147" t="s">
        <v>2125</v>
      </c>
      <c r="O43" s="147"/>
      <c r="P43" s="147"/>
      <c r="Q43" s="147"/>
      <c r="R43" s="147"/>
      <c r="S43" s="147" t="s">
        <v>2414</v>
      </c>
      <c r="T43" s="147" t="s">
        <v>2381</v>
      </c>
      <c r="U43" s="147" t="s">
        <v>2622</v>
      </c>
      <c r="V43" s="147"/>
      <c r="W43" s="147"/>
      <c r="X43" s="147"/>
      <c r="Y43" s="147" t="s">
        <v>2623</v>
      </c>
      <c r="Z43" s="146" t="str">
        <f>"RP-"&amp;Grackle_LED_Map[[#This Row],[Lamp Type]]&amp;"-"&amp;Grackle_LED_Map[[#This Row],[Lamp Length]]&amp;"FT-"&amp;Grackle_LED_Map[[#This Row],[number of led lamps in kit]]&amp;"L-8"&amp;LEFT(Grackle_LED_Map[[#This Row],[CCT]],2)&amp;"-E1-"&amp;Grackle_LED_Map[[#This Row],[Case]]&amp;"-G2"</f>
        <v>RP-T5-2FT-1L-835-E1-M-G2</v>
      </c>
      <c r="AA43" s="148" t="str">
        <f>"RP-"&amp;Grackle_LED_Map[[#This Row],[Lamp Type]]&amp;"-"&amp;Grackle_LED_Map[[#This Row],[Lamp Length]]&amp;"FT-"&amp;Grackle_LED_Map[[#This Row],[number of led lamps in kit]]&amp;"L-8"&amp;LEFT(Grackle_LED_Map[[#This Row],[CCT]],2)&amp;"-3W-"&amp;Grackle_LED_Map[[#This Row],[Case]]&amp;"-G2"</f>
        <v>RP-T5-2FT-1L-835-3W-M-G2</v>
      </c>
    </row>
    <row r="44" spans="1:27" x14ac:dyDescent="0.25">
      <c r="A44" s="145" t="s">
        <v>123</v>
      </c>
      <c r="B44" s="146">
        <v>2</v>
      </c>
      <c r="C44" s="146">
        <v>1</v>
      </c>
      <c r="D44" s="147">
        <v>4000</v>
      </c>
      <c r="E44" s="147">
        <v>1544</v>
      </c>
      <c r="F44" s="147" t="s">
        <v>632</v>
      </c>
      <c r="G44" s="147" t="s">
        <v>2624</v>
      </c>
      <c r="H44" s="147" t="s">
        <v>2625</v>
      </c>
      <c r="I44" s="147" t="s">
        <v>2626</v>
      </c>
      <c r="J44" s="147" t="s">
        <v>2627</v>
      </c>
      <c r="K44" s="147" t="s">
        <v>2628</v>
      </c>
      <c r="L44" s="147" t="s">
        <v>2629</v>
      </c>
      <c r="M44" s="147" t="s">
        <v>2125</v>
      </c>
      <c r="N44" s="147" t="s">
        <v>2125</v>
      </c>
      <c r="O44" s="147"/>
      <c r="P44" s="147"/>
      <c r="Q44" s="147"/>
      <c r="R44" s="147"/>
      <c r="S44" s="147" t="s">
        <v>2414</v>
      </c>
      <c r="T44" s="147" t="s">
        <v>2381</v>
      </c>
      <c r="U44" s="147" t="s">
        <v>2630</v>
      </c>
      <c r="V44" s="147"/>
      <c r="W44" s="147"/>
      <c r="X44" s="147"/>
      <c r="Y44" s="147" t="s">
        <v>2631</v>
      </c>
      <c r="Z44" s="146" t="str">
        <f>"RP-"&amp;Grackle_LED_Map[[#This Row],[Lamp Type]]&amp;"-"&amp;Grackle_LED_Map[[#This Row],[Lamp Length]]&amp;"FT-"&amp;Grackle_LED_Map[[#This Row],[number of led lamps in kit]]&amp;"L-8"&amp;LEFT(Grackle_LED_Map[[#This Row],[CCT]],2)&amp;"-E1-"&amp;Grackle_LED_Map[[#This Row],[Case]]&amp;"-G2"</f>
        <v>RP-T5-2FT-1L-840-E1-M-G2</v>
      </c>
      <c r="AA44" s="148" t="str">
        <f>"RP-"&amp;Grackle_LED_Map[[#This Row],[Lamp Type]]&amp;"-"&amp;Grackle_LED_Map[[#This Row],[Lamp Length]]&amp;"FT-"&amp;Grackle_LED_Map[[#This Row],[number of led lamps in kit]]&amp;"L-8"&amp;LEFT(Grackle_LED_Map[[#This Row],[CCT]],2)&amp;"-3W-"&amp;Grackle_LED_Map[[#This Row],[Case]]&amp;"-G2"</f>
        <v>RP-T5-2FT-1L-840-3W-M-G2</v>
      </c>
    </row>
    <row r="45" spans="1:27" x14ac:dyDescent="0.25">
      <c r="A45" s="145" t="s">
        <v>123</v>
      </c>
      <c r="B45" s="146">
        <v>2</v>
      </c>
      <c r="C45" s="146">
        <v>1</v>
      </c>
      <c r="D45" s="147">
        <v>5000</v>
      </c>
      <c r="E45" s="147">
        <v>1544</v>
      </c>
      <c r="F45" s="147" t="s">
        <v>632</v>
      </c>
      <c r="G45" s="147" t="s">
        <v>2632</v>
      </c>
      <c r="H45" s="147" t="s">
        <v>2633</v>
      </c>
      <c r="I45" s="147" t="s">
        <v>2634</v>
      </c>
      <c r="J45" s="147" t="s">
        <v>2635</v>
      </c>
      <c r="K45" s="147" t="s">
        <v>2636</v>
      </c>
      <c r="L45" s="147" t="s">
        <v>2637</v>
      </c>
      <c r="M45" s="147" t="s">
        <v>2125</v>
      </c>
      <c r="N45" s="147" t="s">
        <v>2125</v>
      </c>
      <c r="O45" s="147"/>
      <c r="P45" s="147"/>
      <c r="Q45" s="147"/>
      <c r="R45" s="147"/>
      <c r="S45" s="147" t="s">
        <v>2414</v>
      </c>
      <c r="T45" s="147" t="s">
        <v>2381</v>
      </c>
      <c r="U45" s="147" t="s">
        <v>2638</v>
      </c>
      <c r="V45" s="147"/>
      <c r="W45" s="147"/>
      <c r="X45" s="147"/>
      <c r="Y45" s="147" t="s">
        <v>2639</v>
      </c>
      <c r="Z45" s="146" t="str">
        <f>"RP-"&amp;Grackle_LED_Map[[#This Row],[Lamp Type]]&amp;"-"&amp;Grackle_LED_Map[[#This Row],[Lamp Length]]&amp;"FT-"&amp;Grackle_LED_Map[[#This Row],[number of led lamps in kit]]&amp;"L-8"&amp;LEFT(Grackle_LED_Map[[#This Row],[CCT]],2)&amp;"-E1-"&amp;Grackle_LED_Map[[#This Row],[Case]]&amp;"-G2"</f>
        <v>RP-T5-2FT-1L-850-E1-M-G2</v>
      </c>
      <c r="AA45" s="148" t="str">
        <f>"RP-"&amp;Grackle_LED_Map[[#This Row],[Lamp Type]]&amp;"-"&amp;Grackle_LED_Map[[#This Row],[Lamp Length]]&amp;"FT-"&amp;Grackle_LED_Map[[#This Row],[number of led lamps in kit]]&amp;"L-8"&amp;LEFT(Grackle_LED_Map[[#This Row],[CCT]],2)&amp;"-3W-"&amp;Grackle_LED_Map[[#This Row],[Case]]&amp;"-G2"</f>
        <v>RP-T5-2FT-1L-850-3W-M-G2</v>
      </c>
    </row>
    <row r="46" spans="1:27" x14ac:dyDescent="0.25">
      <c r="A46" s="145" t="s">
        <v>123</v>
      </c>
      <c r="B46" s="146">
        <v>2</v>
      </c>
      <c r="C46" s="146">
        <v>2</v>
      </c>
      <c r="D46" s="147">
        <v>3000</v>
      </c>
      <c r="E46" s="147">
        <v>2252</v>
      </c>
      <c r="F46" s="147" t="s">
        <v>632</v>
      </c>
      <c r="G46" s="147" t="s">
        <v>2640</v>
      </c>
      <c r="H46" s="147" t="s">
        <v>2641</v>
      </c>
      <c r="I46" s="147" t="s">
        <v>2642</v>
      </c>
      <c r="J46" s="147" t="s">
        <v>2643</v>
      </c>
      <c r="K46" s="147" t="s">
        <v>2644</v>
      </c>
      <c r="L46" s="147" t="s">
        <v>2645</v>
      </c>
      <c r="M46" s="147" t="s">
        <v>2125</v>
      </c>
      <c r="N46" s="147" t="s">
        <v>2125</v>
      </c>
      <c r="O46" s="147"/>
      <c r="P46" s="147"/>
      <c r="Q46" s="147"/>
      <c r="R46" s="147"/>
      <c r="S46" s="147" t="s">
        <v>2439</v>
      </c>
      <c r="T46" s="147" t="s">
        <v>2381</v>
      </c>
      <c r="U46" s="147" t="s">
        <v>2614</v>
      </c>
      <c r="V46" s="147"/>
      <c r="W46" s="147"/>
      <c r="X46" s="147"/>
      <c r="Y46" s="147" t="s">
        <v>2615</v>
      </c>
      <c r="Z46" s="146" t="str">
        <f>"RP-"&amp;Grackle_LED_Map[[#This Row],[Lamp Type]]&amp;"-"&amp;Grackle_LED_Map[[#This Row],[Lamp Length]]&amp;"FT-"&amp;Grackle_LED_Map[[#This Row],[number of led lamps in kit]]&amp;"L-8"&amp;LEFT(Grackle_LED_Map[[#This Row],[CCT]],2)&amp;"-E1-"&amp;Grackle_LED_Map[[#This Row],[Case]]&amp;"-G2"</f>
        <v>RP-T5-2FT-2L-830-E1-M-G2</v>
      </c>
      <c r="AA46" s="148" t="str">
        <f>"RP-"&amp;Grackle_LED_Map[[#This Row],[Lamp Type]]&amp;"-"&amp;Grackle_LED_Map[[#This Row],[Lamp Length]]&amp;"FT-"&amp;Grackle_LED_Map[[#This Row],[number of led lamps in kit]]&amp;"L-8"&amp;LEFT(Grackle_LED_Map[[#This Row],[CCT]],2)&amp;"-3W-"&amp;Grackle_LED_Map[[#This Row],[Case]]&amp;"-G2"</f>
        <v>RP-T5-2FT-2L-830-3W-M-G2</v>
      </c>
    </row>
    <row r="47" spans="1:27" x14ac:dyDescent="0.25">
      <c r="A47" s="145" t="s">
        <v>123</v>
      </c>
      <c r="B47" s="146">
        <v>2</v>
      </c>
      <c r="C47" s="146">
        <v>2</v>
      </c>
      <c r="D47" s="147">
        <v>3500</v>
      </c>
      <c r="E47" s="147">
        <v>2252</v>
      </c>
      <c r="F47" s="147" t="s">
        <v>632</v>
      </c>
      <c r="G47" s="147" t="s">
        <v>2646</v>
      </c>
      <c r="H47" s="147" t="s">
        <v>2647</v>
      </c>
      <c r="I47" s="147" t="s">
        <v>2648</v>
      </c>
      <c r="J47" s="147" t="s">
        <v>2649</v>
      </c>
      <c r="K47" s="147" t="s">
        <v>2650</v>
      </c>
      <c r="L47" s="147" t="s">
        <v>2651</v>
      </c>
      <c r="M47" s="147" t="s">
        <v>2125</v>
      </c>
      <c r="N47" s="147" t="s">
        <v>2125</v>
      </c>
      <c r="O47" s="147"/>
      <c r="P47" s="147"/>
      <c r="Q47" s="147"/>
      <c r="R47" s="147"/>
      <c r="S47" s="147" t="s">
        <v>2439</v>
      </c>
      <c r="T47" s="147" t="s">
        <v>2381</v>
      </c>
      <c r="U47" s="147" t="s">
        <v>2622</v>
      </c>
      <c r="V47" s="147"/>
      <c r="W47" s="147"/>
      <c r="X47" s="147"/>
      <c r="Y47" s="147" t="s">
        <v>2623</v>
      </c>
      <c r="Z47" s="146" t="str">
        <f>"RP-"&amp;Grackle_LED_Map[[#This Row],[Lamp Type]]&amp;"-"&amp;Grackle_LED_Map[[#This Row],[Lamp Length]]&amp;"FT-"&amp;Grackle_LED_Map[[#This Row],[number of led lamps in kit]]&amp;"L-8"&amp;LEFT(Grackle_LED_Map[[#This Row],[CCT]],2)&amp;"-E1-"&amp;Grackle_LED_Map[[#This Row],[Case]]&amp;"-G2"</f>
        <v>RP-T5-2FT-2L-835-E1-M-G2</v>
      </c>
      <c r="AA47" s="148" t="str">
        <f>"RP-"&amp;Grackle_LED_Map[[#This Row],[Lamp Type]]&amp;"-"&amp;Grackle_LED_Map[[#This Row],[Lamp Length]]&amp;"FT-"&amp;Grackle_LED_Map[[#This Row],[number of led lamps in kit]]&amp;"L-8"&amp;LEFT(Grackle_LED_Map[[#This Row],[CCT]],2)&amp;"-3W-"&amp;Grackle_LED_Map[[#This Row],[Case]]&amp;"-G2"</f>
        <v>RP-T5-2FT-2L-835-3W-M-G2</v>
      </c>
    </row>
    <row r="48" spans="1:27" x14ac:dyDescent="0.25">
      <c r="A48" s="145" t="s">
        <v>123</v>
      </c>
      <c r="B48" s="146">
        <v>2</v>
      </c>
      <c r="C48" s="146">
        <v>2</v>
      </c>
      <c r="D48" s="147">
        <v>4000</v>
      </c>
      <c r="E48" s="147">
        <v>2252</v>
      </c>
      <c r="F48" s="147" t="s">
        <v>632</v>
      </c>
      <c r="G48" s="147" t="s">
        <v>2652</v>
      </c>
      <c r="H48" s="147" t="s">
        <v>2653</v>
      </c>
      <c r="I48" s="147" t="s">
        <v>2654</v>
      </c>
      <c r="J48" s="147" t="s">
        <v>2655</v>
      </c>
      <c r="K48" s="147" t="s">
        <v>2656</v>
      </c>
      <c r="L48" s="147" t="s">
        <v>2657</v>
      </c>
      <c r="M48" s="147" t="s">
        <v>2125</v>
      </c>
      <c r="N48" s="147" t="s">
        <v>2125</v>
      </c>
      <c r="O48" s="147"/>
      <c r="P48" s="147"/>
      <c r="Q48" s="147"/>
      <c r="R48" s="147"/>
      <c r="S48" s="147" t="s">
        <v>2439</v>
      </c>
      <c r="T48" s="147" t="s">
        <v>2381</v>
      </c>
      <c r="U48" s="147" t="s">
        <v>2630</v>
      </c>
      <c r="V48" s="147"/>
      <c r="W48" s="147"/>
      <c r="X48" s="147"/>
      <c r="Y48" s="147" t="s">
        <v>2631</v>
      </c>
      <c r="Z48" s="146" t="str">
        <f>"RP-"&amp;Grackle_LED_Map[[#This Row],[Lamp Type]]&amp;"-"&amp;Grackle_LED_Map[[#This Row],[Lamp Length]]&amp;"FT-"&amp;Grackle_LED_Map[[#This Row],[number of led lamps in kit]]&amp;"L-8"&amp;LEFT(Grackle_LED_Map[[#This Row],[CCT]],2)&amp;"-E1-"&amp;Grackle_LED_Map[[#This Row],[Case]]&amp;"-G2"</f>
        <v>RP-T5-2FT-2L-840-E1-M-G2</v>
      </c>
      <c r="AA48" s="148" t="str">
        <f>"RP-"&amp;Grackle_LED_Map[[#This Row],[Lamp Type]]&amp;"-"&amp;Grackle_LED_Map[[#This Row],[Lamp Length]]&amp;"FT-"&amp;Grackle_LED_Map[[#This Row],[number of led lamps in kit]]&amp;"L-8"&amp;LEFT(Grackle_LED_Map[[#This Row],[CCT]],2)&amp;"-3W-"&amp;Grackle_LED_Map[[#This Row],[Case]]&amp;"-G2"</f>
        <v>RP-T5-2FT-2L-840-3W-M-G2</v>
      </c>
    </row>
    <row r="49" spans="1:27" x14ac:dyDescent="0.25">
      <c r="A49" s="145" t="s">
        <v>123</v>
      </c>
      <c r="B49" s="146">
        <v>2</v>
      </c>
      <c r="C49" s="146">
        <v>2</v>
      </c>
      <c r="D49" s="147">
        <v>5000</v>
      </c>
      <c r="E49" s="147">
        <v>2252</v>
      </c>
      <c r="F49" s="147" t="s">
        <v>632</v>
      </c>
      <c r="G49" s="147" t="s">
        <v>2658</v>
      </c>
      <c r="H49" s="147" t="s">
        <v>2659</v>
      </c>
      <c r="I49" s="147" t="s">
        <v>2660</v>
      </c>
      <c r="J49" s="147" t="s">
        <v>2661</v>
      </c>
      <c r="K49" s="147" t="s">
        <v>2662</v>
      </c>
      <c r="L49" s="147" t="s">
        <v>2663</v>
      </c>
      <c r="M49" s="147" t="s">
        <v>2125</v>
      </c>
      <c r="N49" s="147" t="s">
        <v>2125</v>
      </c>
      <c r="O49" s="147"/>
      <c r="P49" s="147"/>
      <c r="Q49" s="147"/>
      <c r="R49" s="147"/>
      <c r="S49" s="147" t="s">
        <v>2439</v>
      </c>
      <c r="T49" s="147" t="s">
        <v>2381</v>
      </c>
      <c r="U49" s="147" t="s">
        <v>2638</v>
      </c>
      <c r="V49" s="147"/>
      <c r="W49" s="147"/>
      <c r="X49" s="147"/>
      <c r="Y49" s="147" t="s">
        <v>2639</v>
      </c>
      <c r="Z49" s="146" t="str">
        <f>"RP-"&amp;Grackle_LED_Map[[#This Row],[Lamp Type]]&amp;"-"&amp;Grackle_LED_Map[[#This Row],[Lamp Length]]&amp;"FT-"&amp;Grackle_LED_Map[[#This Row],[number of led lamps in kit]]&amp;"L-8"&amp;LEFT(Grackle_LED_Map[[#This Row],[CCT]],2)&amp;"-E1-"&amp;Grackle_LED_Map[[#This Row],[Case]]&amp;"-G2"</f>
        <v>RP-T5-2FT-2L-850-E1-M-G2</v>
      </c>
      <c r="AA49" s="148" t="str">
        <f>"RP-"&amp;Grackle_LED_Map[[#This Row],[Lamp Type]]&amp;"-"&amp;Grackle_LED_Map[[#This Row],[Lamp Length]]&amp;"FT-"&amp;Grackle_LED_Map[[#This Row],[number of led lamps in kit]]&amp;"L-8"&amp;LEFT(Grackle_LED_Map[[#This Row],[CCT]],2)&amp;"-3W-"&amp;Grackle_LED_Map[[#This Row],[Case]]&amp;"-G2"</f>
        <v>RP-T5-2FT-2L-850-3W-M-G2</v>
      </c>
    </row>
    <row r="50" spans="1:27" x14ac:dyDescent="0.25">
      <c r="A50" s="151" t="s">
        <v>123</v>
      </c>
      <c r="B50" s="152">
        <v>2</v>
      </c>
      <c r="C50" s="152">
        <v>3</v>
      </c>
      <c r="D50" s="152">
        <v>3000</v>
      </c>
      <c r="E50" s="152"/>
      <c r="F50" s="152" t="s">
        <v>632</v>
      </c>
      <c r="G50" s="152" t="s">
        <v>2664</v>
      </c>
      <c r="H50" s="152" t="s">
        <v>2665</v>
      </c>
      <c r="I50" s="152" t="s">
        <v>2666</v>
      </c>
      <c r="J50" s="152" t="s">
        <v>2667</v>
      </c>
      <c r="K50" s="152" t="s">
        <v>2668</v>
      </c>
      <c r="L50" s="152" t="s">
        <v>2669</v>
      </c>
      <c r="M50" s="152"/>
      <c r="N50" s="152"/>
      <c r="O50" s="152"/>
      <c r="P50" s="152"/>
      <c r="Q50" s="152"/>
      <c r="R50" s="152"/>
      <c r="S50" s="152" t="s">
        <v>2439</v>
      </c>
      <c r="T50" s="152" t="s">
        <v>2381</v>
      </c>
      <c r="U50" s="152" t="s">
        <v>2614</v>
      </c>
      <c r="V50" s="152"/>
      <c r="W50" s="152"/>
      <c r="X50" s="152"/>
      <c r="Y50" s="152" t="s">
        <v>2615</v>
      </c>
      <c r="Z50" s="152" t="str">
        <f>"RP-"&amp;Grackle_LED_Map[[#This Row],[Lamp Type]]&amp;"-"&amp;Grackle_LED_Map[[#This Row],[Lamp Length]]&amp;"FT-"&amp;Grackle_LED_Map[[#This Row],[number of led lamps in kit]]&amp;"L-8"&amp;LEFT(Grackle_LED_Map[[#This Row],[CCT]],2)&amp;"-E1-"&amp;Grackle_LED_Map[[#This Row],[Case]]&amp;"-G2"</f>
        <v>RP-T5-2FT-3L-830-E1-M-G2</v>
      </c>
      <c r="AA50" s="152" t="str">
        <f>"RP-"&amp;Grackle_LED_Map[[#This Row],[Lamp Type]]&amp;"-"&amp;Grackle_LED_Map[[#This Row],[Lamp Length]]&amp;"FT-"&amp;Grackle_LED_Map[[#This Row],[number of led lamps in kit]]&amp;"L-8"&amp;LEFT(Grackle_LED_Map[[#This Row],[CCT]],2)&amp;"-3W-"&amp;Grackle_LED_Map[[#This Row],[Case]]&amp;"-G2"</f>
        <v>RP-T5-2FT-3L-830-3W-M-G2</v>
      </c>
    </row>
    <row r="51" spans="1:27" x14ac:dyDescent="0.25">
      <c r="A51" s="151" t="s">
        <v>123</v>
      </c>
      <c r="B51" s="152">
        <v>2</v>
      </c>
      <c r="C51" s="152">
        <v>3</v>
      </c>
      <c r="D51" s="152">
        <v>3500</v>
      </c>
      <c r="E51" s="152"/>
      <c r="F51" s="152" t="s">
        <v>632</v>
      </c>
      <c r="G51" s="152" t="s">
        <v>2670</v>
      </c>
      <c r="H51" s="152" t="s">
        <v>2671</v>
      </c>
      <c r="I51" s="152" t="s">
        <v>2672</v>
      </c>
      <c r="J51" s="152" t="s">
        <v>2673</v>
      </c>
      <c r="K51" s="152" t="s">
        <v>2674</v>
      </c>
      <c r="L51" s="152" t="s">
        <v>2675</v>
      </c>
      <c r="M51" s="152"/>
      <c r="N51" s="152"/>
      <c r="O51" s="152"/>
      <c r="P51" s="152"/>
      <c r="Q51" s="152"/>
      <c r="R51" s="152"/>
      <c r="S51" s="152" t="s">
        <v>2439</v>
      </c>
      <c r="T51" s="152" t="s">
        <v>2381</v>
      </c>
      <c r="U51" s="152" t="s">
        <v>2622</v>
      </c>
      <c r="V51" s="152"/>
      <c r="W51" s="152"/>
      <c r="X51" s="152"/>
      <c r="Y51" s="152" t="s">
        <v>2623</v>
      </c>
      <c r="Z51" s="152" t="str">
        <f>"RP-"&amp;Grackle_LED_Map[[#This Row],[Lamp Type]]&amp;"-"&amp;Grackle_LED_Map[[#This Row],[Lamp Length]]&amp;"FT-"&amp;Grackle_LED_Map[[#This Row],[number of led lamps in kit]]&amp;"L-8"&amp;LEFT(Grackle_LED_Map[[#This Row],[CCT]],2)&amp;"-E1-"&amp;Grackle_LED_Map[[#This Row],[Case]]&amp;"-G2"</f>
        <v>RP-T5-2FT-3L-835-E1-M-G2</v>
      </c>
      <c r="AA51" s="152" t="str">
        <f>"RP-"&amp;Grackle_LED_Map[[#This Row],[Lamp Type]]&amp;"-"&amp;Grackle_LED_Map[[#This Row],[Lamp Length]]&amp;"FT-"&amp;Grackle_LED_Map[[#This Row],[number of led lamps in kit]]&amp;"L-8"&amp;LEFT(Grackle_LED_Map[[#This Row],[CCT]],2)&amp;"-3W-"&amp;Grackle_LED_Map[[#This Row],[Case]]&amp;"-G2"</f>
        <v>RP-T5-2FT-3L-835-3W-M-G2</v>
      </c>
    </row>
    <row r="52" spans="1:27" x14ac:dyDescent="0.25">
      <c r="A52" s="151" t="s">
        <v>123</v>
      </c>
      <c r="B52" s="152">
        <v>2</v>
      </c>
      <c r="C52" s="152">
        <v>3</v>
      </c>
      <c r="D52" s="152">
        <v>4000</v>
      </c>
      <c r="E52" s="152"/>
      <c r="F52" s="152" t="s">
        <v>632</v>
      </c>
      <c r="G52" s="152" t="s">
        <v>2676</v>
      </c>
      <c r="H52" s="152" t="s">
        <v>2677</v>
      </c>
      <c r="I52" s="152" t="s">
        <v>2678</v>
      </c>
      <c r="J52" s="152" t="s">
        <v>2679</v>
      </c>
      <c r="K52" s="152" t="s">
        <v>2680</v>
      </c>
      <c r="L52" s="152" t="s">
        <v>2681</v>
      </c>
      <c r="M52" s="152"/>
      <c r="N52" s="152"/>
      <c r="O52" s="152"/>
      <c r="P52" s="152"/>
      <c r="Q52" s="152"/>
      <c r="R52" s="152"/>
      <c r="S52" s="152" t="s">
        <v>2439</v>
      </c>
      <c r="T52" s="152" t="s">
        <v>2381</v>
      </c>
      <c r="U52" s="152" t="s">
        <v>2630</v>
      </c>
      <c r="V52" s="152"/>
      <c r="W52" s="152"/>
      <c r="X52" s="152"/>
      <c r="Y52" s="152" t="s">
        <v>2631</v>
      </c>
      <c r="Z52" s="152" t="str">
        <f>"RP-"&amp;Grackle_LED_Map[[#This Row],[Lamp Type]]&amp;"-"&amp;Grackle_LED_Map[[#This Row],[Lamp Length]]&amp;"FT-"&amp;Grackle_LED_Map[[#This Row],[number of led lamps in kit]]&amp;"L-8"&amp;LEFT(Grackle_LED_Map[[#This Row],[CCT]],2)&amp;"-E1-"&amp;Grackle_LED_Map[[#This Row],[Case]]&amp;"-G2"</f>
        <v>RP-T5-2FT-3L-840-E1-M-G2</v>
      </c>
      <c r="AA52" s="152" t="str">
        <f>"RP-"&amp;Grackle_LED_Map[[#This Row],[Lamp Type]]&amp;"-"&amp;Grackle_LED_Map[[#This Row],[Lamp Length]]&amp;"FT-"&amp;Grackle_LED_Map[[#This Row],[number of led lamps in kit]]&amp;"L-8"&amp;LEFT(Grackle_LED_Map[[#This Row],[CCT]],2)&amp;"-3W-"&amp;Grackle_LED_Map[[#This Row],[Case]]&amp;"-G2"</f>
        <v>RP-T5-2FT-3L-840-3W-M-G2</v>
      </c>
    </row>
    <row r="53" spans="1:27" x14ac:dyDescent="0.25">
      <c r="A53" s="151" t="s">
        <v>123</v>
      </c>
      <c r="B53" s="152">
        <v>2</v>
      </c>
      <c r="C53" s="152">
        <v>3</v>
      </c>
      <c r="D53" s="152">
        <v>5000</v>
      </c>
      <c r="E53" s="152"/>
      <c r="F53" s="152" t="s">
        <v>632</v>
      </c>
      <c r="G53" s="152" t="s">
        <v>2682</v>
      </c>
      <c r="H53" s="152" t="s">
        <v>2683</v>
      </c>
      <c r="I53" s="152" t="s">
        <v>2684</v>
      </c>
      <c r="J53" s="152" t="s">
        <v>2685</v>
      </c>
      <c r="K53" s="152" t="s">
        <v>2686</v>
      </c>
      <c r="L53" s="152" t="s">
        <v>2687</v>
      </c>
      <c r="M53" s="152"/>
      <c r="N53" s="152"/>
      <c r="O53" s="152"/>
      <c r="P53" s="152"/>
      <c r="Q53" s="152"/>
      <c r="R53" s="152"/>
      <c r="S53" s="152" t="s">
        <v>2439</v>
      </c>
      <c r="T53" s="152" t="s">
        <v>2381</v>
      </c>
      <c r="U53" s="152" t="s">
        <v>2638</v>
      </c>
      <c r="V53" s="152"/>
      <c r="W53" s="152"/>
      <c r="X53" s="152"/>
      <c r="Y53" s="152" t="s">
        <v>2639</v>
      </c>
      <c r="Z53" s="152" t="str">
        <f>"RP-"&amp;Grackle_LED_Map[[#This Row],[Lamp Type]]&amp;"-"&amp;Grackle_LED_Map[[#This Row],[Lamp Length]]&amp;"FT-"&amp;Grackle_LED_Map[[#This Row],[number of led lamps in kit]]&amp;"L-8"&amp;LEFT(Grackle_LED_Map[[#This Row],[CCT]],2)&amp;"-E1-"&amp;Grackle_LED_Map[[#This Row],[Case]]&amp;"-G2"</f>
        <v>RP-T5-2FT-3L-850-E1-M-G2</v>
      </c>
      <c r="AA53" s="152" t="str">
        <f>"RP-"&amp;Grackle_LED_Map[[#This Row],[Lamp Type]]&amp;"-"&amp;Grackle_LED_Map[[#This Row],[Lamp Length]]&amp;"FT-"&amp;Grackle_LED_Map[[#This Row],[number of led lamps in kit]]&amp;"L-8"&amp;LEFT(Grackle_LED_Map[[#This Row],[CCT]],2)&amp;"-3W-"&amp;Grackle_LED_Map[[#This Row],[Case]]&amp;"-G2"</f>
        <v>RP-T5-2FT-3L-850-3W-M-G2</v>
      </c>
    </row>
    <row r="54" spans="1:27" x14ac:dyDescent="0.25">
      <c r="A54" s="145" t="s">
        <v>123</v>
      </c>
      <c r="B54" s="146">
        <v>3</v>
      </c>
      <c r="C54" s="146">
        <v>1</v>
      </c>
      <c r="D54" s="147">
        <v>3000</v>
      </c>
      <c r="E54" s="147"/>
      <c r="F54" s="147" t="s">
        <v>632</v>
      </c>
      <c r="G54" s="147" t="s">
        <v>2688</v>
      </c>
      <c r="H54" s="147" t="s">
        <v>2689</v>
      </c>
      <c r="I54" s="147" t="s">
        <v>2690</v>
      </c>
      <c r="J54" s="147" t="s">
        <v>2691</v>
      </c>
      <c r="K54" s="147" t="s">
        <v>2692</v>
      </c>
      <c r="L54" s="147" t="s">
        <v>2693</v>
      </c>
      <c r="M54" s="147" t="s">
        <v>2125</v>
      </c>
      <c r="N54" s="147"/>
      <c r="O54" s="147"/>
      <c r="P54" s="147"/>
      <c r="Q54" s="147"/>
      <c r="R54" s="147"/>
      <c r="S54" s="147" t="s">
        <v>2414</v>
      </c>
      <c r="T54" s="147" t="s">
        <v>2381</v>
      </c>
      <c r="U54" s="147" t="s">
        <v>2694</v>
      </c>
      <c r="V54" s="147"/>
      <c r="W54" s="147"/>
      <c r="X54" s="147"/>
      <c r="Y54" s="147" t="s">
        <v>2695</v>
      </c>
      <c r="Z54" s="146" t="str">
        <f>"RP-"&amp;Grackle_LED_Map[[#This Row],[Lamp Type]]&amp;"-"&amp;Grackle_LED_Map[[#This Row],[Lamp Length]]&amp;"FT-"&amp;Grackle_LED_Map[[#This Row],[number of led lamps in kit]]&amp;"L-8"&amp;LEFT(Grackle_LED_Map[[#This Row],[CCT]],2)&amp;"-E1-"&amp;Grackle_LED_Map[[#This Row],[Case]]&amp;"-G2"</f>
        <v>RP-T5-3FT-1L-830-E1-M-G2</v>
      </c>
      <c r="AA54" s="148" t="str">
        <f>"RP-"&amp;Grackle_LED_Map[[#This Row],[Lamp Type]]&amp;"-"&amp;Grackle_LED_Map[[#This Row],[Lamp Length]]&amp;"FT-"&amp;Grackle_LED_Map[[#This Row],[number of led lamps in kit]]&amp;"L-8"&amp;LEFT(Grackle_LED_Map[[#This Row],[CCT]],2)&amp;"-3W-"&amp;Grackle_LED_Map[[#This Row],[Case]]&amp;"-G2"</f>
        <v>RP-T5-3FT-1L-830-3W-M-G2</v>
      </c>
    </row>
    <row r="55" spans="1:27" x14ac:dyDescent="0.25">
      <c r="A55" s="145" t="s">
        <v>123</v>
      </c>
      <c r="B55" s="146">
        <v>3</v>
      </c>
      <c r="C55" s="146">
        <v>1</v>
      </c>
      <c r="D55" s="147">
        <v>3500</v>
      </c>
      <c r="E55" s="147"/>
      <c r="F55" s="147" t="s">
        <v>632</v>
      </c>
      <c r="G55" s="147" t="s">
        <v>2696</v>
      </c>
      <c r="H55" s="147" t="s">
        <v>2697</v>
      </c>
      <c r="I55" s="147" t="s">
        <v>2698</v>
      </c>
      <c r="J55" s="147" t="s">
        <v>2699</v>
      </c>
      <c r="K55" s="147" t="s">
        <v>2700</v>
      </c>
      <c r="L55" s="147" t="s">
        <v>2701</v>
      </c>
      <c r="M55" s="147" t="s">
        <v>2125</v>
      </c>
      <c r="N55" s="147" t="s">
        <v>2125</v>
      </c>
      <c r="O55" s="147"/>
      <c r="P55" s="147"/>
      <c r="Q55" s="147"/>
      <c r="R55" s="147"/>
      <c r="S55" s="147" t="s">
        <v>2414</v>
      </c>
      <c r="T55" s="147" t="s">
        <v>2381</v>
      </c>
      <c r="U55" s="147" t="s">
        <v>2702</v>
      </c>
      <c r="V55" s="147"/>
      <c r="W55" s="147"/>
      <c r="X55" s="147"/>
      <c r="Y55" s="147" t="s">
        <v>2703</v>
      </c>
      <c r="Z55" s="146" t="str">
        <f>"RP-"&amp;Grackle_LED_Map[[#This Row],[Lamp Type]]&amp;"-"&amp;Grackle_LED_Map[[#This Row],[Lamp Length]]&amp;"FT-"&amp;Grackle_LED_Map[[#This Row],[number of led lamps in kit]]&amp;"L-8"&amp;LEFT(Grackle_LED_Map[[#This Row],[CCT]],2)&amp;"-E1-"&amp;Grackle_LED_Map[[#This Row],[Case]]&amp;"-G2"</f>
        <v>RP-T5-3FT-1L-835-E1-M-G2</v>
      </c>
      <c r="AA55" s="148" t="str">
        <f>"RP-"&amp;Grackle_LED_Map[[#This Row],[Lamp Type]]&amp;"-"&amp;Grackle_LED_Map[[#This Row],[Lamp Length]]&amp;"FT-"&amp;Grackle_LED_Map[[#This Row],[number of led lamps in kit]]&amp;"L-8"&amp;LEFT(Grackle_LED_Map[[#This Row],[CCT]],2)&amp;"-3W-"&amp;Grackle_LED_Map[[#This Row],[Case]]&amp;"-G2"</f>
        <v>RP-T5-3FT-1L-835-3W-M-G2</v>
      </c>
    </row>
    <row r="56" spans="1:27" x14ac:dyDescent="0.25">
      <c r="A56" s="145" t="s">
        <v>123</v>
      </c>
      <c r="B56" s="146">
        <v>3</v>
      </c>
      <c r="C56" s="146">
        <v>1</v>
      </c>
      <c r="D56" s="147">
        <v>4000</v>
      </c>
      <c r="E56" s="147"/>
      <c r="F56" s="147" t="s">
        <v>632</v>
      </c>
      <c r="G56" s="147" t="s">
        <v>2704</v>
      </c>
      <c r="H56" s="147" t="s">
        <v>2705</v>
      </c>
      <c r="I56" s="147" t="s">
        <v>2706</v>
      </c>
      <c r="J56" s="147" t="s">
        <v>2707</v>
      </c>
      <c r="K56" s="147" t="s">
        <v>2708</v>
      </c>
      <c r="L56" s="147" t="s">
        <v>2709</v>
      </c>
      <c r="M56" s="147" t="s">
        <v>2125</v>
      </c>
      <c r="N56" s="147" t="s">
        <v>2125</v>
      </c>
      <c r="O56" s="147"/>
      <c r="P56" s="147"/>
      <c r="Q56" s="147"/>
      <c r="R56" s="147"/>
      <c r="S56" s="147" t="s">
        <v>2414</v>
      </c>
      <c r="T56" s="147" t="s">
        <v>2381</v>
      </c>
      <c r="U56" s="147" t="s">
        <v>2710</v>
      </c>
      <c r="V56" s="147"/>
      <c r="W56" s="147"/>
      <c r="X56" s="147"/>
      <c r="Y56" s="147" t="s">
        <v>2711</v>
      </c>
      <c r="Z56" s="146" t="str">
        <f>"RP-"&amp;Grackle_LED_Map[[#This Row],[Lamp Type]]&amp;"-"&amp;Grackle_LED_Map[[#This Row],[Lamp Length]]&amp;"FT-"&amp;Grackle_LED_Map[[#This Row],[number of led lamps in kit]]&amp;"L-8"&amp;LEFT(Grackle_LED_Map[[#This Row],[CCT]],2)&amp;"-E1-"&amp;Grackle_LED_Map[[#This Row],[Case]]&amp;"-G2"</f>
        <v>RP-T5-3FT-1L-840-E1-M-G2</v>
      </c>
      <c r="AA56" s="148" t="str">
        <f>"RP-"&amp;Grackle_LED_Map[[#This Row],[Lamp Type]]&amp;"-"&amp;Grackle_LED_Map[[#This Row],[Lamp Length]]&amp;"FT-"&amp;Grackle_LED_Map[[#This Row],[number of led lamps in kit]]&amp;"L-8"&amp;LEFT(Grackle_LED_Map[[#This Row],[CCT]],2)&amp;"-3W-"&amp;Grackle_LED_Map[[#This Row],[Case]]&amp;"-G2"</f>
        <v>RP-T5-3FT-1L-840-3W-M-G2</v>
      </c>
    </row>
    <row r="57" spans="1:27" x14ac:dyDescent="0.25">
      <c r="A57" s="145" t="s">
        <v>123</v>
      </c>
      <c r="B57" s="146">
        <v>3</v>
      </c>
      <c r="C57" s="146">
        <v>1</v>
      </c>
      <c r="D57" s="147">
        <v>5000</v>
      </c>
      <c r="E57" s="147"/>
      <c r="F57" s="147" t="s">
        <v>632</v>
      </c>
      <c r="G57" s="147" t="s">
        <v>2712</v>
      </c>
      <c r="H57" s="147" t="s">
        <v>2713</v>
      </c>
      <c r="I57" s="147" t="s">
        <v>2714</v>
      </c>
      <c r="J57" s="147" t="s">
        <v>2715</v>
      </c>
      <c r="K57" s="147" t="s">
        <v>2716</v>
      </c>
      <c r="L57" s="147" t="s">
        <v>2717</v>
      </c>
      <c r="M57" s="147" t="s">
        <v>2125</v>
      </c>
      <c r="N57" s="147" t="s">
        <v>2125</v>
      </c>
      <c r="O57" s="147"/>
      <c r="P57" s="147"/>
      <c r="Q57" s="147"/>
      <c r="R57" s="147"/>
      <c r="S57" s="147" t="s">
        <v>2414</v>
      </c>
      <c r="T57" s="147" t="s">
        <v>2381</v>
      </c>
      <c r="U57" s="147" t="s">
        <v>2718</v>
      </c>
      <c r="V57" s="147"/>
      <c r="W57" s="147"/>
      <c r="X57" s="147"/>
      <c r="Y57" s="147" t="s">
        <v>2719</v>
      </c>
      <c r="Z57" s="146" t="str">
        <f>"RP-"&amp;Grackle_LED_Map[[#This Row],[Lamp Type]]&amp;"-"&amp;Grackle_LED_Map[[#This Row],[Lamp Length]]&amp;"FT-"&amp;Grackle_LED_Map[[#This Row],[number of led lamps in kit]]&amp;"L-8"&amp;LEFT(Grackle_LED_Map[[#This Row],[CCT]],2)&amp;"-E1-"&amp;Grackle_LED_Map[[#This Row],[Case]]&amp;"-G2"</f>
        <v>RP-T5-3FT-1L-850-E1-M-G2</v>
      </c>
      <c r="AA57" s="148" t="str">
        <f>"RP-"&amp;Grackle_LED_Map[[#This Row],[Lamp Type]]&amp;"-"&amp;Grackle_LED_Map[[#This Row],[Lamp Length]]&amp;"FT-"&amp;Grackle_LED_Map[[#This Row],[number of led lamps in kit]]&amp;"L-8"&amp;LEFT(Grackle_LED_Map[[#This Row],[CCT]],2)&amp;"-3W-"&amp;Grackle_LED_Map[[#This Row],[Case]]&amp;"-G2"</f>
        <v>RP-T5-3FT-1L-850-3W-M-G2</v>
      </c>
    </row>
    <row r="58" spans="1:27" x14ac:dyDescent="0.25">
      <c r="A58" s="145" t="s">
        <v>123</v>
      </c>
      <c r="B58" s="146">
        <v>3</v>
      </c>
      <c r="C58" s="146">
        <v>2</v>
      </c>
      <c r="D58" s="147">
        <v>3000</v>
      </c>
      <c r="E58" s="147"/>
      <c r="F58" s="147" t="s">
        <v>632</v>
      </c>
      <c r="G58" s="147" t="s">
        <v>2720</v>
      </c>
      <c r="H58" s="147" t="s">
        <v>2721</v>
      </c>
      <c r="I58" s="147" t="s">
        <v>2722</v>
      </c>
      <c r="J58" s="147" t="s">
        <v>2723</v>
      </c>
      <c r="K58" s="147" t="s">
        <v>2724</v>
      </c>
      <c r="L58" s="147" t="s">
        <v>2725</v>
      </c>
      <c r="M58" s="147" t="s">
        <v>2125</v>
      </c>
      <c r="N58" s="147" t="s">
        <v>2125</v>
      </c>
      <c r="O58" s="147"/>
      <c r="P58" s="147"/>
      <c r="Q58" s="147"/>
      <c r="R58" s="147"/>
      <c r="S58" s="147" t="s">
        <v>2439</v>
      </c>
      <c r="T58" s="147" t="s">
        <v>2381</v>
      </c>
      <c r="U58" s="147" t="s">
        <v>2694</v>
      </c>
      <c r="V58" s="147"/>
      <c r="W58" s="147"/>
      <c r="X58" s="147"/>
      <c r="Y58" s="147" t="s">
        <v>2695</v>
      </c>
      <c r="Z58" s="146" t="str">
        <f>"RP-"&amp;Grackle_LED_Map[[#This Row],[Lamp Type]]&amp;"-"&amp;Grackle_LED_Map[[#This Row],[Lamp Length]]&amp;"FT-"&amp;Grackle_LED_Map[[#This Row],[number of led lamps in kit]]&amp;"L-8"&amp;LEFT(Grackle_LED_Map[[#This Row],[CCT]],2)&amp;"-E1-"&amp;Grackle_LED_Map[[#This Row],[Case]]&amp;"-G2"</f>
        <v>RP-T5-3FT-2L-830-E1-M-G2</v>
      </c>
      <c r="AA58" s="148" t="str">
        <f>"RP-"&amp;Grackle_LED_Map[[#This Row],[Lamp Type]]&amp;"-"&amp;Grackle_LED_Map[[#This Row],[Lamp Length]]&amp;"FT-"&amp;Grackle_LED_Map[[#This Row],[number of led lamps in kit]]&amp;"L-8"&amp;LEFT(Grackle_LED_Map[[#This Row],[CCT]],2)&amp;"-3W-"&amp;Grackle_LED_Map[[#This Row],[Case]]&amp;"-G2"</f>
        <v>RP-T5-3FT-2L-830-3W-M-G2</v>
      </c>
    </row>
    <row r="59" spans="1:27" x14ac:dyDescent="0.25">
      <c r="A59" s="145" t="s">
        <v>123</v>
      </c>
      <c r="B59" s="146">
        <v>3</v>
      </c>
      <c r="C59" s="146">
        <v>2</v>
      </c>
      <c r="D59" s="147">
        <v>3500</v>
      </c>
      <c r="E59" s="147"/>
      <c r="F59" s="147" t="s">
        <v>632</v>
      </c>
      <c r="G59" s="147" t="s">
        <v>2726</v>
      </c>
      <c r="H59" s="147" t="s">
        <v>2727</v>
      </c>
      <c r="I59" s="147" t="s">
        <v>2728</v>
      </c>
      <c r="J59" s="147" t="s">
        <v>2729</v>
      </c>
      <c r="K59" s="147" t="s">
        <v>2730</v>
      </c>
      <c r="L59" s="147" t="s">
        <v>2731</v>
      </c>
      <c r="M59" s="147" t="s">
        <v>2125</v>
      </c>
      <c r="N59" s="147" t="s">
        <v>2125</v>
      </c>
      <c r="O59" s="147"/>
      <c r="P59" s="147"/>
      <c r="Q59" s="147"/>
      <c r="R59" s="147"/>
      <c r="S59" s="147" t="s">
        <v>2439</v>
      </c>
      <c r="T59" s="147" t="s">
        <v>2381</v>
      </c>
      <c r="U59" s="147" t="s">
        <v>2702</v>
      </c>
      <c r="V59" s="147"/>
      <c r="W59" s="147"/>
      <c r="X59" s="147"/>
      <c r="Y59" s="147" t="s">
        <v>2703</v>
      </c>
      <c r="Z59" s="146" t="str">
        <f>"RP-"&amp;Grackle_LED_Map[[#This Row],[Lamp Type]]&amp;"-"&amp;Grackle_LED_Map[[#This Row],[Lamp Length]]&amp;"FT-"&amp;Grackle_LED_Map[[#This Row],[number of led lamps in kit]]&amp;"L-8"&amp;LEFT(Grackle_LED_Map[[#This Row],[CCT]],2)&amp;"-E1-"&amp;Grackle_LED_Map[[#This Row],[Case]]&amp;"-G2"</f>
        <v>RP-T5-3FT-2L-835-E1-M-G2</v>
      </c>
      <c r="AA59" s="148" t="str">
        <f>"RP-"&amp;Grackle_LED_Map[[#This Row],[Lamp Type]]&amp;"-"&amp;Grackle_LED_Map[[#This Row],[Lamp Length]]&amp;"FT-"&amp;Grackle_LED_Map[[#This Row],[number of led lamps in kit]]&amp;"L-8"&amp;LEFT(Grackle_LED_Map[[#This Row],[CCT]],2)&amp;"-3W-"&amp;Grackle_LED_Map[[#This Row],[Case]]&amp;"-G2"</f>
        <v>RP-T5-3FT-2L-835-3W-M-G2</v>
      </c>
    </row>
    <row r="60" spans="1:27" x14ac:dyDescent="0.25">
      <c r="A60" s="145" t="s">
        <v>123</v>
      </c>
      <c r="B60" s="146">
        <v>3</v>
      </c>
      <c r="C60" s="146">
        <v>2</v>
      </c>
      <c r="D60" s="147">
        <v>4000</v>
      </c>
      <c r="E60" s="147"/>
      <c r="F60" s="147" t="s">
        <v>632</v>
      </c>
      <c r="G60" s="147" t="s">
        <v>2732</v>
      </c>
      <c r="H60" s="147" t="s">
        <v>2733</v>
      </c>
      <c r="I60" s="147" t="s">
        <v>2734</v>
      </c>
      <c r="J60" s="147" t="s">
        <v>2735</v>
      </c>
      <c r="K60" s="147" t="s">
        <v>2736</v>
      </c>
      <c r="L60" s="147" t="s">
        <v>2737</v>
      </c>
      <c r="M60" s="147" t="s">
        <v>2125</v>
      </c>
      <c r="N60" s="147" t="s">
        <v>2125</v>
      </c>
      <c r="O60" s="147"/>
      <c r="P60" s="147"/>
      <c r="Q60" s="147"/>
      <c r="R60" s="147"/>
      <c r="S60" s="147" t="s">
        <v>2439</v>
      </c>
      <c r="T60" s="147" t="s">
        <v>2381</v>
      </c>
      <c r="U60" s="147" t="s">
        <v>2710</v>
      </c>
      <c r="V60" s="147"/>
      <c r="W60" s="147"/>
      <c r="X60" s="147"/>
      <c r="Y60" s="147" t="s">
        <v>2711</v>
      </c>
      <c r="Z60" s="146" t="str">
        <f>"RP-"&amp;Grackle_LED_Map[[#This Row],[Lamp Type]]&amp;"-"&amp;Grackle_LED_Map[[#This Row],[Lamp Length]]&amp;"FT-"&amp;Grackle_LED_Map[[#This Row],[number of led lamps in kit]]&amp;"L-8"&amp;LEFT(Grackle_LED_Map[[#This Row],[CCT]],2)&amp;"-E1-"&amp;Grackle_LED_Map[[#This Row],[Case]]&amp;"-G2"</f>
        <v>RP-T5-3FT-2L-840-E1-M-G2</v>
      </c>
      <c r="AA60" s="148" t="str">
        <f>"RP-"&amp;Grackle_LED_Map[[#This Row],[Lamp Type]]&amp;"-"&amp;Grackle_LED_Map[[#This Row],[Lamp Length]]&amp;"FT-"&amp;Grackle_LED_Map[[#This Row],[number of led lamps in kit]]&amp;"L-8"&amp;LEFT(Grackle_LED_Map[[#This Row],[CCT]],2)&amp;"-3W-"&amp;Grackle_LED_Map[[#This Row],[Case]]&amp;"-G2"</f>
        <v>RP-T5-3FT-2L-840-3W-M-G2</v>
      </c>
    </row>
    <row r="61" spans="1:27" x14ac:dyDescent="0.25">
      <c r="A61" s="145" t="s">
        <v>123</v>
      </c>
      <c r="B61" s="146">
        <v>3</v>
      </c>
      <c r="C61" s="146">
        <v>2</v>
      </c>
      <c r="D61" s="147">
        <v>5000</v>
      </c>
      <c r="E61" s="147"/>
      <c r="F61" s="147" t="s">
        <v>632</v>
      </c>
      <c r="G61" s="147" t="s">
        <v>2738</v>
      </c>
      <c r="H61" s="147" t="s">
        <v>2739</v>
      </c>
      <c r="I61" s="147" t="s">
        <v>2740</v>
      </c>
      <c r="J61" s="147" t="s">
        <v>2741</v>
      </c>
      <c r="K61" s="147" t="s">
        <v>2742</v>
      </c>
      <c r="L61" s="147" t="s">
        <v>2743</v>
      </c>
      <c r="M61" s="147" t="s">
        <v>2125</v>
      </c>
      <c r="N61" s="147" t="s">
        <v>2125</v>
      </c>
      <c r="O61" s="147"/>
      <c r="P61" s="147"/>
      <c r="Q61" s="147"/>
      <c r="R61" s="147"/>
      <c r="S61" s="147" t="s">
        <v>2439</v>
      </c>
      <c r="T61" s="147" t="s">
        <v>2381</v>
      </c>
      <c r="U61" s="147" t="s">
        <v>2718</v>
      </c>
      <c r="V61" s="147"/>
      <c r="W61" s="147"/>
      <c r="X61" s="147"/>
      <c r="Y61" s="147" t="s">
        <v>2719</v>
      </c>
      <c r="Z61" s="146" t="str">
        <f>"RP-"&amp;Grackle_LED_Map[[#This Row],[Lamp Type]]&amp;"-"&amp;Grackle_LED_Map[[#This Row],[Lamp Length]]&amp;"FT-"&amp;Grackle_LED_Map[[#This Row],[number of led lamps in kit]]&amp;"L-8"&amp;LEFT(Grackle_LED_Map[[#This Row],[CCT]],2)&amp;"-E1-"&amp;Grackle_LED_Map[[#This Row],[Case]]&amp;"-G2"</f>
        <v>RP-T5-3FT-2L-850-E1-M-G2</v>
      </c>
      <c r="AA61" s="148" t="str">
        <f>"RP-"&amp;Grackle_LED_Map[[#This Row],[Lamp Type]]&amp;"-"&amp;Grackle_LED_Map[[#This Row],[Lamp Length]]&amp;"FT-"&amp;Grackle_LED_Map[[#This Row],[number of led lamps in kit]]&amp;"L-8"&amp;LEFT(Grackle_LED_Map[[#This Row],[CCT]],2)&amp;"-3W-"&amp;Grackle_LED_Map[[#This Row],[Case]]&amp;"-G2"</f>
        <v>RP-T5-3FT-2L-850-3W-M-G2</v>
      </c>
    </row>
    <row r="62" spans="1:27" x14ac:dyDescent="0.25">
      <c r="A62" s="151" t="s">
        <v>123</v>
      </c>
      <c r="B62" s="152">
        <v>3</v>
      </c>
      <c r="C62" s="152">
        <v>3</v>
      </c>
      <c r="D62" s="152">
        <v>3000</v>
      </c>
      <c r="E62" s="152"/>
      <c r="F62" s="152" t="s">
        <v>632</v>
      </c>
      <c r="G62" s="152" t="s">
        <v>2744</v>
      </c>
      <c r="H62" s="152" t="s">
        <v>2745</v>
      </c>
      <c r="I62" s="152" t="s">
        <v>2746</v>
      </c>
      <c r="J62" s="152" t="s">
        <v>2747</v>
      </c>
      <c r="K62" s="152" t="s">
        <v>2748</v>
      </c>
      <c r="L62" s="152" t="s">
        <v>2749</v>
      </c>
      <c r="M62" s="152"/>
      <c r="N62" s="152"/>
      <c r="O62" s="152"/>
      <c r="P62" s="152"/>
      <c r="Q62" s="152"/>
      <c r="R62" s="152"/>
      <c r="S62" s="152" t="s">
        <v>2439</v>
      </c>
      <c r="T62" s="152" t="s">
        <v>2381</v>
      </c>
      <c r="U62" s="152" t="s">
        <v>2694</v>
      </c>
      <c r="V62" s="152"/>
      <c r="W62" s="152"/>
      <c r="X62" s="152"/>
      <c r="Y62" s="152" t="s">
        <v>2695</v>
      </c>
      <c r="Z62" s="152" t="str">
        <f>"RP-"&amp;Grackle_LED_Map[[#This Row],[Lamp Type]]&amp;"-"&amp;Grackle_LED_Map[[#This Row],[Lamp Length]]&amp;"FT-"&amp;Grackle_LED_Map[[#This Row],[number of led lamps in kit]]&amp;"L-8"&amp;LEFT(Grackle_LED_Map[[#This Row],[CCT]],2)&amp;"-E1-"&amp;Grackle_LED_Map[[#This Row],[Case]]&amp;"-G2"</f>
        <v>RP-T5-3FT-3L-830-E1-M-G2</v>
      </c>
      <c r="AA62" s="152" t="str">
        <f>"RP-"&amp;Grackle_LED_Map[[#This Row],[Lamp Type]]&amp;"-"&amp;Grackle_LED_Map[[#This Row],[Lamp Length]]&amp;"FT-"&amp;Grackle_LED_Map[[#This Row],[number of led lamps in kit]]&amp;"L-8"&amp;LEFT(Grackle_LED_Map[[#This Row],[CCT]],2)&amp;"-3W-"&amp;Grackle_LED_Map[[#This Row],[Case]]&amp;"-G2"</f>
        <v>RP-T5-3FT-3L-830-3W-M-G2</v>
      </c>
    </row>
    <row r="63" spans="1:27" x14ac:dyDescent="0.25">
      <c r="A63" s="151" t="s">
        <v>123</v>
      </c>
      <c r="B63" s="152">
        <v>3</v>
      </c>
      <c r="C63" s="152">
        <v>3</v>
      </c>
      <c r="D63" s="152">
        <v>3500</v>
      </c>
      <c r="E63" s="152"/>
      <c r="F63" s="152" t="s">
        <v>632</v>
      </c>
      <c r="G63" s="152" t="s">
        <v>2750</v>
      </c>
      <c r="H63" s="152" t="s">
        <v>2751</v>
      </c>
      <c r="I63" s="152" t="s">
        <v>2752</v>
      </c>
      <c r="J63" s="152" t="s">
        <v>2753</v>
      </c>
      <c r="K63" s="152" t="s">
        <v>2754</v>
      </c>
      <c r="L63" s="152" t="s">
        <v>2755</v>
      </c>
      <c r="M63" s="152"/>
      <c r="N63" s="152"/>
      <c r="O63" s="152"/>
      <c r="P63" s="152"/>
      <c r="Q63" s="152"/>
      <c r="R63" s="152"/>
      <c r="S63" s="152" t="s">
        <v>2439</v>
      </c>
      <c r="T63" s="152" t="s">
        <v>2381</v>
      </c>
      <c r="U63" s="152" t="s">
        <v>2702</v>
      </c>
      <c r="V63" s="152"/>
      <c r="W63" s="152"/>
      <c r="X63" s="152"/>
      <c r="Y63" s="152" t="s">
        <v>2703</v>
      </c>
      <c r="Z63" s="152" t="str">
        <f>"RP-"&amp;Grackle_LED_Map[[#This Row],[Lamp Type]]&amp;"-"&amp;Grackle_LED_Map[[#This Row],[Lamp Length]]&amp;"FT-"&amp;Grackle_LED_Map[[#This Row],[number of led lamps in kit]]&amp;"L-8"&amp;LEFT(Grackle_LED_Map[[#This Row],[CCT]],2)&amp;"-E1-"&amp;Grackle_LED_Map[[#This Row],[Case]]&amp;"-G2"</f>
        <v>RP-T5-3FT-3L-835-E1-M-G2</v>
      </c>
      <c r="AA63" s="152" t="str">
        <f>"RP-"&amp;Grackle_LED_Map[[#This Row],[Lamp Type]]&amp;"-"&amp;Grackle_LED_Map[[#This Row],[Lamp Length]]&amp;"FT-"&amp;Grackle_LED_Map[[#This Row],[number of led lamps in kit]]&amp;"L-8"&amp;LEFT(Grackle_LED_Map[[#This Row],[CCT]],2)&amp;"-3W-"&amp;Grackle_LED_Map[[#This Row],[Case]]&amp;"-G2"</f>
        <v>RP-T5-3FT-3L-835-3W-M-G2</v>
      </c>
    </row>
    <row r="64" spans="1:27" x14ac:dyDescent="0.25">
      <c r="A64" s="151" t="s">
        <v>123</v>
      </c>
      <c r="B64" s="152">
        <v>3</v>
      </c>
      <c r="C64" s="152">
        <v>3</v>
      </c>
      <c r="D64" s="152">
        <v>4000</v>
      </c>
      <c r="E64" s="152"/>
      <c r="F64" s="152" t="s">
        <v>632</v>
      </c>
      <c r="G64" s="152" t="s">
        <v>2756</v>
      </c>
      <c r="H64" s="152" t="s">
        <v>2757</v>
      </c>
      <c r="I64" s="152" t="s">
        <v>2758</v>
      </c>
      <c r="J64" s="152" t="s">
        <v>2759</v>
      </c>
      <c r="K64" s="152" t="s">
        <v>2760</v>
      </c>
      <c r="L64" s="152" t="s">
        <v>2761</v>
      </c>
      <c r="M64" s="152"/>
      <c r="N64" s="152"/>
      <c r="O64" s="152"/>
      <c r="P64" s="152"/>
      <c r="Q64" s="152"/>
      <c r="R64" s="152"/>
      <c r="S64" s="152" t="s">
        <v>2439</v>
      </c>
      <c r="T64" s="152" t="s">
        <v>2381</v>
      </c>
      <c r="U64" s="152" t="s">
        <v>2710</v>
      </c>
      <c r="V64" s="152"/>
      <c r="W64" s="152"/>
      <c r="X64" s="152"/>
      <c r="Y64" s="152" t="s">
        <v>2711</v>
      </c>
      <c r="Z64" s="152" t="str">
        <f>"RP-"&amp;Grackle_LED_Map[[#This Row],[Lamp Type]]&amp;"-"&amp;Grackle_LED_Map[[#This Row],[Lamp Length]]&amp;"FT-"&amp;Grackle_LED_Map[[#This Row],[number of led lamps in kit]]&amp;"L-8"&amp;LEFT(Grackle_LED_Map[[#This Row],[CCT]],2)&amp;"-E1-"&amp;Grackle_LED_Map[[#This Row],[Case]]&amp;"-G2"</f>
        <v>RP-T5-3FT-3L-840-E1-M-G2</v>
      </c>
      <c r="AA64" s="152" t="str">
        <f>"RP-"&amp;Grackle_LED_Map[[#This Row],[Lamp Type]]&amp;"-"&amp;Grackle_LED_Map[[#This Row],[Lamp Length]]&amp;"FT-"&amp;Grackle_LED_Map[[#This Row],[number of led lamps in kit]]&amp;"L-8"&amp;LEFT(Grackle_LED_Map[[#This Row],[CCT]],2)&amp;"-3W-"&amp;Grackle_LED_Map[[#This Row],[Case]]&amp;"-G2"</f>
        <v>RP-T5-3FT-3L-840-3W-M-G2</v>
      </c>
    </row>
    <row r="65" spans="1:27" x14ac:dyDescent="0.25">
      <c r="A65" s="151" t="s">
        <v>123</v>
      </c>
      <c r="B65" s="152">
        <v>3</v>
      </c>
      <c r="C65" s="152">
        <v>3</v>
      </c>
      <c r="D65" s="152">
        <v>5000</v>
      </c>
      <c r="E65" s="152"/>
      <c r="F65" s="152" t="s">
        <v>632</v>
      </c>
      <c r="G65" s="152" t="s">
        <v>2762</v>
      </c>
      <c r="H65" s="152" t="s">
        <v>2763</v>
      </c>
      <c r="I65" s="152" t="s">
        <v>2764</v>
      </c>
      <c r="J65" s="152" t="s">
        <v>2765</v>
      </c>
      <c r="K65" s="152" t="s">
        <v>2766</v>
      </c>
      <c r="L65" s="152" t="s">
        <v>2767</v>
      </c>
      <c r="M65" s="152"/>
      <c r="N65" s="152"/>
      <c r="O65" s="152"/>
      <c r="P65" s="152"/>
      <c r="Q65" s="152"/>
      <c r="R65" s="152"/>
      <c r="S65" s="152" t="s">
        <v>2439</v>
      </c>
      <c r="T65" s="152" t="s">
        <v>2381</v>
      </c>
      <c r="U65" s="152" t="s">
        <v>2718</v>
      </c>
      <c r="V65" s="152"/>
      <c r="W65" s="152"/>
      <c r="X65" s="152"/>
      <c r="Y65" s="152" t="s">
        <v>2719</v>
      </c>
      <c r="Z65" s="152" t="str">
        <f>"RP-"&amp;Grackle_LED_Map[[#This Row],[Lamp Type]]&amp;"-"&amp;Grackle_LED_Map[[#This Row],[Lamp Length]]&amp;"FT-"&amp;Grackle_LED_Map[[#This Row],[number of led lamps in kit]]&amp;"L-8"&amp;LEFT(Grackle_LED_Map[[#This Row],[CCT]],2)&amp;"-E1-"&amp;Grackle_LED_Map[[#This Row],[Case]]&amp;"-G2"</f>
        <v>RP-T5-3FT-3L-850-E1-M-G2</v>
      </c>
      <c r="AA65" s="152" t="str">
        <f>"RP-"&amp;Grackle_LED_Map[[#This Row],[Lamp Type]]&amp;"-"&amp;Grackle_LED_Map[[#This Row],[Lamp Length]]&amp;"FT-"&amp;Grackle_LED_Map[[#This Row],[number of led lamps in kit]]&amp;"L-8"&amp;LEFT(Grackle_LED_Map[[#This Row],[CCT]],2)&amp;"-3W-"&amp;Grackle_LED_Map[[#This Row],[Case]]&amp;"-G2"</f>
        <v>RP-T5-3FT-3L-850-3W-M-G2</v>
      </c>
    </row>
    <row r="66" spans="1:27" x14ac:dyDescent="0.25">
      <c r="A66" s="145" t="s">
        <v>123</v>
      </c>
      <c r="B66" s="146">
        <v>4</v>
      </c>
      <c r="C66" s="146">
        <v>1</v>
      </c>
      <c r="D66" s="147">
        <v>3000</v>
      </c>
      <c r="E66" s="147">
        <v>2252</v>
      </c>
      <c r="F66" s="147" t="s">
        <v>632</v>
      </c>
      <c r="G66" s="149" t="s">
        <v>1413</v>
      </c>
      <c r="H66" s="149" t="s">
        <v>1444</v>
      </c>
      <c r="I66" s="147" t="s">
        <v>2768</v>
      </c>
      <c r="J66" s="149" t="s">
        <v>2769</v>
      </c>
      <c r="K66" s="149" t="s">
        <v>2770</v>
      </c>
      <c r="L66" s="147" t="s">
        <v>2771</v>
      </c>
      <c r="M66" s="149" t="s">
        <v>1508</v>
      </c>
      <c r="N66" s="149" t="s">
        <v>1535</v>
      </c>
      <c r="O66" s="147"/>
      <c r="P66" s="147" t="s">
        <v>2543</v>
      </c>
      <c r="Q66" s="147" t="s">
        <v>2543</v>
      </c>
      <c r="R66" s="147"/>
      <c r="S66" s="147" t="s">
        <v>2414</v>
      </c>
      <c r="T66" s="147" t="s">
        <v>2381</v>
      </c>
      <c r="U66" s="147" t="s">
        <v>2772</v>
      </c>
      <c r="V66" s="147"/>
      <c r="W66" s="147"/>
      <c r="X66" s="147"/>
      <c r="Y66" s="147" t="s">
        <v>2773</v>
      </c>
      <c r="Z66" s="146" t="str">
        <f>"RP-"&amp;Grackle_LED_Map[[#This Row],[Lamp Type]]&amp;"-"&amp;Grackle_LED_Map[[#This Row],[Lamp Length]]&amp;"FT-"&amp;Grackle_LED_Map[[#This Row],[number of led lamps in kit]]&amp;"L-8"&amp;LEFT(Grackle_LED_Map[[#This Row],[CCT]],2)&amp;"-E1-"&amp;Grackle_LED_Map[[#This Row],[Case]]&amp;"-G2"</f>
        <v>RP-T5-4FT-1L-830-E1-M-G2</v>
      </c>
      <c r="AA66" s="148" t="str">
        <f>"RP-"&amp;Grackle_LED_Map[[#This Row],[Lamp Type]]&amp;"-"&amp;Grackle_LED_Map[[#This Row],[Lamp Length]]&amp;"FT-"&amp;Grackle_LED_Map[[#This Row],[number of led lamps in kit]]&amp;"L-8"&amp;LEFT(Grackle_LED_Map[[#This Row],[CCT]],2)&amp;"-3W-"&amp;Grackle_LED_Map[[#This Row],[Case]]&amp;"-G2"</f>
        <v>RP-T5-4FT-1L-830-3W-M-G2</v>
      </c>
    </row>
    <row r="67" spans="1:27" x14ac:dyDescent="0.25">
      <c r="A67" s="145" t="s">
        <v>123</v>
      </c>
      <c r="B67" s="146">
        <v>4</v>
      </c>
      <c r="C67" s="146">
        <v>1</v>
      </c>
      <c r="D67" s="147">
        <v>3500</v>
      </c>
      <c r="E67" s="147">
        <v>2252</v>
      </c>
      <c r="F67" s="147" t="s">
        <v>632</v>
      </c>
      <c r="G67" s="149" t="s">
        <v>1414</v>
      </c>
      <c r="H67" s="149" t="s">
        <v>1445</v>
      </c>
      <c r="I67" s="147" t="s">
        <v>2774</v>
      </c>
      <c r="J67" s="149" t="s">
        <v>2775</v>
      </c>
      <c r="K67" s="149" t="s">
        <v>2776</v>
      </c>
      <c r="L67" s="147" t="s">
        <v>2777</v>
      </c>
      <c r="M67" s="149" t="s">
        <v>1509</v>
      </c>
      <c r="N67" s="149" t="s">
        <v>1536</v>
      </c>
      <c r="O67" s="147"/>
      <c r="P67" s="147" t="s">
        <v>2543</v>
      </c>
      <c r="Q67" s="147" t="s">
        <v>2543</v>
      </c>
      <c r="R67" s="147"/>
      <c r="S67" s="147" t="s">
        <v>2414</v>
      </c>
      <c r="T67" s="147" t="s">
        <v>2381</v>
      </c>
      <c r="U67" s="147" t="s">
        <v>2778</v>
      </c>
      <c r="V67" s="147"/>
      <c r="W67" s="147"/>
      <c r="X67" s="147"/>
      <c r="Y67" s="147" t="s">
        <v>2779</v>
      </c>
      <c r="Z67" s="146" t="str">
        <f>"RP-"&amp;Grackle_LED_Map[[#This Row],[Lamp Type]]&amp;"-"&amp;Grackle_LED_Map[[#This Row],[Lamp Length]]&amp;"FT-"&amp;Grackle_LED_Map[[#This Row],[number of led lamps in kit]]&amp;"L-8"&amp;LEFT(Grackle_LED_Map[[#This Row],[CCT]],2)&amp;"-E1-"&amp;Grackle_LED_Map[[#This Row],[Case]]&amp;"-G2"</f>
        <v>RP-T5-4FT-1L-835-E1-M-G2</v>
      </c>
      <c r="AA67" s="148" t="str">
        <f>"RP-"&amp;Grackle_LED_Map[[#This Row],[Lamp Type]]&amp;"-"&amp;Grackle_LED_Map[[#This Row],[Lamp Length]]&amp;"FT-"&amp;Grackle_LED_Map[[#This Row],[number of led lamps in kit]]&amp;"L-8"&amp;LEFT(Grackle_LED_Map[[#This Row],[CCT]],2)&amp;"-3W-"&amp;Grackle_LED_Map[[#This Row],[Case]]&amp;"-G2"</f>
        <v>RP-T5-4FT-1L-835-3W-M-G2</v>
      </c>
    </row>
    <row r="68" spans="1:27" x14ac:dyDescent="0.25">
      <c r="A68" s="145" t="s">
        <v>123</v>
      </c>
      <c r="B68" s="146">
        <v>4</v>
      </c>
      <c r="C68" s="146">
        <v>1</v>
      </c>
      <c r="D68" s="147">
        <v>4000</v>
      </c>
      <c r="E68" s="147">
        <v>2252</v>
      </c>
      <c r="F68" s="147" t="s">
        <v>632</v>
      </c>
      <c r="G68" s="149" t="s">
        <v>1415</v>
      </c>
      <c r="H68" s="149" t="s">
        <v>1313</v>
      </c>
      <c r="I68" s="147" t="s">
        <v>2780</v>
      </c>
      <c r="J68" s="149" t="s">
        <v>2781</v>
      </c>
      <c r="K68" s="149" t="s">
        <v>2782</v>
      </c>
      <c r="L68" s="147" t="s">
        <v>2783</v>
      </c>
      <c r="M68" s="149" t="s">
        <v>1510</v>
      </c>
      <c r="N68" s="149" t="s">
        <v>1537</v>
      </c>
      <c r="O68" s="147"/>
      <c r="P68" s="147" t="s">
        <v>2543</v>
      </c>
      <c r="Q68" s="147" t="s">
        <v>2543</v>
      </c>
      <c r="R68" s="147"/>
      <c r="S68" s="147" t="s">
        <v>2414</v>
      </c>
      <c r="T68" s="147" t="s">
        <v>2381</v>
      </c>
      <c r="U68" s="147" t="s">
        <v>2784</v>
      </c>
      <c r="V68" s="147"/>
      <c r="W68" s="147"/>
      <c r="X68" s="147"/>
      <c r="Y68" s="147" t="s">
        <v>2785</v>
      </c>
      <c r="Z68" s="146" t="str">
        <f>"RP-"&amp;Grackle_LED_Map[[#This Row],[Lamp Type]]&amp;"-"&amp;Grackle_LED_Map[[#This Row],[Lamp Length]]&amp;"FT-"&amp;Grackle_LED_Map[[#This Row],[number of led lamps in kit]]&amp;"L-8"&amp;LEFT(Grackle_LED_Map[[#This Row],[CCT]],2)&amp;"-E1-"&amp;Grackle_LED_Map[[#This Row],[Case]]&amp;"-G2"</f>
        <v>RP-T5-4FT-1L-840-E1-M-G2</v>
      </c>
      <c r="AA68" s="148" t="str">
        <f>"RP-"&amp;Grackle_LED_Map[[#This Row],[Lamp Type]]&amp;"-"&amp;Grackle_LED_Map[[#This Row],[Lamp Length]]&amp;"FT-"&amp;Grackle_LED_Map[[#This Row],[number of led lamps in kit]]&amp;"L-8"&amp;LEFT(Grackle_LED_Map[[#This Row],[CCT]],2)&amp;"-3W-"&amp;Grackle_LED_Map[[#This Row],[Case]]&amp;"-G2"</f>
        <v>RP-T5-4FT-1L-840-3W-M-G2</v>
      </c>
    </row>
    <row r="69" spans="1:27" x14ac:dyDescent="0.25">
      <c r="A69" s="145" t="s">
        <v>123</v>
      </c>
      <c r="B69" s="146">
        <v>4</v>
      </c>
      <c r="C69" s="146">
        <v>1</v>
      </c>
      <c r="D69" s="147">
        <v>5000</v>
      </c>
      <c r="E69" s="147">
        <v>2252</v>
      </c>
      <c r="F69" s="147" t="s">
        <v>632</v>
      </c>
      <c r="G69" s="147" t="s">
        <v>2786</v>
      </c>
      <c r="H69" s="147" t="s">
        <v>2787</v>
      </c>
      <c r="I69" s="147" t="s">
        <v>2788</v>
      </c>
      <c r="J69" s="147" t="s">
        <v>2789</v>
      </c>
      <c r="K69" s="147" t="s">
        <v>2790</v>
      </c>
      <c r="L69" s="147" t="s">
        <v>2791</v>
      </c>
      <c r="M69" s="147" t="s">
        <v>2125</v>
      </c>
      <c r="N69" s="147" t="s">
        <v>2125</v>
      </c>
      <c r="O69" s="147"/>
      <c r="P69" s="147"/>
      <c r="Q69" s="147"/>
      <c r="R69" s="147"/>
      <c r="S69" s="147" t="s">
        <v>2414</v>
      </c>
      <c r="T69" s="147" t="s">
        <v>2381</v>
      </c>
      <c r="U69" s="147" t="s">
        <v>2792</v>
      </c>
      <c r="V69" s="147"/>
      <c r="W69" s="147"/>
      <c r="X69" s="147"/>
      <c r="Y69" s="147" t="s">
        <v>2793</v>
      </c>
      <c r="Z69" s="146" t="str">
        <f>"RP-"&amp;Grackle_LED_Map[[#This Row],[Lamp Type]]&amp;"-"&amp;Grackle_LED_Map[[#This Row],[Lamp Length]]&amp;"FT-"&amp;Grackle_LED_Map[[#This Row],[number of led lamps in kit]]&amp;"L-8"&amp;LEFT(Grackle_LED_Map[[#This Row],[CCT]],2)&amp;"-E1-"&amp;Grackle_LED_Map[[#This Row],[Case]]&amp;"-G2"</f>
        <v>RP-T5-4FT-1L-850-E1-M-G2</v>
      </c>
      <c r="AA69" s="148" t="str">
        <f>"RP-"&amp;Grackle_LED_Map[[#This Row],[Lamp Type]]&amp;"-"&amp;Grackle_LED_Map[[#This Row],[Lamp Length]]&amp;"FT-"&amp;Grackle_LED_Map[[#This Row],[number of led lamps in kit]]&amp;"L-8"&amp;LEFT(Grackle_LED_Map[[#This Row],[CCT]],2)&amp;"-3W-"&amp;Grackle_LED_Map[[#This Row],[Case]]&amp;"-G2"</f>
        <v>RP-T5-4FT-1L-850-3W-M-G2</v>
      </c>
    </row>
    <row r="70" spans="1:27" x14ac:dyDescent="0.25">
      <c r="A70" s="145" t="s">
        <v>123</v>
      </c>
      <c r="B70" s="146">
        <v>4</v>
      </c>
      <c r="C70" s="146">
        <v>2</v>
      </c>
      <c r="D70" s="147">
        <v>3000</v>
      </c>
      <c r="E70" s="147">
        <v>4505</v>
      </c>
      <c r="F70" s="147" t="s">
        <v>632</v>
      </c>
      <c r="G70" s="149" t="s">
        <v>1416</v>
      </c>
      <c r="H70" s="149" t="s">
        <v>1446</v>
      </c>
      <c r="I70" s="147" t="s">
        <v>2794</v>
      </c>
      <c r="J70" s="149" t="s">
        <v>2795</v>
      </c>
      <c r="K70" s="149" t="s">
        <v>2796</v>
      </c>
      <c r="L70" s="147" t="s">
        <v>2797</v>
      </c>
      <c r="M70" s="149" t="s">
        <v>1511</v>
      </c>
      <c r="N70" s="149" t="s">
        <v>1538</v>
      </c>
      <c r="O70" s="147"/>
      <c r="P70" s="147" t="s">
        <v>2543</v>
      </c>
      <c r="Q70" s="147" t="s">
        <v>2543</v>
      </c>
      <c r="R70" s="147"/>
      <c r="S70" s="147" t="s">
        <v>2439</v>
      </c>
      <c r="T70" s="147" t="s">
        <v>2381</v>
      </c>
      <c r="U70" s="147" t="s">
        <v>2772</v>
      </c>
      <c r="V70" s="147"/>
      <c r="W70" s="147"/>
      <c r="X70" s="147"/>
      <c r="Y70" s="147" t="s">
        <v>2773</v>
      </c>
      <c r="Z70" s="146" t="str">
        <f>"RP-"&amp;Grackle_LED_Map[[#This Row],[Lamp Type]]&amp;"-"&amp;Grackle_LED_Map[[#This Row],[Lamp Length]]&amp;"FT-"&amp;Grackle_LED_Map[[#This Row],[number of led lamps in kit]]&amp;"L-8"&amp;LEFT(Grackle_LED_Map[[#This Row],[CCT]],2)&amp;"-E1-"&amp;Grackle_LED_Map[[#This Row],[Case]]&amp;"-G2"</f>
        <v>RP-T5-4FT-2L-830-E1-M-G2</v>
      </c>
      <c r="AA70" s="148" t="str">
        <f>"RP-"&amp;Grackle_LED_Map[[#This Row],[Lamp Type]]&amp;"-"&amp;Grackle_LED_Map[[#This Row],[Lamp Length]]&amp;"FT-"&amp;Grackle_LED_Map[[#This Row],[number of led lamps in kit]]&amp;"L-8"&amp;LEFT(Grackle_LED_Map[[#This Row],[CCT]],2)&amp;"-3W-"&amp;Grackle_LED_Map[[#This Row],[Case]]&amp;"-G2"</f>
        <v>RP-T5-4FT-2L-830-3W-M-G2</v>
      </c>
    </row>
    <row r="71" spans="1:27" x14ac:dyDescent="0.25">
      <c r="A71" s="145" t="s">
        <v>123</v>
      </c>
      <c r="B71" s="146">
        <v>4</v>
      </c>
      <c r="C71" s="146">
        <v>2</v>
      </c>
      <c r="D71" s="147">
        <v>3500</v>
      </c>
      <c r="E71" s="147">
        <v>4505</v>
      </c>
      <c r="F71" s="147" t="s">
        <v>632</v>
      </c>
      <c r="G71" s="149" t="s">
        <v>1417</v>
      </c>
      <c r="H71" s="149" t="s">
        <v>1447</v>
      </c>
      <c r="I71" s="147" t="s">
        <v>2798</v>
      </c>
      <c r="J71" s="149" t="s">
        <v>2799</v>
      </c>
      <c r="K71" s="149" t="s">
        <v>2800</v>
      </c>
      <c r="L71" s="147" t="s">
        <v>2801</v>
      </c>
      <c r="M71" s="149" t="s">
        <v>1512</v>
      </c>
      <c r="N71" s="149" t="s">
        <v>1539</v>
      </c>
      <c r="O71" s="147"/>
      <c r="P71" s="147" t="s">
        <v>2543</v>
      </c>
      <c r="Q71" s="147" t="s">
        <v>2543</v>
      </c>
      <c r="R71" s="147"/>
      <c r="S71" s="147" t="s">
        <v>2439</v>
      </c>
      <c r="T71" s="147" t="s">
        <v>2381</v>
      </c>
      <c r="U71" s="147" t="s">
        <v>2778</v>
      </c>
      <c r="V71" s="147"/>
      <c r="W71" s="147"/>
      <c r="X71" s="147"/>
      <c r="Y71" s="147" t="s">
        <v>2779</v>
      </c>
      <c r="Z71" s="146" t="str">
        <f>"RP-"&amp;Grackle_LED_Map[[#This Row],[Lamp Type]]&amp;"-"&amp;Grackle_LED_Map[[#This Row],[Lamp Length]]&amp;"FT-"&amp;Grackle_LED_Map[[#This Row],[number of led lamps in kit]]&amp;"L-8"&amp;LEFT(Grackle_LED_Map[[#This Row],[CCT]],2)&amp;"-E1-"&amp;Grackle_LED_Map[[#This Row],[Case]]&amp;"-G2"</f>
        <v>RP-T5-4FT-2L-835-E1-M-G2</v>
      </c>
      <c r="AA71" s="148" t="str">
        <f>"RP-"&amp;Grackle_LED_Map[[#This Row],[Lamp Type]]&amp;"-"&amp;Grackle_LED_Map[[#This Row],[Lamp Length]]&amp;"FT-"&amp;Grackle_LED_Map[[#This Row],[number of led lamps in kit]]&amp;"L-8"&amp;LEFT(Grackle_LED_Map[[#This Row],[CCT]],2)&amp;"-3W-"&amp;Grackle_LED_Map[[#This Row],[Case]]&amp;"-G2"</f>
        <v>RP-T5-4FT-2L-835-3W-M-G2</v>
      </c>
    </row>
    <row r="72" spans="1:27" x14ac:dyDescent="0.25">
      <c r="A72" s="145" t="s">
        <v>123</v>
      </c>
      <c r="B72" s="146">
        <v>4</v>
      </c>
      <c r="C72" s="146">
        <v>2</v>
      </c>
      <c r="D72" s="147">
        <v>4000</v>
      </c>
      <c r="E72" s="147">
        <v>4505</v>
      </c>
      <c r="F72" s="147" t="s">
        <v>632</v>
      </c>
      <c r="G72" s="149" t="s">
        <v>1418</v>
      </c>
      <c r="H72" s="149" t="s">
        <v>1448</v>
      </c>
      <c r="I72" s="147" t="s">
        <v>2802</v>
      </c>
      <c r="J72" s="149" t="s">
        <v>2803</v>
      </c>
      <c r="K72" s="149" t="s">
        <v>2804</v>
      </c>
      <c r="L72" s="147" t="s">
        <v>2805</v>
      </c>
      <c r="M72" s="149" t="s">
        <v>1513</v>
      </c>
      <c r="N72" s="149" t="s">
        <v>1540</v>
      </c>
      <c r="O72" s="147"/>
      <c r="P72" s="147" t="s">
        <v>2543</v>
      </c>
      <c r="Q72" s="147" t="s">
        <v>2543</v>
      </c>
      <c r="R72" s="147"/>
      <c r="S72" s="147" t="s">
        <v>2439</v>
      </c>
      <c r="T72" s="147" t="s">
        <v>2381</v>
      </c>
      <c r="U72" s="147" t="s">
        <v>2784</v>
      </c>
      <c r="V72" s="147"/>
      <c r="W72" s="147"/>
      <c r="X72" s="147"/>
      <c r="Y72" s="147" t="s">
        <v>2785</v>
      </c>
      <c r="Z72" s="146" t="str">
        <f>"RP-"&amp;Grackle_LED_Map[[#This Row],[Lamp Type]]&amp;"-"&amp;Grackle_LED_Map[[#This Row],[Lamp Length]]&amp;"FT-"&amp;Grackle_LED_Map[[#This Row],[number of led lamps in kit]]&amp;"L-8"&amp;LEFT(Grackle_LED_Map[[#This Row],[CCT]],2)&amp;"-E1-"&amp;Grackle_LED_Map[[#This Row],[Case]]&amp;"-G2"</f>
        <v>RP-T5-4FT-2L-840-E1-M-G2</v>
      </c>
      <c r="AA72" s="148" t="str">
        <f>"RP-"&amp;Grackle_LED_Map[[#This Row],[Lamp Type]]&amp;"-"&amp;Grackle_LED_Map[[#This Row],[Lamp Length]]&amp;"FT-"&amp;Grackle_LED_Map[[#This Row],[number of led lamps in kit]]&amp;"L-8"&amp;LEFT(Grackle_LED_Map[[#This Row],[CCT]],2)&amp;"-3W-"&amp;Grackle_LED_Map[[#This Row],[Case]]&amp;"-G2"</f>
        <v>RP-T5-4FT-2L-840-3W-M-G2</v>
      </c>
    </row>
    <row r="73" spans="1:27" x14ac:dyDescent="0.25">
      <c r="A73" s="145" t="s">
        <v>123</v>
      </c>
      <c r="B73" s="146">
        <v>4</v>
      </c>
      <c r="C73" s="146">
        <v>2</v>
      </c>
      <c r="D73" s="147">
        <v>5000</v>
      </c>
      <c r="E73" s="147">
        <v>4505</v>
      </c>
      <c r="F73" s="147" t="s">
        <v>632</v>
      </c>
      <c r="G73" s="147" t="s">
        <v>2806</v>
      </c>
      <c r="H73" s="147" t="s">
        <v>2807</v>
      </c>
      <c r="I73" s="147" t="s">
        <v>2808</v>
      </c>
      <c r="J73" s="147" t="s">
        <v>2809</v>
      </c>
      <c r="K73" s="147" t="s">
        <v>2810</v>
      </c>
      <c r="L73" s="147" t="s">
        <v>2811</v>
      </c>
      <c r="M73" s="147" t="s">
        <v>2125</v>
      </c>
      <c r="N73" s="147" t="s">
        <v>2125</v>
      </c>
      <c r="O73" s="147"/>
      <c r="P73" s="147"/>
      <c r="Q73" s="147"/>
      <c r="R73" s="147"/>
      <c r="S73" s="147" t="s">
        <v>2439</v>
      </c>
      <c r="T73" s="147" t="s">
        <v>2381</v>
      </c>
      <c r="U73" s="147" t="s">
        <v>2792</v>
      </c>
      <c r="V73" s="147"/>
      <c r="W73" s="147"/>
      <c r="X73" s="147"/>
      <c r="Y73" s="147" t="s">
        <v>2793</v>
      </c>
      <c r="Z73" s="146" t="str">
        <f>"RP-"&amp;Grackle_LED_Map[[#This Row],[Lamp Type]]&amp;"-"&amp;Grackle_LED_Map[[#This Row],[Lamp Length]]&amp;"FT-"&amp;Grackle_LED_Map[[#This Row],[number of led lamps in kit]]&amp;"L-8"&amp;LEFT(Grackle_LED_Map[[#This Row],[CCT]],2)&amp;"-E1-"&amp;Grackle_LED_Map[[#This Row],[Case]]&amp;"-G2"</f>
        <v>RP-T5-4FT-2L-850-E1-M-G2</v>
      </c>
      <c r="AA73" s="148" t="str">
        <f>"RP-"&amp;Grackle_LED_Map[[#This Row],[Lamp Type]]&amp;"-"&amp;Grackle_LED_Map[[#This Row],[Lamp Length]]&amp;"FT-"&amp;Grackle_LED_Map[[#This Row],[number of led lamps in kit]]&amp;"L-8"&amp;LEFT(Grackle_LED_Map[[#This Row],[CCT]],2)&amp;"-3W-"&amp;Grackle_LED_Map[[#This Row],[Case]]&amp;"-G2"</f>
        <v>RP-T5-4FT-2L-850-3W-M-G2</v>
      </c>
    </row>
    <row r="74" spans="1:27" x14ac:dyDescent="0.25">
      <c r="A74" s="147" t="s">
        <v>123</v>
      </c>
      <c r="B74" s="152">
        <v>4</v>
      </c>
      <c r="C74" s="152">
        <v>3</v>
      </c>
      <c r="D74" s="152">
        <v>3000</v>
      </c>
      <c r="E74" s="152"/>
      <c r="F74" s="152" t="s">
        <v>632</v>
      </c>
      <c r="G74" s="152" t="s">
        <v>2812</v>
      </c>
      <c r="H74" s="152" t="s">
        <v>2813</v>
      </c>
      <c r="I74" s="152" t="s">
        <v>2814</v>
      </c>
      <c r="J74" s="152" t="s">
        <v>2815</v>
      </c>
      <c r="K74" s="152" t="s">
        <v>2816</v>
      </c>
      <c r="L74" s="152" t="s">
        <v>2817</v>
      </c>
      <c r="M74" s="152"/>
      <c r="N74" s="152"/>
      <c r="O74" s="152"/>
      <c r="P74" s="152"/>
      <c r="Q74" s="152"/>
      <c r="R74" s="152"/>
      <c r="S74" s="152" t="s">
        <v>2520</v>
      </c>
      <c r="T74" s="152" t="s">
        <v>2381</v>
      </c>
      <c r="U74" s="152" t="s">
        <v>2772</v>
      </c>
      <c r="V74" s="152"/>
      <c r="W74" s="152"/>
      <c r="X74" s="152"/>
      <c r="Y74" s="152" t="s">
        <v>2773</v>
      </c>
      <c r="Z74" s="152" t="s">
        <v>2818</v>
      </c>
      <c r="AA74" s="152" t="s">
        <v>2819</v>
      </c>
    </row>
    <row r="75" spans="1:27" x14ac:dyDescent="0.25">
      <c r="A75" s="147" t="s">
        <v>123</v>
      </c>
      <c r="B75" s="152">
        <v>4</v>
      </c>
      <c r="C75" s="152">
        <v>3</v>
      </c>
      <c r="D75" s="152">
        <v>3500</v>
      </c>
      <c r="E75" s="152"/>
      <c r="F75" s="152" t="s">
        <v>632</v>
      </c>
      <c r="G75" s="152" t="s">
        <v>2820</v>
      </c>
      <c r="H75" s="152" t="s">
        <v>2821</v>
      </c>
      <c r="I75" s="152" t="s">
        <v>2822</v>
      </c>
      <c r="J75" s="152" t="s">
        <v>2823</v>
      </c>
      <c r="K75" s="152" t="s">
        <v>2824</v>
      </c>
      <c r="L75" s="152" t="s">
        <v>2825</v>
      </c>
      <c r="M75" s="152"/>
      <c r="N75" s="152"/>
      <c r="O75" s="152"/>
      <c r="P75" s="152"/>
      <c r="Q75" s="152"/>
      <c r="R75" s="152"/>
      <c r="S75" s="152" t="s">
        <v>2520</v>
      </c>
      <c r="T75" s="152" t="s">
        <v>2381</v>
      </c>
      <c r="U75" s="152" t="s">
        <v>2778</v>
      </c>
      <c r="V75" s="152"/>
      <c r="W75" s="152"/>
      <c r="X75" s="152"/>
      <c r="Y75" s="152" t="s">
        <v>2779</v>
      </c>
      <c r="Z75" s="152" t="s">
        <v>2826</v>
      </c>
      <c r="AA75" s="152" t="s">
        <v>2827</v>
      </c>
    </row>
    <row r="76" spans="1:27" x14ac:dyDescent="0.25">
      <c r="A76" s="147" t="s">
        <v>123</v>
      </c>
      <c r="B76" s="152">
        <v>4</v>
      </c>
      <c r="C76" s="152">
        <v>3</v>
      </c>
      <c r="D76" s="152">
        <v>4000</v>
      </c>
      <c r="E76" s="152"/>
      <c r="F76" s="152" t="s">
        <v>632</v>
      </c>
      <c r="G76" s="152" t="s">
        <v>2828</v>
      </c>
      <c r="H76" s="152" t="s">
        <v>2829</v>
      </c>
      <c r="I76" s="152" t="s">
        <v>2830</v>
      </c>
      <c r="J76" s="152" t="s">
        <v>2831</v>
      </c>
      <c r="K76" s="152" t="s">
        <v>2832</v>
      </c>
      <c r="L76" s="152" t="s">
        <v>2833</v>
      </c>
      <c r="M76" s="152"/>
      <c r="N76" s="152"/>
      <c r="O76" s="152"/>
      <c r="P76" s="152"/>
      <c r="Q76" s="152"/>
      <c r="R76" s="152"/>
      <c r="S76" s="152" t="s">
        <v>2520</v>
      </c>
      <c r="T76" s="152" t="s">
        <v>2381</v>
      </c>
      <c r="U76" s="152" t="s">
        <v>2784</v>
      </c>
      <c r="V76" s="152"/>
      <c r="W76" s="152"/>
      <c r="X76" s="152"/>
      <c r="Y76" s="152" t="s">
        <v>2785</v>
      </c>
      <c r="Z76" s="152" t="s">
        <v>2834</v>
      </c>
      <c r="AA76" s="152" t="s">
        <v>2835</v>
      </c>
    </row>
    <row r="77" spans="1:27" x14ac:dyDescent="0.25">
      <c r="A77" s="147" t="s">
        <v>123</v>
      </c>
      <c r="B77" s="152">
        <v>4</v>
      </c>
      <c r="C77" s="152">
        <v>3</v>
      </c>
      <c r="D77" s="152">
        <v>5000</v>
      </c>
      <c r="E77" s="152"/>
      <c r="F77" s="152" t="s">
        <v>632</v>
      </c>
      <c r="G77" s="152" t="s">
        <v>2836</v>
      </c>
      <c r="H77" s="152" t="s">
        <v>2837</v>
      </c>
      <c r="I77" s="152" t="s">
        <v>2838</v>
      </c>
      <c r="J77" s="152" t="s">
        <v>2839</v>
      </c>
      <c r="K77" s="152" t="s">
        <v>2840</v>
      </c>
      <c r="L77" s="152" t="s">
        <v>2841</v>
      </c>
      <c r="M77" s="152"/>
      <c r="N77" s="152"/>
      <c r="O77" s="152"/>
      <c r="P77" s="152"/>
      <c r="Q77" s="152"/>
      <c r="R77" s="152"/>
      <c r="S77" s="152" t="s">
        <v>2520</v>
      </c>
      <c r="T77" s="152" t="s">
        <v>2381</v>
      </c>
      <c r="U77" s="152" t="s">
        <v>2792</v>
      </c>
      <c r="V77" s="152"/>
      <c r="W77" s="152"/>
      <c r="X77" s="152"/>
      <c r="Y77" s="152" t="s">
        <v>2793</v>
      </c>
      <c r="Z77" s="152" t="s">
        <v>2842</v>
      </c>
      <c r="AA77" s="152" t="s">
        <v>2843</v>
      </c>
    </row>
    <row r="78" spans="1:27" x14ac:dyDescent="0.25">
      <c r="A78" s="145" t="s">
        <v>297</v>
      </c>
      <c r="B78" s="146">
        <v>2</v>
      </c>
      <c r="C78" s="146">
        <v>1</v>
      </c>
      <c r="D78" s="147">
        <v>3000</v>
      </c>
      <c r="E78" s="147">
        <v>1802</v>
      </c>
      <c r="F78" s="147" t="s">
        <v>632</v>
      </c>
      <c r="G78" s="147" t="s">
        <v>2844</v>
      </c>
      <c r="H78" s="147" t="s">
        <v>2845</v>
      </c>
      <c r="I78" s="147" t="s">
        <v>2846</v>
      </c>
      <c r="J78" s="147" t="s">
        <v>2847</v>
      </c>
      <c r="K78" s="147" t="s">
        <v>2848</v>
      </c>
      <c r="L78" s="147" t="s">
        <v>2849</v>
      </c>
      <c r="M78" s="147" t="s">
        <v>2125</v>
      </c>
      <c r="N78" s="147" t="s">
        <v>2125</v>
      </c>
      <c r="O78" s="147"/>
      <c r="P78" s="147"/>
      <c r="Q78" s="147"/>
      <c r="R78" s="147"/>
      <c r="S78" s="147" t="s">
        <v>2414</v>
      </c>
      <c r="T78" s="147" t="s">
        <v>2381</v>
      </c>
      <c r="U78" s="147" t="s">
        <v>2614</v>
      </c>
      <c r="V78" s="147"/>
      <c r="W78" s="147"/>
      <c r="X78" s="147"/>
      <c r="Y78" s="147" t="s">
        <v>2615</v>
      </c>
      <c r="Z78" s="146" t="str">
        <f>"RP-"&amp;Grackle_LED_Map[[#This Row],[Lamp Type]]&amp;"-"&amp;Grackle_LED_Map[[#This Row],[Lamp Length]]&amp;"FT-"&amp;Grackle_LED_Map[[#This Row],[number of led lamps in kit]]&amp;"L-8"&amp;LEFT(Grackle_LED_Map[[#This Row],[CCT]],2)&amp;"-E1-"&amp;Grackle_LED_Map[[#This Row],[Case]]&amp;"-G2"</f>
        <v>RP-T5HO-2FT-1L-830-E1-M-G2</v>
      </c>
      <c r="AA78" s="148" t="str">
        <f>"RP-"&amp;Grackle_LED_Map[[#This Row],[Lamp Type]]&amp;"-"&amp;Grackle_LED_Map[[#This Row],[Lamp Length]]&amp;"FT-"&amp;Grackle_LED_Map[[#This Row],[number of led lamps in kit]]&amp;"L-8"&amp;LEFT(Grackle_LED_Map[[#This Row],[CCT]],2)&amp;"-3W-"&amp;Grackle_LED_Map[[#This Row],[Case]]&amp;"-G2"</f>
        <v>RP-T5HO-2FT-1L-830-3W-M-G2</v>
      </c>
    </row>
    <row r="79" spans="1:27" x14ac:dyDescent="0.25">
      <c r="A79" s="145" t="s">
        <v>297</v>
      </c>
      <c r="B79" s="146">
        <v>2</v>
      </c>
      <c r="C79" s="146">
        <v>1</v>
      </c>
      <c r="D79" s="147">
        <v>3500</v>
      </c>
      <c r="E79" s="147">
        <v>1802</v>
      </c>
      <c r="F79" s="147" t="s">
        <v>632</v>
      </c>
      <c r="G79" s="147" t="s">
        <v>2850</v>
      </c>
      <c r="H79" s="147" t="s">
        <v>2851</v>
      </c>
      <c r="I79" s="147" t="s">
        <v>2852</v>
      </c>
      <c r="J79" s="147" t="s">
        <v>2853</v>
      </c>
      <c r="K79" s="147" t="s">
        <v>2854</v>
      </c>
      <c r="L79" s="147" t="s">
        <v>2855</v>
      </c>
      <c r="M79" s="147" t="s">
        <v>2125</v>
      </c>
      <c r="N79" s="147" t="s">
        <v>2125</v>
      </c>
      <c r="O79" s="147"/>
      <c r="P79" s="147"/>
      <c r="Q79" s="147"/>
      <c r="R79" s="147"/>
      <c r="S79" s="147" t="s">
        <v>2414</v>
      </c>
      <c r="T79" s="147" t="s">
        <v>2381</v>
      </c>
      <c r="U79" s="147" t="s">
        <v>2622</v>
      </c>
      <c r="V79" s="147"/>
      <c r="W79" s="147"/>
      <c r="X79" s="147"/>
      <c r="Y79" s="147" t="s">
        <v>2623</v>
      </c>
      <c r="Z79" s="146" t="str">
        <f>"RP-"&amp;Grackle_LED_Map[[#This Row],[Lamp Type]]&amp;"-"&amp;Grackle_LED_Map[[#This Row],[Lamp Length]]&amp;"FT-"&amp;Grackle_LED_Map[[#This Row],[number of led lamps in kit]]&amp;"L-8"&amp;LEFT(Grackle_LED_Map[[#This Row],[CCT]],2)&amp;"-E1-"&amp;Grackle_LED_Map[[#This Row],[Case]]&amp;"-G2"</f>
        <v>RP-T5HO-2FT-1L-835-E1-M-G2</v>
      </c>
      <c r="AA79" s="148" t="str">
        <f>"RP-"&amp;Grackle_LED_Map[[#This Row],[Lamp Type]]&amp;"-"&amp;Grackle_LED_Map[[#This Row],[Lamp Length]]&amp;"FT-"&amp;Grackle_LED_Map[[#This Row],[number of led lamps in kit]]&amp;"L-8"&amp;LEFT(Grackle_LED_Map[[#This Row],[CCT]],2)&amp;"-3W-"&amp;Grackle_LED_Map[[#This Row],[Case]]&amp;"-G2"</f>
        <v>RP-T5HO-2FT-1L-835-3W-M-G2</v>
      </c>
    </row>
    <row r="80" spans="1:27" x14ac:dyDescent="0.25">
      <c r="A80" s="145" t="s">
        <v>297</v>
      </c>
      <c r="B80" s="146">
        <v>2</v>
      </c>
      <c r="C80" s="146">
        <v>1</v>
      </c>
      <c r="D80" s="147">
        <v>4000</v>
      </c>
      <c r="E80" s="147">
        <v>1802</v>
      </c>
      <c r="F80" s="147" t="s">
        <v>632</v>
      </c>
      <c r="G80" s="147" t="s">
        <v>2856</v>
      </c>
      <c r="H80" s="147" t="s">
        <v>2857</v>
      </c>
      <c r="I80" s="147" t="s">
        <v>2858</v>
      </c>
      <c r="J80" s="147" t="s">
        <v>2859</v>
      </c>
      <c r="K80" s="147" t="s">
        <v>2860</v>
      </c>
      <c r="L80" s="147" t="s">
        <v>2861</v>
      </c>
      <c r="M80" s="147" t="s">
        <v>2125</v>
      </c>
      <c r="N80" s="147" t="s">
        <v>2125</v>
      </c>
      <c r="O80" s="147"/>
      <c r="P80" s="147"/>
      <c r="Q80" s="147"/>
      <c r="R80" s="147"/>
      <c r="S80" s="147" t="s">
        <v>2414</v>
      </c>
      <c r="T80" s="147" t="s">
        <v>2381</v>
      </c>
      <c r="U80" s="147" t="s">
        <v>2630</v>
      </c>
      <c r="V80" s="147"/>
      <c r="W80" s="147"/>
      <c r="X80" s="147"/>
      <c r="Y80" s="147" t="s">
        <v>2631</v>
      </c>
      <c r="Z80" s="146" t="str">
        <f>"RP-"&amp;Grackle_LED_Map[[#This Row],[Lamp Type]]&amp;"-"&amp;Grackle_LED_Map[[#This Row],[Lamp Length]]&amp;"FT-"&amp;Grackle_LED_Map[[#This Row],[number of led lamps in kit]]&amp;"L-8"&amp;LEFT(Grackle_LED_Map[[#This Row],[CCT]],2)&amp;"-E1-"&amp;Grackle_LED_Map[[#This Row],[Case]]&amp;"-G2"</f>
        <v>RP-T5HO-2FT-1L-840-E1-M-G2</v>
      </c>
      <c r="AA80" s="148" t="str">
        <f>"RP-"&amp;Grackle_LED_Map[[#This Row],[Lamp Type]]&amp;"-"&amp;Grackle_LED_Map[[#This Row],[Lamp Length]]&amp;"FT-"&amp;Grackle_LED_Map[[#This Row],[number of led lamps in kit]]&amp;"L-8"&amp;LEFT(Grackle_LED_Map[[#This Row],[CCT]],2)&amp;"-3W-"&amp;Grackle_LED_Map[[#This Row],[Case]]&amp;"-G2"</f>
        <v>RP-T5HO-2FT-1L-840-3W-M-G2</v>
      </c>
    </row>
    <row r="81" spans="1:27" x14ac:dyDescent="0.25">
      <c r="A81" s="145" t="s">
        <v>297</v>
      </c>
      <c r="B81" s="146">
        <v>2</v>
      </c>
      <c r="C81" s="146">
        <v>1</v>
      </c>
      <c r="D81" s="147">
        <v>5000</v>
      </c>
      <c r="E81" s="147">
        <v>1802</v>
      </c>
      <c r="F81" s="147" t="s">
        <v>632</v>
      </c>
      <c r="G81" s="147" t="s">
        <v>2862</v>
      </c>
      <c r="H81" s="147" t="s">
        <v>2863</v>
      </c>
      <c r="I81" s="147" t="s">
        <v>2864</v>
      </c>
      <c r="J81" s="147" t="s">
        <v>2865</v>
      </c>
      <c r="K81" s="147" t="s">
        <v>2866</v>
      </c>
      <c r="L81" s="147" t="s">
        <v>2867</v>
      </c>
      <c r="M81" s="147" t="s">
        <v>2125</v>
      </c>
      <c r="N81" s="147" t="s">
        <v>2125</v>
      </c>
      <c r="O81" s="147"/>
      <c r="P81" s="147"/>
      <c r="Q81" s="147"/>
      <c r="R81" s="147"/>
      <c r="S81" s="147" t="s">
        <v>2414</v>
      </c>
      <c r="T81" s="147" t="s">
        <v>2381</v>
      </c>
      <c r="U81" s="147" t="s">
        <v>2638</v>
      </c>
      <c r="V81" s="147"/>
      <c r="W81" s="147"/>
      <c r="X81" s="147"/>
      <c r="Y81" s="147" t="s">
        <v>2639</v>
      </c>
      <c r="Z81" s="146" t="str">
        <f>"RP-"&amp;Grackle_LED_Map[[#This Row],[Lamp Type]]&amp;"-"&amp;Grackle_LED_Map[[#This Row],[Lamp Length]]&amp;"FT-"&amp;Grackle_LED_Map[[#This Row],[number of led lamps in kit]]&amp;"L-8"&amp;LEFT(Grackle_LED_Map[[#This Row],[CCT]],2)&amp;"-E1-"&amp;Grackle_LED_Map[[#This Row],[Case]]&amp;"-G2"</f>
        <v>RP-T5HO-2FT-1L-850-E1-M-G2</v>
      </c>
      <c r="AA81" s="148" t="str">
        <f>"RP-"&amp;Grackle_LED_Map[[#This Row],[Lamp Type]]&amp;"-"&amp;Grackle_LED_Map[[#This Row],[Lamp Length]]&amp;"FT-"&amp;Grackle_LED_Map[[#This Row],[number of led lamps in kit]]&amp;"L-8"&amp;LEFT(Grackle_LED_Map[[#This Row],[CCT]],2)&amp;"-3W-"&amp;Grackle_LED_Map[[#This Row],[Case]]&amp;"-G2"</f>
        <v>RP-T5HO-2FT-1L-850-3W-M-G2</v>
      </c>
    </row>
    <row r="82" spans="1:27" x14ac:dyDescent="0.25">
      <c r="A82" s="145" t="s">
        <v>297</v>
      </c>
      <c r="B82" s="146">
        <v>2</v>
      </c>
      <c r="C82" s="146">
        <v>2</v>
      </c>
      <c r="D82" s="147">
        <v>3000</v>
      </c>
      <c r="E82" s="147">
        <v>3539</v>
      </c>
      <c r="F82" s="147" t="s">
        <v>632</v>
      </c>
      <c r="G82" s="147" t="s">
        <v>2868</v>
      </c>
      <c r="H82" s="147" t="s">
        <v>2869</v>
      </c>
      <c r="I82" s="147" t="s">
        <v>2870</v>
      </c>
      <c r="J82" s="147" t="s">
        <v>2871</v>
      </c>
      <c r="K82" s="147" t="s">
        <v>2872</v>
      </c>
      <c r="L82" s="147" t="s">
        <v>2873</v>
      </c>
      <c r="M82" s="147" t="s">
        <v>2125</v>
      </c>
      <c r="N82" s="147" t="s">
        <v>2125</v>
      </c>
      <c r="O82" s="147"/>
      <c r="P82" s="147"/>
      <c r="Q82" s="147"/>
      <c r="R82" s="147"/>
      <c r="S82" s="147" t="s">
        <v>2439</v>
      </c>
      <c r="T82" s="147" t="s">
        <v>2381</v>
      </c>
      <c r="U82" s="147" t="s">
        <v>2614</v>
      </c>
      <c r="V82" s="147"/>
      <c r="W82" s="147"/>
      <c r="X82" s="147"/>
      <c r="Y82" s="147" t="s">
        <v>2615</v>
      </c>
      <c r="Z82" s="146" t="str">
        <f>"RP-"&amp;Grackle_LED_Map[[#This Row],[Lamp Type]]&amp;"-"&amp;Grackle_LED_Map[[#This Row],[Lamp Length]]&amp;"FT-"&amp;Grackle_LED_Map[[#This Row],[number of led lamps in kit]]&amp;"L-8"&amp;LEFT(Grackle_LED_Map[[#This Row],[CCT]],2)&amp;"-E1-"&amp;Grackle_LED_Map[[#This Row],[Case]]&amp;"-G2"</f>
        <v>RP-T5HO-2FT-2L-830-E1-M-G2</v>
      </c>
      <c r="AA82" s="148" t="str">
        <f>"RP-"&amp;Grackle_LED_Map[[#This Row],[Lamp Type]]&amp;"-"&amp;Grackle_LED_Map[[#This Row],[Lamp Length]]&amp;"FT-"&amp;Grackle_LED_Map[[#This Row],[number of led lamps in kit]]&amp;"L-8"&amp;LEFT(Grackle_LED_Map[[#This Row],[CCT]],2)&amp;"-3W-"&amp;Grackle_LED_Map[[#This Row],[Case]]&amp;"-G2"</f>
        <v>RP-T5HO-2FT-2L-830-3W-M-G2</v>
      </c>
    </row>
    <row r="83" spans="1:27" x14ac:dyDescent="0.25">
      <c r="A83" s="145" t="s">
        <v>297</v>
      </c>
      <c r="B83" s="146">
        <v>2</v>
      </c>
      <c r="C83" s="146">
        <v>2</v>
      </c>
      <c r="D83" s="147">
        <v>3500</v>
      </c>
      <c r="E83" s="147">
        <v>3539</v>
      </c>
      <c r="F83" s="147" t="s">
        <v>632</v>
      </c>
      <c r="G83" s="147" t="s">
        <v>2874</v>
      </c>
      <c r="H83" s="147" t="s">
        <v>2875</v>
      </c>
      <c r="I83" s="147" t="s">
        <v>2876</v>
      </c>
      <c r="J83" s="147" t="s">
        <v>2877</v>
      </c>
      <c r="K83" s="147" t="s">
        <v>2878</v>
      </c>
      <c r="L83" s="147" t="s">
        <v>2879</v>
      </c>
      <c r="M83" s="147" t="s">
        <v>2125</v>
      </c>
      <c r="N83" s="147" t="s">
        <v>2125</v>
      </c>
      <c r="O83" s="147"/>
      <c r="P83" s="147"/>
      <c r="Q83" s="147"/>
      <c r="R83" s="147"/>
      <c r="S83" s="147" t="s">
        <v>2439</v>
      </c>
      <c r="T83" s="147" t="s">
        <v>2381</v>
      </c>
      <c r="U83" s="147" t="s">
        <v>2622</v>
      </c>
      <c r="V83" s="147"/>
      <c r="W83" s="147"/>
      <c r="X83" s="147"/>
      <c r="Y83" s="147" t="s">
        <v>2623</v>
      </c>
      <c r="Z83" s="146" t="str">
        <f>"RP-"&amp;Grackle_LED_Map[[#This Row],[Lamp Type]]&amp;"-"&amp;Grackle_LED_Map[[#This Row],[Lamp Length]]&amp;"FT-"&amp;Grackle_LED_Map[[#This Row],[number of led lamps in kit]]&amp;"L-8"&amp;LEFT(Grackle_LED_Map[[#This Row],[CCT]],2)&amp;"-E1-"&amp;Grackle_LED_Map[[#This Row],[Case]]&amp;"-G2"</f>
        <v>RP-T5HO-2FT-2L-835-E1-M-G2</v>
      </c>
      <c r="AA83" s="148" t="str">
        <f>"RP-"&amp;Grackle_LED_Map[[#This Row],[Lamp Type]]&amp;"-"&amp;Grackle_LED_Map[[#This Row],[Lamp Length]]&amp;"FT-"&amp;Grackle_LED_Map[[#This Row],[number of led lamps in kit]]&amp;"L-8"&amp;LEFT(Grackle_LED_Map[[#This Row],[CCT]],2)&amp;"-3W-"&amp;Grackle_LED_Map[[#This Row],[Case]]&amp;"-G2"</f>
        <v>RP-T5HO-2FT-2L-835-3W-M-G2</v>
      </c>
    </row>
    <row r="84" spans="1:27" x14ac:dyDescent="0.25">
      <c r="A84" s="145" t="s">
        <v>297</v>
      </c>
      <c r="B84" s="146">
        <v>2</v>
      </c>
      <c r="C84" s="146">
        <v>2</v>
      </c>
      <c r="D84" s="147">
        <v>4000</v>
      </c>
      <c r="E84" s="147">
        <v>3539</v>
      </c>
      <c r="F84" s="147" t="s">
        <v>632</v>
      </c>
      <c r="G84" s="147" t="s">
        <v>2880</v>
      </c>
      <c r="H84" s="147" t="s">
        <v>2881</v>
      </c>
      <c r="I84" s="147" t="s">
        <v>2882</v>
      </c>
      <c r="J84" s="147" t="s">
        <v>2883</v>
      </c>
      <c r="K84" s="147" t="s">
        <v>2884</v>
      </c>
      <c r="L84" s="147" t="s">
        <v>2885</v>
      </c>
      <c r="M84" s="147" t="s">
        <v>2125</v>
      </c>
      <c r="N84" s="147" t="s">
        <v>2125</v>
      </c>
      <c r="O84" s="147"/>
      <c r="P84" s="147"/>
      <c r="Q84" s="147"/>
      <c r="R84" s="147"/>
      <c r="S84" s="147" t="s">
        <v>2439</v>
      </c>
      <c r="T84" s="147" t="s">
        <v>2381</v>
      </c>
      <c r="U84" s="147" t="s">
        <v>2630</v>
      </c>
      <c r="V84" s="147"/>
      <c r="W84" s="147"/>
      <c r="X84" s="147"/>
      <c r="Y84" s="147" t="s">
        <v>2631</v>
      </c>
      <c r="Z84" s="146" t="str">
        <f>"RP-"&amp;Grackle_LED_Map[[#This Row],[Lamp Type]]&amp;"-"&amp;Grackle_LED_Map[[#This Row],[Lamp Length]]&amp;"FT-"&amp;Grackle_LED_Map[[#This Row],[number of led lamps in kit]]&amp;"L-8"&amp;LEFT(Grackle_LED_Map[[#This Row],[CCT]],2)&amp;"-E1-"&amp;Grackle_LED_Map[[#This Row],[Case]]&amp;"-G2"</f>
        <v>RP-T5HO-2FT-2L-840-E1-M-G2</v>
      </c>
      <c r="AA84" s="148" t="str">
        <f>"RP-"&amp;Grackle_LED_Map[[#This Row],[Lamp Type]]&amp;"-"&amp;Grackle_LED_Map[[#This Row],[Lamp Length]]&amp;"FT-"&amp;Grackle_LED_Map[[#This Row],[number of led lamps in kit]]&amp;"L-8"&amp;LEFT(Grackle_LED_Map[[#This Row],[CCT]],2)&amp;"-3W-"&amp;Grackle_LED_Map[[#This Row],[Case]]&amp;"-G2"</f>
        <v>RP-T5HO-2FT-2L-840-3W-M-G2</v>
      </c>
    </row>
    <row r="85" spans="1:27" x14ac:dyDescent="0.25">
      <c r="A85" s="145" t="s">
        <v>297</v>
      </c>
      <c r="B85" s="146">
        <v>2</v>
      </c>
      <c r="C85" s="146">
        <v>2</v>
      </c>
      <c r="D85" s="147">
        <v>5000</v>
      </c>
      <c r="E85" s="147">
        <v>3539</v>
      </c>
      <c r="F85" s="147" t="s">
        <v>632</v>
      </c>
      <c r="G85" s="147" t="s">
        <v>2886</v>
      </c>
      <c r="H85" s="147" t="s">
        <v>2887</v>
      </c>
      <c r="I85" s="147" t="s">
        <v>2888</v>
      </c>
      <c r="J85" s="147" t="s">
        <v>2889</v>
      </c>
      <c r="K85" s="147" t="s">
        <v>2890</v>
      </c>
      <c r="L85" s="147" t="s">
        <v>2891</v>
      </c>
      <c r="M85" s="147" t="s">
        <v>2125</v>
      </c>
      <c r="N85" s="147" t="s">
        <v>2125</v>
      </c>
      <c r="O85" s="147"/>
      <c r="P85" s="147"/>
      <c r="Q85" s="147"/>
      <c r="R85" s="147"/>
      <c r="S85" s="147" t="s">
        <v>2439</v>
      </c>
      <c r="T85" s="147" t="s">
        <v>2381</v>
      </c>
      <c r="U85" s="147" t="s">
        <v>2638</v>
      </c>
      <c r="V85" s="147"/>
      <c r="W85" s="147"/>
      <c r="X85" s="147"/>
      <c r="Y85" s="147" t="s">
        <v>2639</v>
      </c>
      <c r="Z85" s="146" t="str">
        <f>"RP-"&amp;Grackle_LED_Map[[#This Row],[Lamp Type]]&amp;"-"&amp;Grackle_LED_Map[[#This Row],[Lamp Length]]&amp;"FT-"&amp;Grackle_LED_Map[[#This Row],[number of led lamps in kit]]&amp;"L-8"&amp;LEFT(Grackle_LED_Map[[#This Row],[CCT]],2)&amp;"-E1-"&amp;Grackle_LED_Map[[#This Row],[Case]]&amp;"-G2"</f>
        <v>RP-T5HO-2FT-2L-850-E1-M-G2</v>
      </c>
      <c r="AA85" s="148" t="str">
        <f>"RP-"&amp;Grackle_LED_Map[[#This Row],[Lamp Type]]&amp;"-"&amp;Grackle_LED_Map[[#This Row],[Lamp Length]]&amp;"FT-"&amp;Grackle_LED_Map[[#This Row],[number of led lamps in kit]]&amp;"L-8"&amp;LEFT(Grackle_LED_Map[[#This Row],[CCT]],2)&amp;"-3W-"&amp;Grackle_LED_Map[[#This Row],[Case]]&amp;"-G2"</f>
        <v>RP-T5HO-2FT-2L-850-3W-M-G2</v>
      </c>
    </row>
    <row r="86" spans="1:27" x14ac:dyDescent="0.25">
      <c r="A86" s="145" t="s">
        <v>297</v>
      </c>
      <c r="B86" s="146">
        <v>2</v>
      </c>
      <c r="C86" s="146">
        <v>3</v>
      </c>
      <c r="D86" s="147">
        <v>3000</v>
      </c>
      <c r="E86" s="147">
        <v>5405</v>
      </c>
      <c r="F86" s="147" t="s">
        <v>632</v>
      </c>
      <c r="G86" s="147" t="s">
        <v>2892</v>
      </c>
      <c r="H86" s="147" t="s">
        <v>2893</v>
      </c>
      <c r="I86" s="147" t="s">
        <v>2894</v>
      </c>
      <c r="J86" s="147" t="s">
        <v>2895</v>
      </c>
      <c r="K86" s="147" t="s">
        <v>2896</v>
      </c>
      <c r="L86" s="147" t="s">
        <v>2897</v>
      </c>
      <c r="M86" s="147" t="s">
        <v>2125</v>
      </c>
      <c r="N86" s="147" t="s">
        <v>2125</v>
      </c>
      <c r="O86" s="147"/>
      <c r="P86" s="147"/>
      <c r="Q86" s="147"/>
      <c r="R86" s="147"/>
      <c r="S86" s="146" t="s">
        <v>2520</v>
      </c>
      <c r="T86" s="147" t="s">
        <v>2381</v>
      </c>
      <c r="U86" s="147" t="s">
        <v>2614</v>
      </c>
      <c r="V86" s="147"/>
      <c r="W86" s="147"/>
      <c r="X86" s="147"/>
      <c r="Y86" s="147" t="s">
        <v>2615</v>
      </c>
      <c r="Z86" s="146" t="str">
        <f>"RP-"&amp;Grackle_LED_Map[[#This Row],[Lamp Type]]&amp;"-"&amp;Grackle_LED_Map[[#This Row],[Lamp Length]]&amp;"FT-"&amp;Grackle_LED_Map[[#This Row],[number of led lamps in kit]]&amp;"L-8"&amp;LEFT(Grackle_LED_Map[[#This Row],[CCT]],2)&amp;"-E1-"&amp;Grackle_LED_Map[[#This Row],[Case]]&amp;"-G2"</f>
        <v>RP-T5HO-2FT-3L-830-E1-M-G2</v>
      </c>
      <c r="AA86" s="148" t="str">
        <f>"RP-"&amp;Grackle_LED_Map[[#This Row],[Lamp Type]]&amp;"-"&amp;Grackle_LED_Map[[#This Row],[Lamp Length]]&amp;"FT-"&amp;Grackle_LED_Map[[#This Row],[number of led lamps in kit]]&amp;"L-8"&amp;LEFT(Grackle_LED_Map[[#This Row],[CCT]],2)&amp;"-3W-"&amp;Grackle_LED_Map[[#This Row],[Case]]&amp;"-G2"</f>
        <v>RP-T5HO-2FT-3L-830-3W-M-G2</v>
      </c>
    </row>
    <row r="87" spans="1:27" x14ac:dyDescent="0.25">
      <c r="A87" s="145" t="s">
        <v>297</v>
      </c>
      <c r="B87" s="146">
        <v>2</v>
      </c>
      <c r="C87" s="146">
        <v>3</v>
      </c>
      <c r="D87" s="147">
        <v>3500</v>
      </c>
      <c r="E87" s="147">
        <v>5405</v>
      </c>
      <c r="F87" s="147" t="s">
        <v>632</v>
      </c>
      <c r="G87" s="147" t="s">
        <v>2898</v>
      </c>
      <c r="H87" s="147" t="s">
        <v>2899</v>
      </c>
      <c r="I87" s="147" t="s">
        <v>2900</v>
      </c>
      <c r="J87" s="147" t="s">
        <v>2901</v>
      </c>
      <c r="K87" s="147" t="s">
        <v>2902</v>
      </c>
      <c r="L87" s="147" t="s">
        <v>2903</v>
      </c>
      <c r="M87" s="147" t="s">
        <v>2125</v>
      </c>
      <c r="N87" s="147" t="s">
        <v>2125</v>
      </c>
      <c r="O87" s="147"/>
      <c r="P87" s="147"/>
      <c r="Q87" s="147"/>
      <c r="R87" s="147"/>
      <c r="S87" s="146" t="s">
        <v>2520</v>
      </c>
      <c r="T87" s="147" t="s">
        <v>2381</v>
      </c>
      <c r="U87" s="147" t="s">
        <v>2622</v>
      </c>
      <c r="V87" s="147"/>
      <c r="W87" s="147"/>
      <c r="X87" s="147"/>
      <c r="Y87" s="147" t="s">
        <v>2623</v>
      </c>
      <c r="Z87" s="146" t="str">
        <f>"RP-"&amp;Grackle_LED_Map[[#This Row],[Lamp Type]]&amp;"-"&amp;Grackle_LED_Map[[#This Row],[Lamp Length]]&amp;"FT-"&amp;Grackle_LED_Map[[#This Row],[number of led lamps in kit]]&amp;"L-8"&amp;LEFT(Grackle_LED_Map[[#This Row],[CCT]],2)&amp;"-E1-"&amp;Grackle_LED_Map[[#This Row],[Case]]&amp;"-G2"</f>
        <v>RP-T5HO-2FT-3L-835-E1-M-G2</v>
      </c>
      <c r="AA87" s="148" t="str">
        <f>"RP-"&amp;Grackle_LED_Map[[#This Row],[Lamp Type]]&amp;"-"&amp;Grackle_LED_Map[[#This Row],[Lamp Length]]&amp;"FT-"&amp;Grackle_LED_Map[[#This Row],[number of led lamps in kit]]&amp;"L-8"&amp;LEFT(Grackle_LED_Map[[#This Row],[CCT]],2)&amp;"-3W-"&amp;Grackle_LED_Map[[#This Row],[Case]]&amp;"-G2"</f>
        <v>RP-T5HO-2FT-3L-835-3W-M-G2</v>
      </c>
    </row>
    <row r="88" spans="1:27" x14ac:dyDescent="0.25">
      <c r="A88" s="145" t="s">
        <v>297</v>
      </c>
      <c r="B88" s="146">
        <v>2</v>
      </c>
      <c r="C88" s="146">
        <v>3</v>
      </c>
      <c r="D88" s="147">
        <v>4000</v>
      </c>
      <c r="E88" s="147">
        <v>5405</v>
      </c>
      <c r="F88" s="147" t="s">
        <v>632</v>
      </c>
      <c r="G88" s="147" t="s">
        <v>2904</v>
      </c>
      <c r="H88" s="147" t="s">
        <v>2905</v>
      </c>
      <c r="I88" s="147" t="s">
        <v>2906</v>
      </c>
      <c r="J88" s="147" t="s">
        <v>2907</v>
      </c>
      <c r="K88" s="147" t="s">
        <v>2908</v>
      </c>
      <c r="L88" s="147" t="s">
        <v>2909</v>
      </c>
      <c r="M88" s="147" t="s">
        <v>2125</v>
      </c>
      <c r="N88" s="147" t="s">
        <v>2125</v>
      </c>
      <c r="O88" s="147"/>
      <c r="P88" s="147"/>
      <c r="Q88" s="147"/>
      <c r="R88" s="147"/>
      <c r="S88" s="146" t="s">
        <v>2520</v>
      </c>
      <c r="T88" s="147" t="s">
        <v>2381</v>
      </c>
      <c r="U88" s="147" t="s">
        <v>2630</v>
      </c>
      <c r="V88" s="147"/>
      <c r="W88" s="147"/>
      <c r="X88" s="147"/>
      <c r="Y88" s="147" t="s">
        <v>2631</v>
      </c>
      <c r="Z88" s="146" t="str">
        <f>"RP-"&amp;Grackle_LED_Map[[#This Row],[Lamp Type]]&amp;"-"&amp;Grackle_LED_Map[[#This Row],[Lamp Length]]&amp;"FT-"&amp;Grackle_LED_Map[[#This Row],[number of led lamps in kit]]&amp;"L-8"&amp;LEFT(Grackle_LED_Map[[#This Row],[CCT]],2)&amp;"-E1-"&amp;Grackle_LED_Map[[#This Row],[Case]]&amp;"-G2"</f>
        <v>RP-T5HO-2FT-3L-840-E1-M-G2</v>
      </c>
      <c r="AA88" s="148" t="str">
        <f>"RP-"&amp;Grackle_LED_Map[[#This Row],[Lamp Type]]&amp;"-"&amp;Grackle_LED_Map[[#This Row],[Lamp Length]]&amp;"FT-"&amp;Grackle_LED_Map[[#This Row],[number of led lamps in kit]]&amp;"L-8"&amp;LEFT(Grackle_LED_Map[[#This Row],[CCT]],2)&amp;"-3W-"&amp;Grackle_LED_Map[[#This Row],[Case]]&amp;"-G2"</f>
        <v>RP-T5HO-2FT-3L-840-3W-M-G2</v>
      </c>
    </row>
    <row r="89" spans="1:27" x14ac:dyDescent="0.25">
      <c r="A89" s="145" t="s">
        <v>297</v>
      </c>
      <c r="B89" s="146">
        <v>2</v>
      </c>
      <c r="C89" s="146">
        <v>3</v>
      </c>
      <c r="D89" s="147">
        <v>5000</v>
      </c>
      <c r="E89" s="147">
        <v>5405</v>
      </c>
      <c r="F89" s="147" t="s">
        <v>632</v>
      </c>
      <c r="G89" s="147" t="s">
        <v>2910</v>
      </c>
      <c r="H89" s="147" t="s">
        <v>2911</v>
      </c>
      <c r="I89" s="147" t="s">
        <v>2912</v>
      </c>
      <c r="J89" s="147" t="s">
        <v>2913</v>
      </c>
      <c r="K89" s="147" t="s">
        <v>2914</v>
      </c>
      <c r="L89" s="147" t="s">
        <v>2915</v>
      </c>
      <c r="M89" s="147" t="s">
        <v>2125</v>
      </c>
      <c r="N89" s="147" t="s">
        <v>2125</v>
      </c>
      <c r="O89" s="147"/>
      <c r="P89" s="147"/>
      <c r="Q89" s="147"/>
      <c r="R89" s="147"/>
      <c r="S89" s="146" t="s">
        <v>2520</v>
      </c>
      <c r="T89" s="147" t="s">
        <v>2381</v>
      </c>
      <c r="U89" s="147" t="s">
        <v>2638</v>
      </c>
      <c r="V89" s="147"/>
      <c r="W89" s="147"/>
      <c r="X89" s="147"/>
      <c r="Y89" s="147" t="s">
        <v>2639</v>
      </c>
      <c r="Z89" s="146" t="str">
        <f>"RP-"&amp;Grackle_LED_Map[[#This Row],[Lamp Type]]&amp;"-"&amp;Grackle_LED_Map[[#This Row],[Lamp Length]]&amp;"FT-"&amp;Grackle_LED_Map[[#This Row],[number of led lamps in kit]]&amp;"L-8"&amp;LEFT(Grackle_LED_Map[[#This Row],[CCT]],2)&amp;"-E1-"&amp;Grackle_LED_Map[[#This Row],[Case]]&amp;"-G2"</f>
        <v>RP-T5HO-2FT-3L-850-E1-M-G2</v>
      </c>
      <c r="AA89" s="148" t="str">
        <f>"RP-"&amp;Grackle_LED_Map[[#This Row],[Lamp Type]]&amp;"-"&amp;Grackle_LED_Map[[#This Row],[Lamp Length]]&amp;"FT-"&amp;Grackle_LED_Map[[#This Row],[number of led lamps in kit]]&amp;"L-8"&amp;LEFT(Grackle_LED_Map[[#This Row],[CCT]],2)&amp;"-3W-"&amp;Grackle_LED_Map[[#This Row],[Case]]&amp;"-G2"</f>
        <v>RP-T5HO-2FT-3L-850-3W-M-G2</v>
      </c>
    </row>
    <row r="90" spans="1:27" x14ac:dyDescent="0.25">
      <c r="A90" s="145" t="s">
        <v>297</v>
      </c>
      <c r="B90" s="146">
        <v>3</v>
      </c>
      <c r="C90" s="146">
        <v>1</v>
      </c>
      <c r="D90" s="147">
        <v>3000</v>
      </c>
      <c r="E90" s="147"/>
      <c r="F90" s="147" t="s">
        <v>632</v>
      </c>
      <c r="G90" s="147" t="s">
        <v>2916</v>
      </c>
      <c r="H90" s="147" t="s">
        <v>2917</v>
      </c>
      <c r="I90" s="147" t="s">
        <v>2918</v>
      </c>
      <c r="J90" s="147" t="s">
        <v>2919</v>
      </c>
      <c r="K90" s="147" t="s">
        <v>2920</v>
      </c>
      <c r="L90" s="147" t="s">
        <v>2921</v>
      </c>
      <c r="M90" s="147" t="s">
        <v>2125</v>
      </c>
      <c r="N90" s="147" t="s">
        <v>2125</v>
      </c>
      <c r="O90" s="147"/>
      <c r="P90" s="147"/>
      <c r="Q90" s="147"/>
      <c r="R90" s="147"/>
      <c r="S90" s="147" t="s">
        <v>2414</v>
      </c>
      <c r="T90" s="147" t="s">
        <v>2381</v>
      </c>
      <c r="U90" s="147" t="s">
        <v>2694</v>
      </c>
      <c r="V90" s="147"/>
      <c r="W90" s="147"/>
      <c r="X90" s="147"/>
      <c r="Y90" s="147" t="s">
        <v>2695</v>
      </c>
      <c r="Z90" s="146" t="str">
        <f>"RP-"&amp;Grackle_LED_Map[[#This Row],[Lamp Type]]&amp;"-"&amp;Grackle_LED_Map[[#This Row],[Lamp Length]]&amp;"FT-"&amp;Grackle_LED_Map[[#This Row],[number of led lamps in kit]]&amp;"L-8"&amp;LEFT(Grackle_LED_Map[[#This Row],[CCT]],2)&amp;"-E1-"&amp;Grackle_LED_Map[[#This Row],[Case]]&amp;"-G2"</f>
        <v>RP-T5HO-3FT-1L-830-E1-M-G2</v>
      </c>
      <c r="AA90" s="148" t="str">
        <f>"RP-"&amp;Grackle_LED_Map[[#This Row],[Lamp Type]]&amp;"-"&amp;Grackle_LED_Map[[#This Row],[Lamp Length]]&amp;"FT-"&amp;Grackle_LED_Map[[#This Row],[number of led lamps in kit]]&amp;"L-8"&amp;LEFT(Grackle_LED_Map[[#This Row],[CCT]],2)&amp;"-3W-"&amp;Grackle_LED_Map[[#This Row],[Case]]&amp;"-G2"</f>
        <v>RP-T5HO-3FT-1L-830-3W-M-G2</v>
      </c>
    </row>
    <row r="91" spans="1:27" x14ac:dyDescent="0.25">
      <c r="A91" s="145" t="s">
        <v>297</v>
      </c>
      <c r="B91" s="146">
        <v>3</v>
      </c>
      <c r="C91" s="146">
        <v>1</v>
      </c>
      <c r="D91" s="147">
        <v>3500</v>
      </c>
      <c r="E91" s="147"/>
      <c r="F91" s="147" t="s">
        <v>632</v>
      </c>
      <c r="G91" s="147" t="s">
        <v>2922</v>
      </c>
      <c r="H91" s="147" t="s">
        <v>2923</v>
      </c>
      <c r="I91" s="147" t="s">
        <v>2924</v>
      </c>
      <c r="J91" s="147" t="s">
        <v>2925</v>
      </c>
      <c r="K91" s="147" t="s">
        <v>2926</v>
      </c>
      <c r="L91" s="147" t="s">
        <v>2927</v>
      </c>
      <c r="M91" s="147" t="s">
        <v>2125</v>
      </c>
      <c r="N91" s="147" t="s">
        <v>2125</v>
      </c>
      <c r="O91" s="147"/>
      <c r="P91" s="147"/>
      <c r="Q91" s="147"/>
      <c r="R91" s="147"/>
      <c r="S91" s="147" t="s">
        <v>2414</v>
      </c>
      <c r="T91" s="147" t="s">
        <v>2381</v>
      </c>
      <c r="U91" s="147" t="s">
        <v>2702</v>
      </c>
      <c r="V91" s="147"/>
      <c r="W91" s="147"/>
      <c r="X91" s="147"/>
      <c r="Y91" s="147" t="s">
        <v>2703</v>
      </c>
      <c r="Z91" s="146" t="str">
        <f>"RP-"&amp;Grackle_LED_Map[[#This Row],[Lamp Type]]&amp;"-"&amp;Grackle_LED_Map[[#This Row],[Lamp Length]]&amp;"FT-"&amp;Grackle_LED_Map[[#This Row],[number of led lamps in kit]]&amp;"L-8"&amp;LEFT(Grackle_LED_Map[[#This Row],[CCT]],2)&amp;"-E1-"&amp;Grackle_LED_Map[[#This Row],[Case]]&amp;"-G2"</f>
        <v>RP-T5HO-3FT-1L-835-E1-M-G2</v>
      </c>
      <c r="AA91" s="148" t="str">
        <f>"RP-"&amp;Grackle_LED_Map[[#This Row],[Lamp Type]]&amp;"-"&amp;Grackle_LED_Map[[#This Row],[Lamp Length]]&amp;"FT-"&amp;Grackle_LED_Map[[#This Row],[number of led lamps in kit]]&amp;"L-8"&amp;LEFT(Grackle_LED_Map[[#This Row],[CCT]],2)&amp;"-3W-"&amp;Grackle_LED_Map[[#This Row],[Case]]&amp;"-G2"</f>
        <v>RP-T5HO-3FT-1L-835-3W-M-G2</v>
      </c>
    </row>
    <row r="92" spans="1:27" x14ac:dyDescent="0.25">
      <c r="A92" s="145" t="s">
        <v>297</v>
      </c>
      <c r="B92" s="146">
        <v>3</v>
      </c>
      <c r="C92" s="146">
        <v>1</v>
      </c>
      <c r="D92" s="147">
        <v>4000</v>
      </c>
      <c r="E92" s="147"/>
      <c r="F92" s="147" t="s">
        <v>632</v>
      </c>
      <c r="G92" s="147" t="s">
        <v>2928</v>
      </c>
      <c r="H92" s="147" t="s">
        <v>2929</v>
      </c>
      <c r="I92" s="147" t="s">
        <v>2930</v>
      </c>
      <c r="J92" s="147" t="s">
        <v>2931</v>
      </c>
      <c r="K92" s="147" t="s">
        <v>2932</v>
      </c>
      <c r="L92" s="147" t="s">
        <v>2933</v>
      </c>
      <c r="M92" s="147" t="s">
        <v>2125</v>
      </c>
      <c r="N92" s="147" t="s">
        <v>2125</v>
      </c>
      <c r="O92" s="147"/>
      <c r="P92" s="147"/>
      <c r="Q92" s="147"/>
      <c r="R92" s="147"/>
      <c r="S92" s="147" t="s">
        <v>2414</v>
      </c>
      <c r="T92" s="147" t="s">
        <v>2381</v>
      </c>
      <c r="U92" s="147" t="s">
        <v>2710</v>
      </c>
      <c r="V92" s="147"/>
      <c r="W92" s="147"/>
      <c r="X92" s="147"/>
      <c r="Y92" s="147" t="s">
        <v>2711</v>
      </c>
      <c r="Z92" s="146" t="str">
        <f>"RP-"&amp;Grackle_LED_Map[[#This Row],[Lamp Type]]&amp;"-"&amp;Grackle_LED_Map[[#This Row],[Lamp Length]]&amp;"FT-"&amp;Grackle_LED_Map[[#This Row],[number of led lamps in kit]]&amp;"L-8"&amp;LEFT(Grackle_LED_Map[[#This Row],[CCT]],2)&amp;"-E1-"&amp;Grackle_LED_Map[[#This Row],[Case]]&amp;"-G2"</f>
        <v>RP-T5HO-3FT-1L-840-E1-M-G2</v>
      </c>
      <c r="AA92" s="148" t="str">
        <f>"RP-"&amp;Grackle_LED_Map[[#This Row],[Lamp Type]]&amp;"-"&amp;Grackle_LED_Map[[#This Row],[Lamp Length]]&amp;"FT-"&amp;Grackle_LED_Map[[#This Row],[number of led lamps in kit]]&amp;"L-8"&amp;LEFT(Grackle_LED_Map[[#This Row],[CCT]],2)&amp;"-3W-"&amp;Grackle_LED_Map[[#This Row],[Case]]&amp;"-G2"</f>
        <v>RP-T5HO-3FT-1L-840-3W-M-G2</v>
      </c>
    </row>
    <row r="93" spans="1:27" x14ac:dyDescent="0.25">
      <c r="A93" s="145" t="s">
        <v>297</v>
      </c>
      <c r="B93" s="146">
        <v>3</v>
      </c>
      <c r="C93" s="146">
        <v>1</v>
      </c>
      <c r="D93" s="147">
        <v>5000</v>
      </c>
      <c r="E93" s="147"/>
      <c r="F93" s="147" t="s">
        <v>632</v>
      </c>
      <c r="G93" s="147" t="s">
        <v>2934</v>
      </c>
      <c r="H93" s="147" t="s">
        <v>2935</v>
      </c>
      <c r="I93" s="147" t="s">
        <v>2936</v>
      </c>
      <c r="J93" s="147" t="s">
        <v>2937</v>
      </c>
      <c r="K93" s="147" t="s">
        <v>2938</v>
      </c>
      <c r="L93" s="147" t="s">
        <v>2939</v>
      </c>
      <c r="M93" s="147" t="s">
        <v>2125</v>
      </c>
      <c r="N93" s="147" t="s">
        <v>2125</v>
      </c>
      <c r="O93" s="147"/>
      <c r="P93" s="147"/>
      <c r="Q93" s="147"/>
      <c r="R93" s="147"/>
      <c r="S93" s="147" t="s">
        <v>2414</v>
      </c>
      <c r="T93" s="147" t="s">
        <v>2381</v>
      </c>
      <c r="U93" s="147" t="s">
        <v>2718</v>
      </c>
      <c r="V93" s="147"/>
      <c r="W93" s="147"/>
      <c r="X93" s="147"/>
      <c r="Y93" s="147" t="s">
        <v>2719</v>
      </c>
      <c r="Z93" s="146" t="str">
        <f>"RP-"&amp;Grackle_LED_Map[[#This Row],[Lamp Type]]&amp;"-"&amp;Grackle_LED_Map[[#This Row],[Lamp Length]]&amp;"FT-"&amp;Grackle_LED_Map[[#This Row],[number of led lamps in kit]]&amp;"L-8"&amp;LEFT(Grackle_LED_Map[[#This Row],[CCT]],2)&amp;"-E1-"&amp;Grackle_LED_Map[[#This Row],[Case]]&amp;"-G2"</f>
        <v>RP-T5HO-3FT-1L-850-E1-M-G2</v>
      </c>
      <c r="AA93" s="148" t="str">
        <f>"RP-"&amp;Grackle_LED_Map[[#This Row],[Lamp Type]]&amp;"-"&amp;Grackle_LED_Map[[#This Row],[Lamp Length]]&amp;"FT-"&amp;Grackle_LED_Map[[#This Row],[number of led lamps in kit]]&amp;"L-8"&amp;LEFT(Grackle_LED_Map[[#This Row],[CCT]],2)&amp;"-3W-"&amp;Grackle_LED_Map[[#This Row],[Case]]&amp;"-G2"</f>
        <v>RP-T5HO-3FT-1L-850-3W-M-G2</v>
      </c>
    </row>
    <row r="94" spans="1:27" x14ac:dyDescent="0.25">
      <c r="A94" s="145" t="s">
        <v>297</v>
      </c>
      <c r="B94" s="146">
        <v>3</v>
      </c>
      <c r="C94" s="146">
        <v>2</v>
      </c>
      <c r="D94" s="147">
        <v>3000</v>
      </c>
      <c r="E94" s="147"/>
      <c r="F94" s="147" t="s">
        <v>632</v>
      </c>
      <c r="G94" s="147" t="s">
        <v>2940</v>
      </c>
      <c r="H94" s="147" t="s">
        <v>2941</v>
      </c>
      <c r="I94" s="147" t="s">
        <v>2942</v>
      </c>
      <c r="J94" s="147" t="s">
        <v>2943</v>
      </c>
      <c r="K94" s="147" t="s">
        <v>2944</v>
      </c>
      <c r="L94" s="147" t="s">
        <v>2945</v>
      </c>
      <c r="M94" s="147" t="s">
        <v>2125</v>
      </c>
      <c r="N94" s="147" t="s">
        <v>2125</v>
      </c>
      <c r="O94" s="147"/>
      <c r="P94" s="147"/>
      <c r="Q94" s="147"/>
      <c r="R94" s="147"/>
      <c r="S94" s="147" t="s">
        <v>2439</v>
      </c>
      <c r="T94" s="147" t="s">
        <v>2381</v>
      </c>
      <c r="U94" s="147" t="s">
        <v>2694</v>
      </c>
      <c r="V94" s="147"/>
      <c r="W94" s="147"/>
      <c r="X94" s="147"/>
      <c r="Y94" s="147" t="s">
        <v>2695</v>
      </c>
      <c r="Z94" s="146" t="str">
        <f>"RP-"&amp;Grackle_LED_Map[[#This Row],[Lamp Type]]&amp;"-"&amp;Grackle_LED_Map[[#This Row],[Lamp Length]]&amp;"FT-"&amp;Grackle_LED_Map[[#This Row],[number of led lamps in kit]]&amp;"L-8"&amp;LEFT(Grackle_LED_Map[[#This Row],[CCT]],2)&amp;"-E1-"&amp;Grackle_LED_Map[[#This Row],[Case]]&amp;"-G2"</f>
        <v>RP-T5HO-3FT-2L-830-E1-M-G2</v>
      </c>
      <c r="AA94" s="148" t="str">
        <f>"RP-"&amp;Grackle_LED_Map[[#This Row],[Lamp Type]]&amp;"-"&amp;Grackle_LED_Map[[#This Row],[Lamp Length]]&amp;"FT-"&amp;Grackle_LED_Map[[#This Row],[number of led lamps in kit]]&amp;"L-8"&amp;LEFT(Grackle_LED_Map[[#This Row],[CCT]],2)&amp;"-3W-"&amp;Grackle_LED_Map[[#This Row],[Case]]&amp;"-G2"</f>
        <v>RP-T5HO-3FT-2L-830-3W-M-G2</v>
      </c>
    </row>
    <row r="95" spans="1:27" x14ac:dyDescent="0.25">
      <c r="A95" s="145" t="s">
        <v>297</v>
      </c>
      <c r="B95" s="146">
        <v>3</v>
      </c>
      <c r="C95" s="146">
        <v>2</v>
      </c>
      <c r="D95" s="147">
        <v>3500</v>
      </c>
      <c r="E95" s="147"/>
      <c r="F95" s="147" t="s">
        <v>632</v>
      </c>
      <c r="G95" s="147" t="s">
        <v>2946</v>
      </c>
      <c r="H95" s="147" t="s">
        <v>2947</v>
      </c>
      <c r="I95" s="147" t="s">
        <v>2948</v>
      </c>
      <c r="J95" s="147" t="s">
        <v>2949</v>
      </c>
      <c r="K95" s="147" t="s">
        <v>2950</v>
      </c>
      <c r="L95" s="147" t="s">
        <v>2951</v>
      </c>
      <c r="M95" s="147" t="s">
        <v>2125</v>
      </c>
      <c r="N95" s="147" t="s">
        <v>2125</v>
      </c>
      <c r="O95" s="147"/>
      <c r="P95" s="147"/>
      <c r="Q95" s="147"/>
      <c r="R95" s="147"/>
      <c r="S95" s="147" t="s">
        <v>2439</v>
      </c>
      <c r="T95" s="147" t="s">
        <v>2381</v>
      </c>
      <c r="U95" s="147" t="s">
        <v>2702</v>
      </c>
      <c r="V95" s="147"/>
      <c r="W95" s="147"/>
      <c r="X95" s="147"/>
      <c r="Y95" s="147" t="s">
        <v>2703</v>
      </c>
      <c r="Z95" s="146" t="str">
        <f>"RP-"&amp;Grackle_LED_Map[[#This Row],[Lamp Type]]&amp;"-"&amp;Grackle_LED_Map[[#This Row],[Lamp Length]]&amp;"FT-"&amp;Grackle_LED_Map[[#This Row],[number of led lamps in kit]]&amp;"L-8"&amp;LEFT(Grackle_LED_Map[[#This Row],[CCT]],2)&amp;"-E1-"&amp;Grackle_LED_Map[[#This Row],[Case]]&amp;"-G2"</f>
        <v>RP-T5HO-3FT-2L-835-E1-M-G2</v>
      </c>
      <c r="AA95" s="148" t="str">
        <f>"RP-"&amp;Grackle_LED_Map[[#This Row],[Lamp Type]]&amp;"-"&amp;Grackle_LED_Map[[#This Row],[Lamp Length]]&amp;"FT-"&amp;Grackle_LED_Map[[#This Row],[number of led lamps in kit]]&amp;"L-8"&amp;LEFT(Grackle_LED_Map[[#This Row],[CCT]],2)&amp;"-3W-"&amp;Grackle_LED_Map[[#This Row],[Case]]&amp;"-G2"</f>
        <v>RP-T5HO-3FT-2L-835-3W-M-G2</v>
      </c>
    </row>
    <row r="96" spans="1:27" x14ac:dyDescent="0.25">
      <c r="A96" s="145" t="s">
        <v>297</v>
      </c>
      <c r="B96" s="146">
        <v>3</v>
      </c>
      <c r="C96" s="146">
        <v>2</v>
      </c>
      <c r="D96" s="147">
        <v>4000</v>
      </c>
      <c r="E96" s="147"/>
      <c r="F96" s="147" t="s">
        <v>632</v>
      </c>
      <c r="G96" s="147" t="s">
        <v>2952</v>
      </c>
      <c r="H96" s="147" t="s">
        <v>2953</v>
      </c>
      <c r="I96" s="147" t="s">
        <v>2954</v>
      </c>
      <c r="J96" s="147" t="s">
        <v>2955</v>
      </c>
      <c r="K96" s="147" t="s">
        <v>2956</v>
      </c>
      <c r="L96" s="147" t="s">
        <v>2957</v>
      </c>
      <c r="M96" s="147" t="s">
        <v>2125</v>
      </c>
      <c r="N96" s="147" t="s">
        <v>2125</v>
      </c>
      <c r="O96" s="147"/>
      <c r="P96" s="147"/>
      <c r="Q96" s="147"/>
      <c r="R96" s="147"/>
      <c r="S96" s="147" t="s">
        <v>2439</v>
      </c>
      <c r="T96" s="147" t="s">
        <v>2381</v>
      </c>
      <c r="U96" s="147" t="s">
        <v>2710</v>
      </c>
      <c r="V96" s="147"/>
      <c r="W96" s="147"/>
      <c r="X96" s="147"/>
      <c r="Y96" s="147" t="s">
        <v>2711</v>
      </c>
      <c r="Z96" s="146" t="str">
        <f>"RP-"&amp;Grackle_LED_Map[[#This Row],[Lamp Type]]&amp;"-"&amp;Grackle_LED_Map[[#This Row],[Lamp Length]]&amp;"FT-"&amp;Grackle_LED_Map[[#This Row],[number of led lamps in kit]]&amp;"L-8"&amp;LEFT(Grackle_LED_Map[[#This Row],[CCT]],2)&amp;"-E1-"&amp;Grackle_LED_Map[[#This Row],[Case]]&amp;"-G2"</f>
        <v>RP-T5HO-3FT-2L-840-E1-M-G2</v>
      </c>
      <c r="AA96" s="148" t="str">
        <f>"RP-"&amp;Grackle_LED_Map[[#This Row],[Lamp Type]]&amp;"-"&amp;Grackle_LED_Map[[#This Row],[Lamp Length]]&amp;"FT-"&amp;Grackle_LED_Map[[#This Row],[number of led lamps in kit]]&amp;"L-8"&amp;LEFT(Grackle_LED_Map[[#This Row],[CCT]],2)&amp;"-3W-"&amp;Grackle_LED_Map[[#This Row],[Case]]&amp;"-G2"</f>
        <v>RP-T5HO-3FT-2L-840-3W-M-G2</v>
      </c>
    </row>
    <row r="97" spans="1:27" x14ac:dyDescent="0.25">
      <c r="A97" s="145" t="s">
        <v>297</v>
      </c>
      <c r="B97" s="146">
        <v>3</v>
      </c>
      <c r="C97" s="146">
        <v>2</v>
      </c>
      <c r="D97" s="147">
        <v>5000</v>
      </c>
      <c r="E97" s="147"/>
      <c r="F97" s="147" t="s">
        <v>632</v>
      </c>
      <c r="G97" s="147" t="s">
        <v>2958</v>
      </c>
      <c r="H97" s="147" t="s">
        <v>2959</v>
      </c>
      <c r="I97" s="147" t="s">
        <v>2960</v>
      </c>
      <c r="J97" s="147" t="s">
        <v>2961</v>
      </c>
      <c r="K97" s="147" t="s">
        <v>2962</v>
      </c>
      <c r="L97" s="147" t="s">
        <v>2963</v>
      </c>
      <c r="M97" s="147" t="s">
        <v>2125</v>
      </c>
      <c r="N97" s="147" t="s">
        <v>2125</v>
      </c>
      <c r="O97" s="147"/>
      <c r="P97" s="147"/>
      <c r="Q97" s="147"/>
      <c r="R97" s="147"/>
      <c r="S97" s="147" t="s">
        <v>2439</v>
      </c>
      <c r="T97" s="147" t="s">
        <v>2381</v>
      </c>
      <c r="U97" s="147" t="s">
        <v>2718</v>
      </c>
      <c r="V97" s="147"/>
      <c r="W97" s="147"/>
      <c r="X97" s="147"/>
      <c r="Y97" s="147" t="s">
        <v>2719</v>
      </c>
      <c r="Z97" s="146" t="str">
        <f>"RP-"&amp;Grackle_LED_Map[[#This Row],[Lamp Type]]&amp;"-"&amp;Grackle_LED_Map[[#This Row],[Lamp Length]]&amp;"FT-"&amp;Grackle_LED_Map[[#This Row],[number of led lamps in kit]]&amp;"L-8"&amp;LEFT(Grackle_LED_Map[[#This Row],[CCT]],2)&amp;"-E1-"&amp;Grackle_LED_Map[[#This Row],[Case]]&amp;"-G2"</f>
        <v>RP-T5HO-3FT-2L-850-E1-M-G2</v>
      </c>
      <c r="AA97" s="148" t="str">
        <f>"RP-"&amp;Grackle_LED_Map[[#This Row],[Lamp Type]]&amp;"-"&amp;Grackle_LED_Map[[#This Row],[Lamp Length]]&amp;"FT-"&amp;Grackle_LED_Map[[#This Row],[number of led lamps in kit]]&amp;"L-8"&amp;LEFT(Grackle_LED_Map[[#This Row],[CCT]],2)&amp;"-3W-"&amp;Grackle_LED_Map[[#This Row],[Case]]&amp;"-G2"</f>
        <v>RP-T5HO-3FT-2L-850-3W-M-G2</v>
      </c>
    </row>
    <row r="98" spans="1:27" x14ac:dyDescent="0.25">
      <c r="A98" s="145" t="s">
        <v>297</v>
      </c>
      <c r="B98" s="146">
        <v>3</v>
      </c>
      <c r="C98" s="146">
        <v>3</v>
      </c>
      <c r="D98" s="147">
        <v>3000</v>
      </c>
      <c r="E98" s="147"/>
      <c r="F98" s="147" t="s">
        <v>632</v>
      </c>
      <c r="G98" s="147" t="s">
        <v>2964</v>
      </c>
      <c r="H98" s="147" t="s">
        <v>2965</v>
      </c>
      <c r="I98" s="147" t="s">
        <v>2966</v>
      </c>
      <c r="J98" s="147" t="s">
        <v>2967</v>
      </c>
      <c r="K98" s="147" t="s">
        <v>2968</v>
      </c>
      <c r="L98" s="147" t="s">
        <v>2969</v>
      </c>
      <c r="M98" s="147" t="s">
        <v>2125</v>
      </c>
      <c r="N98" s="147" t="s">
        <v>2125</v>
      </c>
      <c r="O98" s="147"/>
      <c r="P98" s="147"/>
      <c r="Q98" s="147"/>
      <c r="R98" s="147"/>
      <c r="S98" s="147" t="s">
        <v>2520</v>
      </c>
      <c r="T98" s="147" t="s">
        <v>2381</v>
      </c>
      <c r="U98" s="147" t="s">
        <v>2694</v>
      </c>
      <c r="V98" s="147"/>
      <c r="W98" s="147"/>
      <c r="X98" s="147"/>
      <c r="Y98" s="147" t="s">
        <v>2695</v>
      </c>
      <c r="Z98" s="146" t="str">
        <f>"RP-"&amp;Grackle_LED_Map[[#This Row],[Lamp Type]]&amp;"-"&amp;Grackle_LED_Map[[#This Row],[Lamp Length]]&amp;"FT-"&amp;Grackle_LED_Map[[#This Row],[number of led lamps in kit]]&amp;"L-8"&amp;LEFT(Grackle_LED_Map[[#This Row],[CCT]],2)&amp;"-E1-"&amp;Grackle_LED_Map[[#This Row],[Case]]&amp;"-G2"</f>
        <v>RP-T5HO-3FT-3L-830-E1-M-G2</v>
      </c>
      <c r="AA98" s="148" t="str">
        <f>"RP-"&amp;Grackle_LED_Map[[#This Row],[Lamp Type]]&amp;"-"&amp;Grackle_LED_Map[[#This Row],[Lamp Length]]&amp;"FT-"&amp;Grackle_LED_Map[[#This Row],[number of led lamps in kit]]&amp;"L-8"&amp;LEFT(Grackle_LED_Map[[#This Row],[CCT]],2)&amp;"-3W-"&amp;Grackle_LED_Map[[#This Row],[Case]]&amp;"-G2"</f>
        <v>RP-T5HO-3FT-3L-830-3W-M-G2</v>
      </c>
    </row>
    <row r="99" spans="1:27" x14ac:dyDescent="0.25">
      <c r="A99" s="145" t="s">
        <v>297</v>
      </c>
      <c r="B99" s="146">
        <v>3</v>
      </c>
      <c r="C99" s="146">
        <v>3</v>
      </c>
      <c r="D99" s="147">
        <v>3500</v>
      </c>
      <c r="E99" s="147"/>
      <c r="F99" s="147" t="s">
        <v>632</v>
      </c>
      <c r="G99" s="147" t="s">
        <v>2970</v>
      </c>
      <c r="H99" s="147" t="s">
        <v>2971</v>
      </c>
      <c r="I99" s="147" t="s">
        <v>2972</v>
      </c>
      <c r="J99" s="147" t="s">
        <v>2973</v>
      </c>
      <c r="K99" s="147" t="s">
        <v>2974</v>
      </c>
      <c r="L99" s="147" t="s">
        <v>2975</v>
      </c>
      <c r="M99" s="147" t="s">
        <v>2125</v>
      </c>
      <c r="N99" s="147" t="s">
        <v>2125</v>
      </c>
      <c r="O99" s="147"/>
      <c r="P99" s="147"/>
      <c r="Q99" s="147"/>
      <c r="R99" s="147"/>
      <c r="S99" s="147" t="s">
        <v>2520</v>
      </c>
      <c r="T99" s="147" t="s">
        <v>2381</v>
      </c>
      <c r="U99" s="147" t="s">
        <v>2702</v>
      </c>
      <c r="V99" s="147"/>
      <c r="W99" s="147"/>
      <c r="X99" s="147"/>
      <c r="Y99" s="147" t="s">
        <v>2703</v>
      </c>
      <c r="Z99" s="146" t="str">
        <f>"RP-"&amp;Grackle_LED_Map[[#This Row],[Lamp Type]]&amp;"-"&amp;Grackle_LED_Map[[#This Row],[Lamp Length]]&amp;"FT-"&amp;Grackle_LED_Map[[#This Row],[number of led lamps in kit]]&amp;"L-8"&amp;LEFT(Grackle_LED_Map[[#This Row],[CCT]],2)&amp;"-E1-"&amp;Grackle_LED_Map[[#This Row],[Case]]&amp;"-G2"</f>
        <v>RP-T5HO-3FT-3L-835-E1-M-G2</v>
      </c>
      <c r="AA99" s="148" t="str">
        <f>"RP-"&amp;Grackle_LED_Map[[#This Row],[Lamp Type]]&amp;"-"&amp;Grackle_LED_Map[[#This Row],[Lamp Length]]&amp;"FT-"&amp;Grackle_LED_Map[[#This Row],[number of led lamps in kit]]&amp;"L-8"&amp;LEFT(Grackle_LED_Map[[#This Row],[CCT]],2)&amp;"-3W-"&amp;Grackle_LED_Map[[#This Row],[Case]]&amp;"-G2"</f>
        <v>RP-T5HO-3FT-3L-835-3W-M-G2</v>
      </c>
    </row>
    <row r="100" spans="1:27" x14ac:dyDescent="0.25">
      <c r="A100" s="145" t="s">
        <v>297</v>
      </c>
      <c r="B100" s="146">
        <v>3</v>
      </c>
      <c r="C100" s="146">
        <v>3</v>
      </c>
      <c r="D100" s="147">
        <v>4000</v>
      </c>
      <c r="E100" s="147"/>
      <c r="F100" s="147" t="s">
        <v>632</v>
      </c>
      <c r="G100" s="147" t="s">
        <v>2976</v>
      </c>
      <c r="H100" s="147" t="s">
        <v>2977</v>
      </c>
      <c r="I100" s="147" t="s">
        <v>2978</v>
      </c>
      <c r="J100" s="147" t="s">
        <v>2979</v>
      </c>
      <c r="K100" s="147" t="s">
        <v>2980</v>
      </c>
      <c r="L100" s="147" t="s">
        <v>2981</v>
      </c>
      <c r="M100" s="147" t="s">
        <v>2125</v>
      </c>
      <c r="N100" s="147" t="s">
        <v>2125</v>
      </c>
      <c r="O100" s="147"/>
      <c r="P100" s="147"/>
      <c r="Q100" s="147"/>
      <c r="R100" s="147"/>
      <c r="S100" s="147" t="s">
        <v>2520</v>
      </c>
      <c r="T100" s="147" t="s">
        <v>2381</v>
      </c>
      <c r="U100" s="147" t="s">
        <v>2710</v>
      </c>
      <c r="V100" s="147"/>
      <c r="W100" s="147"/>
      <c r="X100" s="147"/>
      <c r="Y100" s="147" t="s">
        <v>2711</v>
      </c>
      <c r="Z100" s="146" t="str">
        <f>"RP-"&amp;Grackle_LED_Map[[#This Row],[Lamp Type]]&amp;"-"&amp;Grackle_LED_Map[[#This Row],[Lamp Length]]&amp;"FT-"&amp;Grackle_LED_Map[[#This Row],[number of led lamps in kit]]&amp;"L-8"&amp;LEFT(Grackle_LED_Map[[#This Row],[CCT]],2)&amp;"-E1-"&amp;Grackle_LED_Map[[#This Row],[Case]]&amp;"-G2"</f>
        <v>RP-T5HO-3FT-3L-840-E1-M-G2</v>
      </c>
      <c r="AA100" s="148" t="str">
        <f>"RP-"&amp;Grackle_LED_Map[[#This Row],[Lamp Type]]&amp;"-"&amp;Grackle_LED_Map[[#This Row],[Lamp Length]]&amp;"FT-"&amp;Grackle_LED_Map[[#This Row],[number of led lamps in kit]]&amp;"L-8"&amp;LEFT(Grackle_LED_Map[[#This Row],[CCT]],2)&amp;"-3W-"&amp;Grackle_LED_Map[[#This Row],[Case]]&amp;"-G2"</f>
        <v>RP-T5HO-3FT-3L-840-3W-M-G2</v>
      </c>
    </row>
    <row r="101" spans="1:27" x14ac:dyDescent="0.25">
      <c r="A101" s="145" t="s">
        <v>297</v>
      </c>
      <c r="B101" s="146">
        <v>3</v>
      </c>
      <c r="C101" s="146">
        <v>3</v>
      </c>
      <c r="D101" s="147">
        <v>5000</v>
      </c>
      <c r="E101" s="147"/>
      <c r="F101" s="147" t="s">
        <v>632</v>
      </c>
      <c r="G101" s="147" t="s">
        <v>2982</v>
      </c>
      <c r="H101" s="147" t="s">
        <v>2983</v>
      </c>
      <c r="I101" s="147" t="s">
        <v>2984</v>
      </c>
      <c r="J101" s="147" t="s">
        <v>2985</v>
      </c>
      <c r="K101" s="147" t="s">
        <v>2986</v>
      </c>
      <c r="L101" s="147" t="s">
        <v>2987</v>
      </c>
      <c r="M101" s="147" t="s">
        <v>2125</v>
      </c>
      <c r="N101" s="147" t="s">
        <v>2125</v>
      </c>
      <c r="O101" s="147"/>
      <c r="P101" s="147"/>
      <c r="Q101" s="147"/>
      <c r="R101" s="147"/>
      <c r="S101" s="147" t="s">
        <v>2520</v>
      </c>
      <c r="T101" s="147" t="s">
        <v>2381</v>
      </c>
      <c r="U101" s="147" t="s">
        <v>2718</v>
      </c>
      <c r="V101" s="147"/>
      <c r="W101" s="147"/>
      <c r="X101" s="147"/>
      <c r="Y101" s="147" t="s">
        <v>2719</v>
      </c>
      <c r="Z101" s="146" t="str">
        <f>"RP-"&amp;Grackle_LED_Map[[#This Row],[Lamp Type]]&amp;"-"&amp;Grackle_LED_Map[[#This Row],[Lamp Length]]&amp;"FT-"&amp;Grackle_LED_Map[[#This Row],[number of led lamps in kit]]&amp;"L-8"&amp;LEFT(Grackle_LED_Map[[#This Row],[CCT]],2)&amp;"-E1-"&amp;Grackle_LED_Map[[#This Row],[Case]]&amp;"-G2"</f>
        <v>RP-T5HO-3FT-3L-850-E1-M-G2</v>
      </c>
      <c r="AA101" s="148" t="str">
        <f>"RP-"&amp;Grackle_LED_Map[[#This Row],[Lamp Type]]&amp;"-"&amp;Grackle_LED_Map[[#This Row],[Lamp Length]]&amp;"FT-"&amp;Grackle_LED_Map[[#This Row],[number of led lamps in kit]]&amp;"L-8"&amp;LEFT(Grackle_LED_Map[[#This Row],[CCT]],2)&amp;"-3W-"&amp;Grackle_LED_Map[[#This Row],[Case]]&amp;"-G2"</f>
        <v>RP-T5HO-3FT-3L-850-3W-M-G2</v>
      </c>
    </row>
    <row r="102" spans="1:27" x14ac:dyDescent="0.25">
      <c r="A102" s="145" t="s">
        <v>297</v>
      </c>
      <c r="B102" s="146">
        <v>4</v>
      </c>
      <c r="C102" s="146">
        <v>1</v>
      </c>
      <c r="D102" s="147">
        <v>3000</v>
      </c>
      <c r="E102" s="147">
        <v>3539</v>
      </c>
      <c r="F102" s="147" t="s">
        <v>632</v>
      </c>
      <c r="G102" s="149" t="s">
        <v>1315</v>
      </c>
      <c r="H102" s="149" t="s">
        <v>1449</v>
      </c>
      <c r="I102" s="147" t="s">
        <v>2988</v>
      </c>
      <c r="J102" s="149" t="s">
        <v>2989</v>
      </c>
      <c r="K102" s="149" t="s">
        <v>2990</v>
      </c>
      <c r="L102" s="147" t="s">
        <v>2991</v>
      </c>
      <c r="M102" s="149" t="s">
        <v>1514</v>
      </c>
      <c r="N102" s="149" t="s">
        <v>1541</v>
      </c>
      <c r="O102" s="147"/>
      <c r="P102" s="147" t="s">
        <v>2543</v>
      </c>
      <c r="Q102" s="147" t="s">
        <v>2543</v>
      </c>
      <c r="R102" s="147"/>
      <c r="S102" s="147" t="s">
        <v>2439</v>
      </c>
      <c r="T102" s="147" t="s">
        <v>2381</v>
      </c>
      <c r="U102" s="147" t="s">
        <v>2772</v>
      </c>
      <c r="V102" s="147"/>
      <c r="W102" s="147"/>
      <c r="X102" s="147"/>
      <c r="Y102" s="147" t="s">
        <v>2773</v>
      </c>
      <c r="Z102" s="146" t="str">
        <f>"RP-"&amp;Grackle_LED_Map[[#This Row],[Lamp Type]]&amp;"-"&amp;Grackle_LED_Map[[#This Row],[Lamp Length]]&amp;"FT-"&amp;Grackle_LED_Map[[#This Row],[number of led lamps in kit]]&amp;"L-8"&amp;LEFT(Grackle_LED_Map[[#This Row],[CCT]],2)&amp;"-E1-"&amp;Grackle_LED_Map[[#This Row],[Case]]&amp;"-G2"</f>
        <v>RP-T5HO-4FT-1L-830-E1-M-G2</v>
      </c>
      <c r="AA102" s="148" t="str">
        <f>"RP-"&amp;Grackle_LED_Map[[#This Row],[Lamp Type]]&amp;"-"&amp;Grackle_LED_Map[[#This Row],[Lamp Length]]&amp;"FT-"&amp;Grackle_LED_Map[[#This Row],[number of led lamps in kit]]&amp;"L-8"&amp;LEFT(Grackle_LED_Map[[#This Row],[CCT]],2)&amp;"-3W-"&amp;Grackle_LED_Map[[#This Row],[Case]]&amp;"-G2"</f>
        <v>RP-T5HO-4FT-1L-830-3W-M-G2</v>
      </c>
    </row>
    <row r="103" spans="1:27" x14ac:dyDescent="0.25">
      <c r="A103" s="145" t="s">
        <v>297</v>
      </c>
      <c r="B103" s="146">
        <v>4</v>
      </c>
      <c r="C103" s="146">
        <v>1</v>
      </c>
      <c r="D103" s="147">
        <v>3500</v>
      </c>
      <c r="E103" s="147">
        <v>3539</v>
      </c>
      <c r="F103" s="147" t="s">
        <v>632</v>
      </c>
      <c r="G103" s="149" t="s">
        <v>1419</v>
      </c>
      <c r="H103" s="149" t="s">
        <v>1450</v>
      </c>
      <c r="I103" s="147" t="s">
        <v>2992</v>
      </c>
      <c r="J103" s="149" t="s">
        <v>2993</v>
      </c>
      <c r="K103" s="149" t="s">
        <v>2994</v>
      </c>
      <c r="L103" s="147" t="s">
        <v>2995</v>
      </c>
      <c r="M103" s="149" t="s">
        <v>1515</v>
      </c>
      <c r="N103" s="149" t="s">
        <v>1542</v>
      </c>
      <c r="O103" s="147"/>
      <c r="P103" s="147" t="s">
        <v>2543</v>
      </c>
      <c r="Q103" s="147" t="s">
        <v>2543</v>
      </c>
      <c r="R103" s="147"/>
      <c r="S103" s="147" t="s">
        <v>2439</v>
      </c>
      <c r="T103" s="147" t="s">
        <v>2381</v>
      </c>
      <c r="U103" s="147" t="s">
        <v>2778</v>
      </c>
      <c r="V103" s="147"/>
      <c r="W103" s="147"/>
      <c r="X103" s="147"/>
      <c r="Y103" s="147" t="s">
        <v>2779</v>
      </c>
      <c r="Z103" s="146" t="str">
        <f>"RP-"&amp;Grackle_LED_Map[[#This Row],[Lamp Type]]&amp;"-"&amp;Grackle_LED_Map[[#This Row],[Lamp Length]]&amp;"FT-"&amp;Grackle_LED_Map[[#This Row],[number of led lamps in kit]]&amp;"L-8"&amp;LEFT(Grackle_LED_Map[[#This Row],[CCT]],2)&amp;"-E1-"&amp;Grackle_LED_Map[[#This Row],[Case]]&amp;"-G2"</f>
        <v>RP-T5HO-4FT-1L-835-E1-M-G2</v>
      </c>
      <c r="AA103" s="148" t="str">
        <f>"RP-"&amp;Grackle_LED_Map[[#This Row],[Lamp Type]]&amp;"-"&amp;Grackle_LED_Map[[#This Row],[Lamp Length]]&amp;"FT-"&amp;Grackle_LED_Map[[#This Row],[number of led lamps in kit]]&amp;"L-8"&amp;LEFT(Grackle_LED_Map[[#This Row],[CCT]],2)&amp;"-3W-"&amp;Grackle_LED_Map[[#This Row],[Case]]&amp;"-G2"</f>
        <v>RP-T5HO-4FT-1L-835-3W-M-G2</v>
      </c>
    </row>
    <row r="104" spans="1:27" x14ac:dyDescent="0.25">
      <c r="A104" s="145" t="s">
        <v>297</v>
      </c>
      <c r="B104" s="146">
        <v>4</v>
      </c>
      <c r="C104" s="146">
        <v>1</v>
      </c>
      <c r="D104" s="147">
        <v>4000</v>
      </c>
      <c r="E104" s="147">
        <v>3539</v>
      </c>
      <c r="F104" s="147" t="s">
        <v>632</v>
      </c>
      <c r="G104" s="149" t="s">
        <v>1420</v>
      </c>
      <c r="H104" s="149" t="s">
        <v>1451</v>
      </c>
      <c r="I104" s="147" t="s">
        <v>2996</v>
      </c>
      <c r="J104" s="149" t="s">
        <v>2997</v>
      </c>
      <c r="K104" s="149" t="s">
        <v>2998</v>
      </c>
      <c r="L104" s="147" t="s">
        <v>2999</v>
      </c>
      <c r="M104" s="149" t="s">
        <v>1516</v>
      </c>
      <c r="N104" s="149" t="s">
        <v>1543</v>
      </c>
      <c r="O104" s="147"/>
      <c r="P104" s="147" t="s">
        <v>2543</v>
      </c>
      <c r="Q104" s="147" t="s">
        <v>2543</v>
      </c>
      <c r="R104" s="147"/>
      <c r="S104" s="147" t="s">
        <v>2439</v>
      </c>
      <c r="T104" s="147" t="s">
        <v>2381</v>
      </c>
      <c r="U104" s="147" t="s">
        <v>2784</v>
      </c>
      <c r="V104" s="147"/>
      <c r="W104" s="147"/>
      <c r="X104" s="147"/>
      <c r="Y104" s="147" t="s">
        <v>2785</v>
      </c>
      <c r="Z104" s="146" t="str">
        <f>"RP-"&amp;Grackle_LED_Map[[#This Row],[Lamp Type]]&amp;"-"&amp;Grackle_LED_Map[[#This Row],[Lamp Length]]&amp;"FT-"&amp;Grackle_LED_Map[[#This Row],[number of led lamps in kit]]&amp;"L-8"&amp;LEFT(Grackle_LED_Map[[#This Row],[CCT]],2)&amp;"-E1-"&amp;Grackle_LED_Map[[#This Row],[Case]]&amp;"-G2"</f>
        <v>RP-T5HO-4FT-1L-840-E1-M-G2</v>
      </c>
      <c r="AA104" s="148" t="str">
        <f>"RP-"&amp;Grackle_LED_Map[[#This Row],[Lamp Type]]&amp;"-"&amp;Grackle_LED_Map[[#This Row],[Lamp Length]]&amp;"FT-"&amp;Grackle_LED_Map[[#This Row],[number of led lamps in kit]]&amp;"L-8"&amp;LEFT(Grackle_LED_Map[[#This Row],[CCT]],2)&amp;"-3W-"&amp;Grackle_LED_Map[[#This Row],[Case]]&amp;"-G2"</f>
        <v>RP-T5HO-4FT-1L-840-3W-M-G2</v>
      </c>
    </row>
    <row r="105" spans="1:27" x14ac:dyDescent="0.25">
      <c r="A105" s="145" t="s">
        <v>297</v>
      </c>
      <c r="B105" s="146">
        <v>4</v>
      </c>
      <c r="C105" s="146">
        <v>1</v>
      </c>
      <c r="D105" s="147">
        <v>5000</v>
      </c>
      <c r="E105" s="147">
        <v>3539</v>
      </c>
      <c r="F105" s="147" t="s">
        <v>632</v>
      </c>
      <c r="G105" s="147" t="s">
        <v>3000</v>
      </c>
      <c r="H105" s="147" t="s">
        <v>3001</v>
      </c>
      <c r="I105" s="147" t="s">
        <v>3002</v>
      </c>
      <c r="J105" s="147" t="s">
        <v>3003</v>
      </c>
      <c r="K105" s="147" t="s">
        <v>3004</v>
      </c>
      <c r="L105" s="147" t="s">
        <v>3005</v>
      </c>
      <c r="M105" s="147" t="s">
        <v>2125</v>
      </c>
      <c r="N105" s="147" t="s">
        <v>2125</v>
      </c>
      <c r="O105" s="147"/>
      <c r="P105" s="147"/>
      <c r="Q105" s="147"/>
      <c r="R105" s="147"/>
      <c r="S105" s="147" t="s">
        <v>2439</v>
      </c>
      <c r="T105" s="147" t="s">
        <v>2381</v>
      </c>
      <c r="U105" s="147" t="s">
        <v>2792</v>
      </c>
      <c r="V105" s="147"/>
      <c r="W105" s="147"/>
      <c r="X105" s="147"/>
      <c r="Y105" s="147" t="s">
        <v>2793</v>
      </c>
      <c r="Z105" s="146" t="str">
        <f>"RP-"&amp;Grackle_LED_Map[[#This Row],[Lamp Type]]&amp;"-"&amp;Grackle_LED_Map[[#This Row],[Lamp Length]]&amp;"FT-"&amp;Grackle_LED_Map[[#This Row],[number of led lamps in kit]]&amp;"L-8"&amp;LEFT(Grackle_LED_Map[[#This Row],[CCT]],2)&amp;"-E1-"&amp;Grackle_LED_Map[[#This Row],[Case]]&amp;"-G2"</f>
        <v>RP-T5HO-4FT-1L-850-E1-M-G2</v>
      </c>
      <c r="AA105" s="148" t="str">
        <f>"RP-"&amp;Grackle_LED_Map[[#This Row],[Lamp Type]]&amp;"-"&amp;Grackle_LED_Map[[#This Row],[Lamp Length]]&amp;"FT-"&amp;Grackle_LED_Map[[#This Row],[number of led lamps in kit]]&amp;"L-8"&amp;LEFT(Grackle_LED_Map[[#This Row],[CCT]],2)&amp;"-3W-"&amp;Grackle_LED_Map[[#This Row],[Case]]&amp;"-G2"</f>
        <v>RP-T5HO-4FT-1L-850-3W-M-G2</v>
      </c>
    </row>
    <row r="106" spans="1:27" x14ac:dyDescent="0.25">
      <c r="A106" s="145" t="s">
        <v>297</v>
      </c>
      <c r="B106" s="146">
        <v>4</v>
      </c>
      <c r="C106" s="146">
        <v>2</v>
      </c>
      <c r="D106" s="147">
        <v>3000</v>
      </c>
      <c r="E106" s="147">
        <v>7079</v>
      </c>
      <c r="F106" s="147" t="s">
        <v>632</v>
      </c>
      <c r="G106" s="149" t="s">
        <v>1421</v>
      </c>
      <c r="H106" s="149" t="s">
        <v>1452</v>
      </c>
      <c r="I106" s="147" t="s">
        <v>3006</v>
      </c>
      <c r="J106" s="149" t="s">
        <v>3007</v>
      </c>
      <c r="K106" s="149" t="s">
        <v>3008</v>
      </c>
      <c r="L106" s="147" t="s">
        <v>3009</v>
      </c>
      <c r="M106" s="149" t="s">
        <v>1517</v>
      </c>
      <c r="N106" s="149" t="s">
        <v>1544</v>
      </c>
      <c r="O106" s="147"/>
      <c r="P106" s="147" t="s">
        <v>2543</v>
      </c>
      <c r="Q106" s="147" t="s">
        <v>2543</v>
      </c>
      <c r="R106" s="147"/>
      <c r="S106" s="147" t="s">
        <v>2520</v>
      </c>
      <c r="T106" s="147" t="s">
        <v>2381</v>
      </c>
      <c r="U106" s="147" t="s">
        <v>2772</v>
      </c>
      <c r="V106" s="147"/>
      <c r="W106" s="147"/>
      <c r="X106" s="147"/>
      <c r="Y106" s="147" t="s">
        <v>2773</v>
      </c>
      <c r="Z106" s="146" t="str">
        <f>"RP-"&amp;Grackle_LED_Map[[#This Row],[Lamp Type]]&amp;"-"&amp;Grackle_LED_Map[[#This Row],[Lamp Length]]&amp;"FT-"&amp;Grackle_LED_Map[[#This Row],[number of led lamps in kit]]&amp;"L-8"&amp;LEFT(Grackle_LED_Map[[#This Row],[CCT]],2)&amp;"-E1-"&amp;Grackle_LED_Map[[#This Row],[Case]]&amp;"-G2"</f>
        <v>RP-T5HO-4FT-2L-830-E1-M-G2</v>
      </c>
      <c r="AA106" s="148" t="str">
        <f>"RP-"&amp;Grackle_LED_Map[[#This Row],[Lamp Type]]&amp;"-"&amp;Grackle_LED_Map[[#This Row],[Lamp Length]]&amp;"FT-"&amp;Grackle_LED_Map[[#This Row],[number of led lamps in kit]]&amp;"L-8"&amp;LEFT(Grackle_LED_Map[[#This Row],[CCT]],2)&amp;"-3W-"&amp;Grackle_LED_Map[[#This Row],[Case]]&amp;"-G2"</f>
        <v>RP-T5HO-4FT-2L-830-3W-M-G2</v>
      </c>
    </row>
    <row r="107" spans="1:27" x14ac:dyDescent="0.25">
      <c r="A107" s="145" t="s">
        <v>297</v>
      </c>
      <c r="B107" s="146">
        <v>4</v>
      </c>
      <c r="C107" s="146">
        <v>2</v>
      </c>
      <c r="D107" s="147">
        <v>3500</v>
      </c>
      <c r="E107" s="147">
        <v>7079</v>
      </c>
      <c r="F107" s="147" t="s">
        <v>632</v>
      </c>
      <c r="G107" s="149" t="s">
        <v>1422</v>
      </c>
      <c r="H107" s="149" t="s">
        <v>1453</v>
      </c>
      <c r="I107" s="147" t="s">
        <v>3010</v>
      </c>
      <c r="J107" s="149" t="s">
        <v>3011</v>
      </c>
      <c r="K107" s="149" t="s">
        <v>3012</v>
      </c>
      <c r="L107" s="147" t="s">
        <v>3013</v>
      </c>
      <c r="M107" s="149" t="s">
        <v>1518</v>
      </c>
      <c r="N107" s="149" t="s">
        <v>1545</v>
      </c>
      <c r="O107" s="147"/>
      <c r="P107" s="147" t="s">
        <v>2543</v>
      </c>
      <c r="Q107" s="147" t="s">
        <v>2543</v>
      </c>
      <c r="R107" s="147"/>
      <c r="S107" s="147" t="s">
        <v>2520</v>
      </c>
      <c r="T107" s="147" t="s">
        <v>2381</v>
      </c>
      <c r="U107" s="147" t="s">
        <v>2778</v>
      </c>
      <c r="V107" s="147"/>
      <c r="W107" s="147"/>
      <c r="X107" s="147"/>
      <c r="Y107" s="147" t="s">
        <v>2779</v>
      </c>
      <c r="Z107" s="146" t="str">
        <f>"RP-"&amp;Grackle_LED_Map[[#This Row],[Lamp Type]]&amp;"-"&amp;Grackle_LED_Map[[#This Row],[Lamp Length]]&amp;"FT-"&amp;Grackle_LED_Map[[#This Row],[number of led lamps in kit]]&amp;"L-8"&amp;LEFT(Grackle_LED_Map[[#This Row],[CCT]],2)&amp;"-E1-"&amp;Grackle_LED_Map[[#This Row],[Case]]&amp;"-G2"</f>
        <v>RP-T5HO-4FT-2L-835-E1-M-G2</v>
      </c>
      <c r="AA107" s="148" t="str">
        <f>"RP-"&amp;Grackle_LED_Map[[#This Row],[Lamp Type]]&amp;"-"&amp;Grackle_LED_Map[[#This Row],[Lamp Length]]&amp;"FT-"&amp;Grackle_LED_Map[[#This Row],[number of led lamps in kit]]&amp;"L-8"&amp;LEFT(Grackle_LED_Map[[#This Row],[CCT]],2)&amp;"-3W-"&amp;Grackle_LED_Map[[#This Row],[Case]]&amp;"-G2"</f>
        <v>RP-T5HO-4FT-2L-835-3W-M-G2</v>
      </c>
    </row>
    <row r="108" spans="1:27" x14ac:dyDescent="0.25">
      <c r="A108" s="145" t="s">
        <v>297</v>
      </c>
      <c r="B108" s="146">
        <v>4</v>
      </c>
      <c r="C108" s="146">
        <v>2</v>
      </c>
      <c r="D108" s="147">
        <v>4000</v>
      </c>
      <c r="E108" s="147">
        <v>7079</v>
      </c>
      <c r="F108" s="147" t="s">
        <v>632</v>
      </c>
      <c r="G108" s="149" t="s">
        <v>1423</v>
      </c>
      <c r="H108" s="149" t="s">
        <v>1454</v>
      </c>
      <c r="I108" s="147" t="s">
        <v>3014</v>
      </c>
      <c r="J108" s="149" t="s">
        <v>3015</v>
      </c>
      <c r="K108" s="149" t="s">
        <v>3016</v>
      </c>
      <c r="L108" s="147" t="s">
        <v>3017</v>
      </c>
      <c r="M108" s="149" t="s">
        <v>1519</v>
      </c>
      <c r="N108" s="149" t="s">
        <v>1546</v>
      </c>
      <c r="O108" s="147"/>
      <c r="P108" s="147" t="s">
        <v>2543</v>
      </c>
      <c r="Q108" s="147" t="s">
        <v>2543</v>
      </c>
      <c r="R108" s="147"/>
      <c r="S108" s="147" t="s">
        <v>2520</v>
      </c>
      <c r="T108" s="147" t="s">
        <v>2381</v>
      </c>
      <c r="U108" s="147" t="s">
        <v>2784</v>
      </c>
      <c r="V108" s="147"/>
      <c r="W108" s="147"/>
      <c r="X108" s="147"/>
      <c r="Y108" s="147" t="s">
        <v>2785</v>
      </c>
      <c r="Z108" s="146" t="str">
        <f>"RP-"&amp;Grackle_LED_Map[[#This Row],[Lamp Type]]&amp;"-"&amp;Grackle_LED_Map[[#This Row],[Lamp Length]]&amp;"FT-"&amp;Grackle_LED_Map[[#This Row],[number of led lamps in kit]]&amp;"L-8"&amp;LEFT(Grackle_LED_Map[[#This Row],[CCT]],2)&amp;"-E1-"&amp;Grackle_LED_Map[[#This Row],[Case]]&amp;"-G2"</f>
        <v>RP-T5HO-4FT-2L-840-E1-M-G2</v>
      </c>
      <c r="AA108" s="148" t="str">
        <f>"RP-"&amp;Grackle_LED_Map[[#This Row],[Lamp Type]]&amp;"-"&amp;Grackle_LED_Map[[#This Row],[Lamp Length]]&amp;"FT-"&amp;Grackle_LED_Map[[#This Row],[number of led lamps in kit]]&amp;"L-8"&amp;LEFT(Grackle_LED_Map[[#This Row],[CCT]],2)&amp;"-3W-"&amp;Grackle_LED_Map[[#This Row],[Case]]&amp;"-G2"</f>
        <v>RP-T5HO-4FT-2L-840-3W-M-G2</v>
      </c>
    </row>
    <row r="109" spans="1:27" x14ac:dyDescent="0.25">
      <c r="A109" s="145" t="s">
        <v>297</v>
      </c>
      <c r="B109" s="146">
        <v>4</v>
      </c>
      <c r="C109" s="146">
        <v>2</v>
      </c>
      <c r="D109" s="147">
        <v>5000</v>
      </c>
      <c r="E109" s="147">
        <v>7079</v>
      </c>
      <c r="F109" s="147" t="s">
        <v>632</v>
      </c>
      <c r="G109" s="147" t="s">
        <v>3018</v>
      </c>
      <c r="H109" s="147" t="s">
        <v>3019</v>
      </c>
      <c r="I109" s="147" t="s">
        <v>3020</v>
      </c>
      <c r="J109" s="147" t="s">
        <v>3021</v>
      </c>
      <c r="K109" s="147" t="s">
        <v>3022</v>
      </c>
      <c r="L109" s="147" t="s">
        <v>3023</v>
      </c>
      <c r="M109" s="147" t="s">
        <v>2125</v>
      </c>
      <c r="N109" s="147" t="s">
        <v>2125</v>
      </c>
      <c r="O109" s="147"/>
      <c r="P109" s="147"/>
      <c r="Q109" s="147"/>
      <c r="R109" s="147"/>
      <c r="S109" s="147" t="s">
        <v>2520</v>
      </c>
      <c r="T109" s="147" t="s">
        <v>2381</v>
      </c>
      <c r="U109" s="147" t="s">
        <v>2792</v>
      </c>
      <c r="V109" s="147"/>
      <c r="W109" s="147"/>
      <c r="X109" s="147"/>
      <c r="Y109" s="147" t="s">
        <v>2793</v>
      </c>
      <c r="Z109" s="146" t="str">
        <f>"RP-"&amp;Grackle_LED_Map[[#This Row],[Lamp Type]]&amp;"-"&amp;Grackle_LED_Map[[#This Row],[Lamp Length]]&amp;"FT-"&amp;Grackle_LED_Map[[#This Row],[number of led lamps in kit]]&amp;"L-8"&amp;LEFT(Grackle_LED_Map[[#This Row],[CCT]],2)&amp;"-E1-"&amp;Grackle_LED_Map[[#This Row],[Case]]&amp;"-G2"</f>
        <v>RP-T5HO-4FT-2L-850-E1-M-G2</v>
      </c>
      <c r="AA109" s="148" t="str">
        <f>"RP-"&amp;Grackle_LED_Map[[#This Row],[Lamp Type]]&amp;"-"&amp;Grackle_LED_Map[[#This Row],[Lamp Length]]&amp;"FT-"&amp;Grackle_LED_Map[[#This Row],[number of led lamps in kit]]&amp;"L-8"&amp;LEFT(Grackle_LED_Map[[#This Row],[CCT]],2)&amp;"-3W-"&amp;Grackle_LED_Map[[#This Row],[Case]]&amp;"-G2"</f>
        <v>RP-T5HO-4FT-2L-850-3W-M-G2</v>
      </c>
    </row>
    <row r="110" spans="1:27" x14ac:dyDescent="0.25">
      <c r="A110" s="145" t="s">
        <v>297</v>
      </c>
      <c r="B110" s="146">
        <v>4</v>
      </c>
      <c r="C110" s="146">
        <v>3</v>
      </c>
      <c r="D110" s="147">
        <v>3000</v>
      </c>
      <c r="E110" s="147">
        <v>10618</v>
      </c>
      <c r="F110" s="147" t="s">
        <v>632</v>
      </c>
      <c r="G110" s="147" t="s">
        <v>3024</v>
      </c>
      <c r="H110" s="153"/>
      <c r="I110" s="153"/>
      <c r="J110" s="147" t="s">
        <v>3025</v>
      </c>
      <c r="K110" s="153"/>
      <c r="L110" s="153"/>
      <c r="M110" s="147" t="s">
        <v>2125</v>
      </c>
      <c r="N110" s="153"/>
      <c r="O110" s="153"/>
      <c r="P110" s="147"/>
      <c r="Q110" s="153"/>
      <c r="R110" s="153"/>
      <c r="S110" s="147" t="s">
        <v>3026</v>
      </c>
      <c r="T110" s="153"/>
      <c r="U110" s="147" t="s">
        <v>2772</v>
      </c>
      <c r="V110" s="147"/>
      <c r="W110" s="147"/>
      <c r="X110" s="147"/>
      <c r="Y110" s="147" t="s">
        <v>2773</v>
      </c>
      <c r="Z110" s="146" t="str">
        <f>"RP-"&amp;Grackle_LED_Map[[#This Row],[Lamp Type]]&amp;"-"&amp;Grackle_LED_Map[[#This Row],[Lamp Length]]&amp;"FT-"&amp;Grackle_LED_Map[[#This Row],[number of led lamps in kit]]&amp;"L-8"&amp;LEFT(Grackle_LED_Map[[#This Row],[CCT]],2)&amp;"-E1-"&amp;Grackle_LED_Map[[#This Row],[Case]]&amp;"-G2"</f>
        <v>RP-T5HO-4FT-3L-830-E1-M-G2</v>
      </c>
      <c r="AA110" s="154"/>
    </row>
    <row r="111" spans="1:27" x14ac:dyDescent="0.25">
      <c r="A111" s="145" t="s">
        <v>297</v>
      </c>
      <c r="B111" s="146">
        <v>4</v>
      </c>
      <c r="C111" s="146">
        <v>3</v>
      </c>
      <c r="D111" s="147">
        <v>3500</v>
      </c>
      <c r="E111" s="147">
        <v>10618</v>
      </c>
      <c r="F111" s="147" t="s">
        <v>632</v>
      </c>
      <c r="G111" s="147" t="s">
        <v>3027</v>
      </c>
      <c r="H111" s="153"/>
      <c r="I111" s="153"/>
      <c r="J111" s="147" t="s">
        <v>3028</v>
      </c>
      <c r="K111" s="153"/>
      <c r="L111" s="153"/>
      <c r="M111" s="147" t="s">
        <v>2125</v>
      </c>
      <c r="N111" s="153"/>
      <c r="O111" s="153"/>
      <c r="P111" s="147"/>
      <c r="Q111" s="153"/>
      <c r="R111" s="153"/>
      <c r="S111" s="147" t="s">
        <v>3026</v>
      </c>
      <c r="T111" s="153"/>
      <c r="U111" s="147" t="s">
        <v>2778</v>
      </c>
      <c r="V111" s="147"/>
      <c r="W111" s="147"/>
      <c r="X111" s="147"/>
      <c r="Y111" s="147" t="s">
        <v>2779</v>
      </c>
      <c r="Z111" s="146" t="str">
        <f>"RP-"&amp;Grackle_LED_Map[[#This Row],[Lamp Type]]&amp;"-"&amp;Grackle_LED_Map[[#This Row],[Lamp Length]]&amp;"FT-"&amp;Grackle_LED_Map[[#This Row],[number of led lamps in kit]]&amp;"L-8"&amp;LEFT(Grackle_LED_Map[[#This Row],[CCT]],2)&amp;"-E1-"&amp;Grackle_LED_Map[[#This Row],[Case]]&amp;"-G2"</f>
        <v>RP-T5HO-4FT-3L-835-E1-M-G2</v>
      </c>
      <c r="AA111" s="154"/>
    </row>
    <row r="112" spans="1:27" x14ac:dyDescent="0.25">
      <c r="A112" s="145" t="s">
        <v>297</v>
      </c>
      <c r="B112" s="146">
        <v>4</v>
      </c>
      <c r="C112" s="146">
        <v>3</v>
      </c>
      <c r="D112" s="147">
        <v>4000</v>
      </c>
      <c r="E112" s="147">
        <v>10618</v>
      </c>
      <c r="F112" s="147" t="s">
        <v>632</v>
      </c>
      <c r="G112" s="147" t="s">
        <v>3029</v>
      </c>
      <c r="H112" s="153"/>
      <c r="I112" s="153"/>
      <c r="J112" s="147" t="s">
        <v>3030</v>
      </c>
      <c r="K112" s="153"/>
      <c r="L112" s="153"/>
      <c r="M112" s="147" t="s">
        <v>2125</v>
      </c>
      <c r="N112" s="153"/>
      <c r="O112" s="153"/>
      <c r="P112" s="147"/>
      <c r="Q112" s="153"/>
      <c r="R112" s="153"/>
      <c r="S112" s="147" t="s">
        <v>3026</v>
      </c>
      <c r="T112" s="153"/>
      <c r="U112" s="147" t="s">
        <v>2784</v>
      </c>
      <c r="V112" s="147"/>
      <c r="W112" s="147"/>
      <c r="X112" s="147"/>
      <c r="Y112" s="147" t="s">
        <v>2785</v>
      </c>
      <c r="Z112" s="146" t="str">
        <f>"RP-"&amp;Grackle_LED_Map[[#This Row],[Lamp Type]]&amp;"-"&amp;Grackle_LED_Map[[#This Row],[Lamp Length]]&amp;"FT-"&amp;Grackle_LED_Map[[#This Row],[number of led lamps in kit]]&amp;"L-8"&amp;LEFT(Grackle_LED_Map[[#This Row],[CCT]],2)&amp;"-E1-"&amp;Grackle_LED_Map[[#This Row],[Case]]&amp;"-G2"</f>
        <v>RP-T5HO-4FT-3L-840-E1-M-G2</v>
      </c>
      <c r="AA112" s="154"/>
    </row>
    <row r="113" spans="1:27" x14ac:dyDescent="0.25">
      <c r="A113" s="145" t="s">
        <v>297</v>
      </c>
      <c r="B113" s="146">
        <v>4</v>
      </c>
      <c r="C113" s="146">
        <v>3</v>
      </c>
      <c r="D113" s="147">
        <v>5000</v>
      </c>
      <c r="E113" s="147">
        <v>10618</v>
      </c>
      <c r="F113" s="147" t="s">
        <v>632</v>
      </c>
      <c r="G113" s="147" t="s">
        <v>3031</v>
      </c>
      <c r="H113" s="153"/>
      <c r="I113" s="153"/>
      <c r="J113" s="147" t="s">
        <v>3032</v>
      </c>
      <c r="K113" s="153"/>
      <c r="L113" s="153"/>
      <c r="M113" s="147" t="s">
        <v>2125</v>
      </c>
      <c r="N113" s="153"/>
      <c r="O113" s="153"/>
      <c r="P113" s="147"/>
      <c r="Q113" s="153"/>
      <c r="R113" s="153"/>
      <c r="S113" s="147" t="s">
        <v>3026</v>
      </c>
      <c r="T113" s="153" t="s">
        <v>2125</v>
      </c>
      <c r="U113" s="147" t="s">
        <v>2792</v>
      </c>
      <c r="V113" s="147"/>
      <c r="W113" s="147"/>
      <c r="X113" s="147"/>
      <c r="Y113" s="147" t="s">
        <v>2793</v>
      </c>
      <c r="Z113" s="146" t="str">
        <f>"RP-"&amp;Grackle_LED_Map[[#This Row],[Lamp Type]]&amp;"-"&amp;Grackle_LED_Map[[#This Row],[Lamp Length]]&amp;"FT-"&amp;Grackle_LED_Map[[#This Row],[number of led lamps in kit]]&amp;"L-8"&amp;LEFT(Grackle_LED_Map[[#This Row],[CCT]],2)&amp;"-E1-"&amp;Grackle_LED_Map[[#This Row],[Case]]&amp;"-G2"</f>
        <v>RP-T5HO-4FT-3L-850-E1-M-G2</v>
      </c>
      <c r="AA113" s="154"/>
    </row>
    <row r="114" spans="1:27" x14ac:dyDescent="0.25">
      <c r="A114" s="145" t="s">
        <v>1761</v>
      </c>
      <c r="B114" s="146">
        <v>4</v>
      </c>
      <c r="C114" s="146">
        <v>1</v>
      </c>
      <c r="D114" s="147">
        <v>3000</v>
      </c>
      <c r="E114" s="147"/>
      <c r="F114" s="147" t="s">
        <v>632</v>
      </c>
      <c r="G114" s="147" t="s">
        <v>3033</v>
      </c>
      <c r="H114" s="147" t="s">
        <v>3034</v>
      </c>
      <c r="I114" s="147" t="s">
        <v>3035</v>
      </c>
      <c r="J114" s="147" t="s">
        <v>3036</v>
      </c>
      <c r="K114" s="147" t="s">
        <v>3037</v>
      </c>
      <c r="L114" s="147" t="s">
        <v>3038</v>
      </c>
      <c r="M114" s="147" t="s">
        <v>2125</v>
      </c>
      <c r="N114" s="147" t="s">
        <v>2125</v>
      </c>
      <c r="O114" s="147" t="s">
        <v>2125</v>
      </c>
      <c r="P114" s="147" t="s">
        <v>2125</v>
      </c>
      <c r="Q114" s="147" t="s">
        <v>2125</v>
      </c>
      <c r="R114" s="147" t="s">
        <v>2125</v>
      </c>
      <c r="S114" s="147" t="s">
        <v>2439</v>
      </c>
      <c r="T114" s="147" t="s">
        <v>2381</v>
      </c>
      <c r="U114" s="147" t="s">
        <v>2544</v>
      </c>
      <c r="V114" s="147"/>
      <c r="W114" s="147"/>
      <c r="X114" s="147"/>
      <c r="Y114" s="147" t="s">
        <v>2545</v>
      </c>
      <c r="Z114" s="146" t="str">
        <f>"RP-"&amp;Grackle_LED_Map[[#This Row],[Lamp Type]]&amp;"-"&amp;Grackle_LED_Map[[#This Row],[Lamp Length]]&amp;"FT-"&amp;Grackle_LED_Map[[#This Row],[number of led lamps in kit]]&amp;"L-8"&amp;LEFT(Grackle_LED_Map[[#This Row],[CCT]],2)&amp;"-E1-"&amp;Grackle_LED_Map[[#This Row],[Case]]&amp;"-G2"</f>
        <v>RP-T8HO-4FT-1L-830-E1-M-G2</v>
      </c>
      <c r="AA114" s="148" t="str">
        <f>"RP-"&amp;Grackle_LED_Map[[#This Row],[Lamp Type]]&amp;"-"&amp;Grackle_LED_Map[[#This Row],[Lamp Length]]&amp;"FT-"&amp;Grackle_LED_Map[[#This Row],[number of led lamps in kit]]&amp;"L-8"&amp;LEFT(Grackle_LED_Map[[#This Row],[CCT]],2)&amp;"-3W-"&amp;Grackle_LED_Map[[#This Row],[Case]]&amp;"-G2"</f>
        <v>RP-T8HO-4FT-1L-830-3W-M-G2</v>
      </c>
    </row>
    <row r="115" spans="1:27" x14ac:dyDescent="0.25">
      <c r="A115" s="145" t="s">
        <v>1761</v>
      </c>
      <c r="B115" s="146">
        <v>4</v>
      </c>
      <c r="C115" s="146">
        <v>1</v>
      </c>
      <c r="D115" s="147">
        <v>3500</v>
      </c>
      <c r="E115" s="147"/>
      <c r="F115" s="147" t="s">
        <v>632</v>
      </c>
      <c r="G115" s="147" t="s">
        <v>3039</v>
      </c>
      <c r="H115" s="147" t="s">
        <v>3040</v>
      </c>
      <c r="I115" s="147" t="s">
        <v>3041</v>
      </c>
      <c r="J115" s="147" t="s">
        <v>3042</v>
      </c>
      <c r="K115" s="147" t="s">
        <v>3043</v>
      </c>
      <c r="L115" s="147" t="s">
        <v>3044</v>
      </c>
      <c r="M115" s="147" t="s">
        <v>2125</v>
      </c>
      <c r="N115" s="147" t="s">
        <v>2125</v>
      </c>
      <c r="O115" s="147" t="s">
        <v>2125</v>
      </c>
      <c r="P115" s="147" t="s">
        <v>2125</v>
      </c>
      <c r="Q115" s="147" t="s">
        <v>2125</v>
      </c>
      <c r="R115" s="147" t="s">
        <v>2125</v>
      </c>
      <c r="S115" s="147" t="s">
        <v>2439</v>
      </c>
      <c r="T115" s="147" t="s">
        <v>2381</v>
      </c>
      <c r="U115" s="147" t="s">
        <v>2550</v>
      </c>
      <c r="V115" s="147"/>
      <c r="W115" s="147"/>
      <c r="X115" s="147"/>
      <c r="Y115" s="147" t="s">
        <v>2551</v>
      </c>
      <c r="Z115" s="146" t="str">
        <f>"RP-"&amp;Grackle_LED_Map[[#This Row],[Lamp Type]]&amp;"-"&amp;Grackle_LED_Map[[#This Row],[Lamp Length]]&amp;"FT-"&amp;Grackle_LED_Map[[#This Row],[number of led lamps in kit]]&amp;"L-8"&amp;LEFT(Grackle_LED_Map[[#This Row],[CCT]],2)&amp;"-E1-"&amp;Grackle_LED_Map[[#This Row],[Case]]&amp;"-G2"</f>
        <v>RP-T8HO-4FT-1L-835-E1-M-G2</v>
      </c>
      <c r="AA115" s="148" t="str">
        <f>"RP-"&amp;Grackle_LED_Map[[#This Row],[Lamp Type]]&amp;"-"&amp;Grackle_LED_Map[[#This Row],[Lamp Length]]&amp;"FT-"&amp;Grackle_LED_Map[[#This Row],[number of led lamps in kit]]&amp;"L-8"&amp;LEFT(Grackle_LED_Map[[#This Row],[CCT]],2)&amp;"-3W-"&amp;Grackle_LED_Map[[#This Row],[Case]]&amp;"-G2"</f>
        <v>RP-T8HO-4FT-1L-835-3W-M-G2</v>
      </c>
    </row>
    <row r="116" spans="1:27" x14ac:dyDescent="0.25">
      <c r="A116" s="145" t="s">
        <v>1761</v>
      </c>
      <c r="B116" s="146">
        <v>4</v>
      </c>
      <c r="C116" s="146">
        <v>1</v>
      </c>
      <c r="D116" s="147">
        <v>4000</v>
      </c>
      <c r="E116" s="147"/>
      <c r="F116" s="147" t="s">
        <v>632</v>
      </c>
      <c r="G116" s="132" t="s">
        <v>3045</v>
      </c>
      <c r="H116" s="132" t="s">
        <v>3046</v>
      </c>
      <c r="I116" s="132" t="s">
        <v>3047</v>
      </c>
      <c r="J116" s="132" t="s">
        <v>3048</v>
      </c>
      <c r="K116" s="132" t="s">
        <v>3049</v>
      </c>
      <c r="L116" s="132" t="s">
        <v>3050</v>
      </c>
      <c r="M116" s="147" t="s">
        <v>2125</v>
      </c>
      <c r="N116" s="147" t="s">
        <v>2125</v>
      </c>
      <c r="O116" s="147" t="s">
        <v>2125</v>
      </c>
      <c r="P116" s="147" t="s">
        <v>2125</v>
      </c>
      <c r="Q116" s="147" t="s">
        <v>2125</v>
      </c>
      <c r="R116" s="147" t="s">
        <v>2125</v>
      </c>
      <c r="S116" s="147" t="s">
        <v>2439</v>
      </c>
      <c r="T116" s="147" t="s">
        <v>2381</v>
      </c>
      <c r="U116" s="147" t="s">
        <v>2556</v>
      </c>
      <c r="V116" s="147"/>
      <c r="W116" s="147"/>
      <c r="X116" s="147"/>
      <c r="Y116" s="147" t="s">
        <v>2557</v>
      </c>
      <c r="Z116" s="146" t="str">
        <f>"RP-"&amp;Grackle_LED_Map[[#This Row],[Lamp Type]]&amp;"-"&amp;Grackle_LED_Map[[#This Row],[Lamp Length]]&amp;"FT-"&amp;Grackle_LED_Map[[#This Row],[number of led lamps in kit]]&amp;"L-8"&amp;LEFT(Grackle_LED_Map[[#This Row],[CCT]],2)&amp;"-E1-"&amp;Grackle_LED_Map[[#This Row],[Case]]&amp;"-G2"</f>
        <v>RP-T8HO-4FT-1L-840-E1-M-G2</v>
      </c>
      <c r="AA116" s="148" t="str">
        <f>"RP-"&amp;Grackle_LED_Map[[#This Row],[Lamp Type]]&amp;"-"&amp;Grackle_LED_Map[[#This Row],[Lamp Length]]&amp;"FT-"&amp;Grackle_LED_Map[[#This Row],[number of led lamps in kit]]&amp;"L-8"&amp;LEFT(Grackle_LED_Map[[#This Row],[CCT]],2)&amp;"-3W-"&amp;Grackle_LED_Map[[#This Row],[Case]]&amp;"-G2"</f>
        <v>RP-T8HO-4FT-1L-840-3W-M-G2</v>
      </c>
    </row>
    <row r="117" spans="1:27" x14ac:dyDescent="0.25">
      <c r="A117" s="145" t="s">
        <v>1761</v>
      </c>
      <c r="B117" s="146">
        <v>4</v>
      </c>
      <c r="C117" s="146">
        <v>1</v>
      </c>
      <c r="D117" s="147">
        <v>5000</v>
      </c>
      <c r="E117" s="147"/>
      <c r="F117" s="147" t="s">
        <v>632</v>
      </c>
      <c r="G117" s="147" t="s">
        <v>3051</v>
      </c>
      <c r="H117" s="147" t="s">
        <v>3052</v>
      </c>
      <c r="I117" s="147" t="s">
        <v>3053</v>
      </c>
      <c r="J117" s="147" t="s">
        <v>3054</v>
      </c>
      <c r="K117" s="147" t="s">
        <v>3055</v>
      </c>
      <c r="L117" s="147" t="s">
        <v>3056</v>
      </c>
      <c r="M117" s="147" t="s">
        <v>2125</v>
      </c>
      <c r="N117" s="147" t="s">
        <v>2125</v>
      </c>
      <c r="O117" s="147" t="s">
        <v>2125</v>
      </c>
      <c r="P117" s="147" t="s">
        <v>2125</v>
      </c>
      <c r="Q117" s="147" t="s">
        <v>2125</v>
      </c>
      <c r="R117" s="147" t="s">
        <v>2125</v>
      </c>
      <c r="S117" s="147" t="s">
        <v>2439</v>
      </c>
      <c r="T117" s="147" t="s">
        <v>2381</v>
      </c>
      <c r="U117" s="147" t="s">
        <v>2564</v>
      </c>
      <c r="V117" s="147"/>
      <c r="W117" s="147"/>
      <c r="X117" s="147"/>
      <c r="Y117" s="147" t="s">
        <v>2565</v>
      </c>
      <c r="Z117" s="146" t="str">
        <f>"RP-"&amp;Grackle_LED_Map[[#This Row],[Lamp Type]]&amp;"-"&amp;Grackle_LED_Map[[#This Row],[Lamp Length]]&amp;"FT-"&amp;Grackle_LED_Map[[#This Row],[number of led lamps in kit]]&amp;"L-8"&amp;LEFT(Grackle_LED_Map[[#This Row],[CCT]],2)&amp;"-E1-"&amp;Grackle_LED_Map[[#This Row],[Case]]&amp;"-G2"</f>
        <v>RP-T8HO-4FT-1L-850-E1-M-G2</v>
      </c>
      <c r="AA117" s="148" t="str">
        <f>"RP-"&amp;Grackle_LED_Map[[#This Row],[Lamp Type]]&amp;"-"&amp;Grackle_LED_Map[[#This Row],[Lamp Length]]&amp;"FT-"&amp;Grackle_LED_Map[[#This Row],[number of led lamps in kit]]&amp;"L-8"&amp;LEFT(Grackle_LED_Map[[#This Row],[CCT]],2)&amp;"-3W-"&amp;Grackle_LED_Map[[#This Row],[Case]]&amp;"-G2"</f>
        <v>RP-T8HO-4FT-1L-850-3W-M-G2</v>
      </c>
    </row>
    <row r="118" spans="1:27" x14ac:dyDescent="0.25">
      <c r="A118" s="145" t="s">
        <v>1761</v>
      </c>
      <c r="B118" s="146">
        <v>4</v>
      </c>
      <c r="C118" s="146">
        <v>2</v>
      </c>
      <c r="D118" s="147">
        <v>3000</v>
      </c>
      <c r="E118" s="147"/>
      <c r="F118" s="147" t="s">
        <v>632</v>
      </c>
      <c r="G118" s="147" t="s">
        <v>3057</v>
      </c>
      <c r="H118" s="147" t="s">
        <v>3058</v>
      </c>
      <c r="I118" s="147" t="s">
        <v>3059</v>
      </c>
      <c r="J118" s="147" t="s">
        <v>3060</v>
      </c>
      <c r="K118" s="147" t="s">
        <v>3061</v>
      </c>
      <c r="L118" s="147" t="s">
        <v>3062</v>
      </c>
      <c r="M118" s="147" t="s">
        <v>2125</v>
      </c>
      <c r="N118" s="147" t="s">
        <v>2125</v>
      </c>
      <c r="O118" s="147" t="s">
        <v>2125</v>
      </c>
      <c r="P118" s="147" t="s">
        <v>2125</v>
      </c>
      <c r="Q118" s="147" t="s">
        <v>2125</v>
      </c>
      <c r="R118" s="147" t="s">
        <v>2125</v>
      </c>
      <c r="S118" s="147" t="s">
        <v>2520</v>
      </c>
      <c r="T118" s="147" t="s">
        <v>2381</v>
      </c>
      <c r="U118" s="147" t="s">
        <v>2544</v>
      </c>
      <c r="V118" s="147"/>
      <c r="W118" s="147"/>
      <c r="X118" s="147"/>
      <c r="Y118" s="147" t="s">
        <v>2545</v>
      </c>
      <c r="Z118" s="146" t="str">
        <f>"RP-"&amp;Grackle_LED_Map[[#This Row],[Lamp Type]]&amp;"-"&amp;Grackle_LED_Map[[#This Row],[Lamp Length]]&amp;"FT-"&amp;Grackle_LED_Map[[#This Row],[number of led lamps in kit]]&amp;"L-8"&amp;LEFT(Grackle_LED_Map[[#This Row],[CCT]],2)&amp;"-E1-"&amp;Grackle_LED_Map[[#This Row],[Case]]&amp;"-G2"</f>
        <v>RP-T8HO-4FT-2L-830-E1-M-G2</v>
      </c>
      <c r="AA118" s="148" t="str">
        <f>"RP-"&amp;Grackle_LED_Map[[#This Row],[Lamp Type]]&amp;"-"&amp;Grackle_LED_Map[[#This Row],[Lamp Length]]&amp;"FT-"&amp;Grackle_LED_Map[[#This Row],[number of led lamps in kit]]&amp;"L-8"&amp;LEFT(Grackle_LED_Map[[#This Row],[CCT]],2)&amp;"-3W-"&amp;Grackle_LED_Map[[#This Row],[Case]]&amp;"-G2"</f>
        <v>RP-T8HO-4FT-2L-830-3W-M-G2</v>
      </c>
    </row>
    <row r="119" spans="1:27" x14ac:dyDescent="0.25">
      <c r="A119" s="145" t="s">
        <v>1761</v>
      </c>
      <c r="B119" s="146">
        <v>4</v>
      </c>
      <c r="C119" s="146">
        <v>2</v>
      </c>
      <c r="D119" s="147">
        <v>3500</v>
      </c>
      <c r="E119" s="147"/>
      <c r="F119" s="147" t="s">
        <v>632</v>
      </c>
      <c r="G119" s="147" t="s">
        <v>3063</v>
      </c>
      <c r="H119" s="147" t="s">
        <v>3064</v>
      </c>
      <c r="I119" s="147" t="s">
        <v>3065</v>
      </c>
      <c r="J119" s="147" t="s">
        <v>3066</v>
      </c>
      <c r="K119" s="147" t="s">
        <v>3067</v>
      </c>
      <c r="L119" s="147" t="s">
        <v>3068</v>
      </c>
      <c r="M119" s="147" t="s">
        <v>2125</v>
      </c>
      <c r="N119" s="147" t="s">
        <v>2125</v>
      </c>
      <c r="O119" s="147" t="s">
        <v>2125</v>
      </c>
      <c r="P119" s="147" t="s">
        <v>2125</v>
      </c>
      <c r="Q119" s="147" t="s">
        <v>2125</v>
      </c>
      <c r="R119" s="147" t="s">
        <v>2125</v>
      </c>
      <c r="S119" s="147" t="s">
        <v>2520</v>
      </c>
      <c r="T119" s="147" t="s">
        <v>2381</v>
      </c>
      <c r="U119" s="147" t="s">
        <v>2550</v>
      </c>
      <c r="V119" s="147"/>
      <c r="W119" s="147"/>
      <c r="X119" s="147"/>
      <c r="Y119" s="147" t="s">
        <v>2551</v>
      </c>
      <c r="Z119" s="146" t="str">
        <f>"RP-"&amp;Grackle_LED_Map[[#This Row],[Lamp Type]]&amp;"-"&amp;Grackle_LED_Map[[#This Row],[Lamp Length]]&amp;"FT-"&amp;Grackle_LED_Map[[#This Row],[number of led lamps in kit]]&amp;"L-8"&amp;LEFT(Grackle_LED_Map[[#This Row],[CCT]],2)&amp;"-E1-"&amp;Grackle_LED_Map[[#This Row],[Case]]&amp;"-G2"</f>
        <v>RP-T8HO-4FT-2L-835-E1-M-G2</v>
      </c>
      <c r="AA119" s="148" t="str">
        <f>"RP-"&amp;Grackle_LED_Map[[#This Row],[Lamp Type]]&amp;"-"&amp;Grackle_LED_Map[[#This Row],[Lamp Length]]&amp;"FT-"&amp;Grackle_LED_Map[[#This Row],[number of led lamps in kit]]&amp;"L-8"&amp;LEFT(Grackle_LED_Map[[#This Row],[CCT]],2)&amp;"-3W-"&amp;Grackle_LED_Map[[#This Row],[Case]]&amp;"-G2"</f>
        <v>RP-T8HO-4FT-2L-835-3W-M-G2</v>
      </c>
    </row>
    <row r="120" spans="1:27" x14ac:dyDescent="0.25">
      <c r="A120" s="145" t="s">
        <v>1761</v>
      </c>
      <c r="B120" s="146">
        <v>4</v>
      </c>
      <c r="C120" s="146">
        <v>2</v>
      </c>
      <c r="D120" s="147">
        <v>4000</v>
      </c>
      <c r="E120" s="147"/>
      <c r="F120" s="147" t="s">
        <v>632</v>
      </c>
      <c r="G120" s="147" t="s">
        <v>3069</v>
      </c>
      <c r="H120" s="147" t="s">
        <v>3070</v>
      </c>
      <c r="I120" s="147" t="s">
        <v>3071</v>
      </c>
      <c r="J120" s="147" t="s">
        <v>3072</v>
      </c>
      <c r="K120" s="147" t="s">
        <v>3073</v>
      </c>
      <c r="L120" s="147" t="s">
        <v>3074</v>
      </c>
      <c r="M120" s="147" t="s">
        <v>2125</v>
      </c>
      <c r="N120" s="147" t="s">
        <v>2125</v>
      </c>
      <c r="O120" s="147" t="s">
        <v>2125</v>
      </c>
      <c r="P120" s="147" t="s">
        <v>2125</v>
      </c>
      <c r="Q120" s="147" t="s">
        <v>2125</v>
      </c>
      <c r="R120" s="147" t="s">
        <v>2125</v>
      </c>
      <c r="S120" s="147" t="s">
        <v>2520</v>
      </c>
      <c r="T120" s="147" t="s">
        <v>2381</v>
      </c>
      <c r="U120" s="147" t="s">
        <v>2556</v>
      </c>
      <c r="V120" s="147"/>
      <c r="W120" s="147"/>
      <c r="X120" s="147"/>
      <c r="Y120" s="147" t="s">
        <v>2557</v>
      </c>
      <c r="Z120" s="146" t="str">
        <f>"RP-"&amp;Grackle_LED_Map[[#This Row],[Lamp Type]]&amp;"-"&amp;Grackle_LED_Map[[#This Row],[Lamp Length]]&amp;"FT-"&amp;Grackle_LED_Map[[#This Row],[number of led lamps in kit]]&amp;"L-8"&amp;LEFT(Grackle_LED_Map[[#This Row],[CCT]],2)&amp;"-E1-"&amp;Grackle_LED_Map[[#This Row],[Case]]&amp;"-G2"</f>
        <v>RP-T8HO-4FT-2L-840-E1-M-G2</v>
      </c>
      <c r="AA120" s="148" t="str">
        <f>"RP-"&amp;Grackle_LED_Map[[#This Row],[Lamp Type]]&amp;"-"&amp;Grackle_LED_Map[[#This Row],[Lamp Length]]&amp;"FT-"&amp;Grackle_LED_Map[[#This Row],[number of led lamps in kit]]&amp;"L-8"&amp;LEFT(Grackle_LED_Map[[#This Row],[CCT]],2)&amp;"-3W-"&amp;Grackle_LED_Map[[#This Row],[Case]]&amp;"-G2"</f>
        <v>RP-T8HO-4FT-2L-840-3W-M-G2</v>
      </c>
    </row>
    <row r="121" spans="1:27" x14ac:dyDescent="0.25">
      <c r="A121" s="145" t="s">
        <v>1761</v>
      </c>
      <c r="B121" s="146">
        <v>4</v>
      </c>
      <c r="C121" s="146">
        <v>2</v>
      </c>
      <c r="D121" s="147">
        <v>5000</v>
      </c>
      <c r="E121" s="147"/>
      <c r="F121" s="147" t="s">
        <v>632</v>
      </c>
      <c r="G121" s="147" t="s">
        <v>3075</v>
      </c>
      <c r="H121" s="147" t="s">
        <v>3076</v>
      </c>
      <c r="I121" s="147" t="s">
        <v>3077</v>
      </c>
      <c r="J121" s="147" t="s">
        <v>3078</v>
      </c>
      <c r="K121" s="147" t="s">
        <v>3079</v>
      </c>
      <c r="L121" s="147" t="s">
        <v>3080</v>
      </c>
      <c r="M121" s="147" t="s">
        <v>2125</v>
      </c>
      <c r="N121" s="147" t="s">
        <v>2125</v>
      </c>
      <c r="O121" s="147"/>
      <c r="P121" s="147"/>
      <c r="Q121" s="147"/>
      <c r="R121" s="147"/>
      <c r="S121" s="147" t="s">
        <v>2520</v>
      </c>
      <c r="T121" s="147" t="s">
        <v>2381</v>
      </c>
      <c r="U121" s="147" t="s">
        <v>2564</v>
      </c>
      <c r="V121" s="147"/>
      <c r="W121" s="147"/>
      <c r="X121" s="147"/>
      <c r="Y121" s="147" t="s">
        <v>2565</v>
      </c>
      <c r="Z121" s="146" t="str">
        <f>"RP-"&amp;Grackle_LED_Map[[#This Row],[Lamp Type]]&amp;"-"&amp;Grackle_LED_Map[[#This Row],[Lamp Length]]&amp;"FT-"&amp;Grackle_LED_Map[[#This Row],[number of led lamps in kit]]&amp;"L-8"&amp;LEFT(Grackle_LED_Map[[#This Row],[CCT]],2)&amp;"-E1-"&amp;Grackle_LED_Map[[#This Row],[Case]]&amp;"-G2"</f>
        <v>RP-T8HO-4FT-2L-850-E1-M-G2</v>
      </c>
      <c r="AA121" s="148" t="str">
        <f>"RP-"&amp;Grackle_LED_Map[[#This Row],[Lamp Type]]&amp;"-"&amp;Grackle_LED_Map[[#This Row],[Lamp Length]]&amp;"FT-"&amp;Grackle_LED_Map[[#This Row],[number of led lamps in kit]]&amp;"L-8"&amp;LEFT(Grackle_LED_Map[[#This Row],[CCT]],2)&amp;"-3W-"&amp;Grackle_LED_Map[[#This Row],[Case]]&amp;"-G2"</f>
        <v>RP-T8HO-4FT-2L-850-3W-M-G2</v>
      </c>
    </row>
    <row r="122" spans="1:27" x14ac:dyDescent="0.25">
      <c r="A122" s="145" t="s">
        <v>1761</v>
      </c>
      <c r="B122" s="146">
        <v>4</v>
      </c>
      <c r="C122" s="146">
        <v>3</v>
      </c>
      <c r="D122" s="147">
        <v>3000</v>
      </c>
      <c r="E122" s="147"/>
      <c r="F122" s="147" t="s">
        <v>632</v>
      </c>
      <c r="G122" s="132" t="s">
        <v>3081</v>
      </c>
      <c r="H122" s="153"/>
      <c r="I122" s="153"/>
      <c r="J122" s="132" t="s">
        <v>3082</v>
      </c>
      <c r="K122" s="153"/>
      <c r="L122" s="153"/>
      <c r="M122" s="147" t="s">
        <v>2125</v>
      </c>
      <c r="N122" s="153"/>
      <c r="O122" s="153"/>
      <c r="P122" s="147"/>
      <c r="Q122" s="153"/>
      <c r="R122" s="153"/>
      <c r="S122" s="147" t="s">
        <v>3026</v>
      </c>
      <c r="T122" s="153"/>
      <c r="U122" s="147" t="s">
        <v>2544</v>
      </c>
      <c r="V122" s="147"/>
      <c r="W122" s="147"/>
      <c r="X122" s="147"/>
      <c r="Y122" s="147" t="s">
        <v>2545</v>
      </c>
      <c r="Z122" s="146" t="str">
        <f>"RP-"&amp;Grackle_LED_Map[[#This Row],[Lamp Type]]&amp;"-"&amp;Grackle_LED_Map[[#This Row],[Lamp Length]]&amp;"FT-"&amp;Grackle_LED_Map[[#This Row],[number of led lamps in kit]]&amp;"L-8"&amp;LEFT(Grackle_LED_Map[[#This Row],[CCT]],2)&amp;"-E1-"&amp;Grackle_LED_Map[[#This Row],[Case]]&amp;"-G2"</f>
        <v>RP-T8HO-4FT-3L-830-E1-M-G2</v>
      </c>
      <c r="AA122" s="154"/>
    </row>
    <row r="123" spans="1:27" x14ac:dyDescent="0.25">
      <c r="A123" s="145" t="s">
        <v>1761</v>
      </c>
      <c r="B123" s="146">
        <v>4</v>
      </c>
      <c r="C123" s="146">
        <v>3</v>
      </c>
      <c r="D123" s="147">
        <v>3500</v>
      </c>
      <c r="E123" s="147"/>
      <c r="F123" s="147" t="s">
        <v>632</v>
      </c>
      <c r="G123" s="132" t="s">
        <v>3083</v>
      </c>
      <c r="H123" s="153"/>
      <c r="I123" s="153"/>
      <c r="J123" s="132" t="s">
        <v>3084</v>
      </c>
      <c r="K123" s="153"/>
      <c r="L123" s="153"/>
      <c r="M123" s="147" t="s">
        <v>2125</v>
      </c>
      <c r="N123" s="153"/>
      <c r="O123" s="153"/>
      <c r="P123" s="147"/>
      <c r="Q123" s="153"/>
      <c r="R123" s="153"/>
      <c r="S123" s="147" t="s">
        <v>3026</v>
      </c>
      <c r="T123" s="153"/>
      <c r="U123" s="147" t="s">
        <v>2550</v>
      </c>
      <c r="V123" s="147"/>
      <c r="W123" s="147"/>
      <c r="X123" s="147"/>
      <c r="Y123" s="147" t="s">
        <v>2551</v>
      </c>
      <c r="Z123" s="146" t="str">
        <f>"RP-"&amp;Grackle_LED_Map[[#This Row],[Lamp Type]]&amp;"-"&amp;Grackle_LED_Map[[#This Row],[Lamp Length]]&amp;"FT-"&amp;Grackle_LED_Map[[#This Row],[number of led lamps in kit]]&amp;"L-8"&amp;LEFT(Grackle_LED_Map[[#This Row],[CCT]],2)&amp;"-E1-"&amp;Grackle_LED_Map[[#This Row],[Case]]&amp;"-G2"</f>
        <v>RP-T8HO-4FT-3L-835-E1-M-G2</v>
      </c>
      <c r="AA123" s="154"/>
    </row>
    <row r="124" spans="1:27" x14ac:dyDescent="0.25">
      <c r="A124" s="145" t="s">
        <v>1761</v>
      </c>
      <c r="B124" s="146">
        <v>4</v>
      </c>
      <c r="C124" s="146">
        <v>3</v>
      </c>
      <c r="D124" s="147">
        <v>4000</v>
      </c>
      <c r="E124" s="147"/>
      <c r="F124" s="147" t="s">
        <v>632</v>
      </c>
      <c r="G124" s="132" t="s">
        <v>3085</v>
      </c>
      <c r="H124" s="153"/>
      <c r="I124" s="153"/>
      <c r="J124" s="132" t="s">
        <v>3086</v>
      </c>
      <c r="K124" s="153"/>
      <c r="L124" s="153"/>
      <c r="M124" s="147" t="s">
        <v>2125</v>
      </c>
      <c r="N124" s="153"/>
      <c r="O124" s="153"/>
      <c r="P124" s="147"/>
      <c r="Q124" s="153"/>
      <c r="R124" s="153"/>
      <c r="S124" s="147" t="s">
        <v>3026</v>
      </c>
      <c r="T124" s="153"/>
      <c r="U124" s="147" t="s">
        <v>2556</v>
      </c>
      <c r="V124" s="147"/>
      <c r="W124" s="147"/>
      <c r="X124" s="147"/>
      <c r="Y124" s="147" t="s">
        <v>2557</v>
      </c>
      <c r="Z124" s="146" t="str">
        <f>"RP-"&amp;Grackle_LED_Map[[#This Row],[Lamp Type]]&amp;"-"&amp;Grackle_LED_Map[[#This Row],[Lamp Length]]&amp;"FT-"&amp;Grackle_LED_Map[[#This Row],[number of led lamps in kit]]&amp;"L-8"&amp;LEFT(Grackle_LED_Map[[#This Row],[CCT]],2)&amp;"-E1-"&amp;Grackle_LED_Map[[#This Row],[Case]]&amp;"-G2"</f>
        <v>RP-T8HO-4FT-3L-840-E1-M-G2</v>
      </c>
      <c r="AA124" s="154"/>
    </row>
    <row r="125" spans="1:27" x14ac:dyDescent="0.25">
      <c r="A125" s="145" t="s">
        <v>1761</v>
      </c>
      <c r="B125" s="146">
        <v>4</v>
      </c>
      <c r="C125" s="146">
        <v>3</v>
      </c>
      <c r="D125" s="147">
        <v>5000</v>
      </c>
      <c r="E125" s="147"/>
      <c r="F125" s="147" t="s">
        <v>632</v>
      </c>
      <c r="G125" s="132" t="s">
        <v>3087</v>
      </c>
      <c r="H125" s="153"/>
      <c r="I125" s="153"/>
      <c r="J125" s="132" t="s">
        <v>3088</v>
      </c>
      <c r="K125" s="153"/>
      <c r="L125" s="153"/>
      <c r="M125" s="147" t="s">
        <v>2125</v>
      </c>
      <c r="N125" s="153"/>
      <c r="O125" s="153"/>
      <c r="P125" s="147"/>
      <c r="Q125" s="153"/>
      <c r="R125" s="153"/>
      <c r="S125" s="147" t="s">
        <v>3026</v>
      </c>
      <c r="T125" s="153"/>
      <c r="U125" s="147" t="s">
        <v>2564</v>
      </c>
      <c r="V125" s="147"/>
      <c r="W125" s="147"/>
      <c r="X125" s="147"/>
      <c r="Y125" s="147" t="s">
        <v>2565</v>
      </c>
      <c r="Z125" s="146" t="str">
        <f>"RP-"&amp;Grackle_LED_Map[[#This Row],[Lamp Type]]&amp;"-"&amp;Grackle_LED_Map[[#This Row],[Lamp Length]]&amp;"FT-"&amp;Grackle_LED_Map[[#This Row],[number of led lamps in kit]]&amp;"L-8"&amp;LEFT(Grackle_LED_Map[[#This Row],[CCT]],2)&amp;"-E1-"&amp;Grackle_LED_Map[[#This Row],[Case]]&amp;"-G2"</f>
        <v>RP-T8HO-4FT-3L-850-E1-M-G2</v>
      </c>
      <c r="AA125" s="154"/>
    </row>
    <row r="126" spans="1:27" x14ac:dyDescent="0.25">
      <c r="A126" s="145" t="s">
        <v>1760</v>
      </c>
      <c r="B126" s="146" t="s">
        <v>1711</v>
      </c>
      <c r="C126" s="146">
        <v>1</v>
      </c>
      <c r="D126" s="147">
        <v>3000</v>
      </c>
      <c r="E126" s="147">
        <v>2500</v>
      </c>
      <c r="F126" s="147" t="s">
        <v>632</v>
      </c>
      <c r="G126" s="147" t="s">
        <v>3089</v>
      </c>
      <c r="H126" s="147" t="s">
        <v>3090</v>
      </c>
      <c r="I126" s="147" t="s">
        <v>3091</v>
      </c>
      <c r="J126" s="147" t="s">
        <v>3092</v>
      </c>
      <c r="K126" s="147" t="s">
        <v>3093</v>
      </c>
      <c r="L126" s="147" t="s">
        <v>3094</v>
      </c>
      <c r="M126" s="147" t="s">
        <v>2125</v>
      </c>
      <c r="N126" s="147" t="s">
        <v>2125</v>
      </c>
      <c r="O126" s="147"/>
      <c r="P126" s="147"/>
      <c r="Q126" s="147"/>
      <c r="R126" s="147"/>
      <c r="S126" s="147" t="s">
        <v>2414</v>
      </c>
      <c r="T126" s="147" t="s">
        <v>2381</v>
      </c>
      <c r="U126" s="147" t="s">
        <v>3095</v>
      </c>
      <c r="V126" s="147"/>
      <c r="W126" s="147"/>
      <c r="X126" s="147"/>
      <c r="Y126" s="147" t="s">
        <v>3096</v>
      </c>
      <c r="Z126" s="146" t="s">
        <v>226</v>
      </c>
      <c r="AA126" s="148" t="s">
        <v>229</v>
      </c>
    </row>
    <row r="127" spans="1:27" x14ac:dyDescent="0.25">
      <c r="A127" s="145" t="s">
        <v>1760</v>
      </c>
      <c r="B127" s="146" t="s">
        <v>1711</v>
      </c>
      <c r="C127" s="146">
        <v>1</v>
      </c>
      <c r="D127" s="147">
        <v>3500</v>
      </c>
      <c r="E127" s="147">
        <v>2500</v>
      </c>
      <c r="F127" s="147" t="s">
        <v>632</v>
      </c>
      <c r="G127" s="147" t="s">
        <v>3097</v>
      </c>
      <c r="H127" s="147" t="s">
        <v>3098</v>
      </c>
      <c r="I127" s="147" t="s">
        <v>3099</v>
      </c>
      <c r="J127" s="147" t="s">
        <v>3100</v>
      </c>
      <c r="K127" s="147" t="s">
        <v>3101</v>
      </c>
      <c r="L127" s="147" t="s">
        <v>3102</v>
      </c>
      <c r="M127" s="147" t="s">
        <v>2125</v>
      </c>
      <c r="N127" s="147" t="s">
        <v>2125</v>
      </c>
      <c r="O127" s="147"/>
      <c r="P127" s="147"/>
      <c r="Q127" s="147"/>
      <c r="R127" s="147"/>
      <c r="S127" s="147" t="s">
        <v>2414</v>
      </c>
      <c r="T127" s="147" t="s">
        <v>2381</v>
      </c>
      <c r="U127" s="147" t="s">
        <v>3103</v>
      </c>
      <c r="V127" s="147"/>
      <c r="W127" s="147"/>
      <c r="X127" s="147"/>
      <c r="Y127" s="147" t="s">
        <v>3104</v>
      </c>
      <c r="Z127" s="146" t="s">
        <v>227</v>
      </c>
      <c r="AA127" s="148" t="s">
        <v>230</v>
      </c>
    </row>
    <row r="128" spans="1:27" x14ac:dyDescent="0.25">
      <c r="A128" s="145" t="s">
        <v>1760</v>
      </c>
      <c r="B128" s="146" t="s">
        <v>1711</v>
      </c>
      <c r="C128" s="146">
        <v>1</v>
      </c>
      <c r="D128" s="147">
        <v>4000</v>
      </c>
      <c r="E128" s="147">
        <v>2500</v>
      </c>
      <c r="F128" s="147" t="s">
        <v>632</v>
      </c>
      <c r="G128" s="147" t="s">
        <v>3105</v>
      </c>
      <c r="H128" s="147" t="s">
        <v>3106</v>
      </c>
      <c r="I128" s="147" t="s">
        <v>3107</v>
      </c>
      <c r="J128" s="147" t="s">
        <v>3108</v>
      </c>
      <c r="K128" s="147" t="s">
        <v>3109</v>
      </c>
      <c r="L128" s="147" t="s">
        <v>3110</v>
      </c>
      <c r="M128" s="147" t="s">
        <v>2125</v>
      </c>
      <c r="N128" s="147" t="s">
        <v>2125</v>
      </c>
      <c r="O128" s="147"/>
      <c r="P128" s="147"/>
      <c r="Q128" s="147"/>
      <c r="R128" s="147"/>
      <c r="S128" s="147" t="s">
        <v>2414</v>
      </c>
      <c r="T128" s="147" t="s">
        <v>2381</v>
      </c>
      <c r="U128" s="147" t="s">
        <v>3111</v>
      </c>
      <c r="V128" s="147"/>
      <c r="W128" s="147"/>
      <c r="X128" s="147"/>
      <c r="Y128" s="147" t="s">
        <v>3112</v>
      </c>
      <c r="Z128" s="146" t="s">
        <v>228</v>
      </c>
      <c r="AA128" s="148" t="s">
        <v>231</v>
      </c>
    </row>
    <row r="129" spans="1:27" x14ac:dyDescent="0.25">
      <c r="A129" s="145" t="s">
        <v>1760</v>
      </c>
      <c r="B129" s="146" t="s">
        <v>1711</v>
      </c>
      <c r="C129" s="146">
        <v>1</v>
      </c>
      <c r="D129" s="147">
        <v>5000</v>
      </c>
      <c r="E129" s="147">
        <v>2500</v>
      </c>
      <c r="F129" s="147" t="s">
        <v>632</v>
      </c>
      <c r="G129" s="147" t="s">
        <v>3113</v>
      </c>
      <c r="H129" s="147" t="s">
        <v>3114</v>
      </c>
      <c r="I129" s="147" t="s">
        <v>3115</v>
      </c>
      <c r="J129" s="147" t="s">
        <v>3116</v>
      </c>
      <c r="K129" s="147" t="s">
        <v>3117</v>
      </c>
      <c r="L129" s="147" t="s">
        <v>3118</v>
      </c>
      <c r="M129" s="147" t="s">
        <v>2125</v>
      </c>
      <c r="N129" s="147" t="s">
        <v>2125</v>
      </c>
      <c r="O129" s="147"/>
      <c r="P129" s="147"/>
      <c r="Q129" s="147"/>
      <c r="R129" s="147"/>
      <c r="S129" s="147" t="s">
        <v>2414</v>
      </c>
      <c r="T129" s="147" t="s">
        <v>2381</v>
      </c>
      <c r="U129" s="147" t="s">
        <v>3119</v>
      </c>
      <c r="V129" s="147"/>
      <c r="W129" s="147"/>
      <c r="X129" s="147"/>
      <c r="Y129" s="147" t="s">
        <v>3120</v>
      </c>
      <c r="Z129" s="146" t="s">
        <v>1712</v>
      </c>
      <c r="AA129" s="148" t="s">
        <v>1801</v>
      </c>
    </row>
    <row r="130" spans="1:27" x14ac:dyDescent="0.25">
      <c r="A130" s="145" t="s">
        <v>1760</v>
      </c>
      <c r="B130" s="146" t="s">
        <v>1711</v>
      </c>
      <c r="C130" s="146">
        <v>2</v>
      </c>
      <c r="D130" s="147">
        <v>3000</v>
      </c>
      <c r="E130" s="147">
        <v>5000</v>
      </c>
      <c r="F130" s="147" t="s">
        <v>632</v>
      </c>
      <c r="G130" s="147" t="s">
        <v>3121</v>
      </c>
      <c r="H130" s="147" t="s">
        <v>3122</v>
      </c>
      <c r="I130" s="147" t="s">
        <v>3123</v>
      </c>
      <c r="J130" s="147" t="s">
        <v>3124</v>
      </c>
      <c r="K130" s="147" t="s">
        <v>3125</v>
      </c>
      <c r="L130" s="147" t="s">
        <v>3126</v>
      </c>
      <c r="M130" s="147" t="s">
        <v>2125</v>
      </c>
      <c r="N130" s="147" t="s">
        <v>2125</v>
      </c>
      <c r="O130" s="147"/>
      <c r="P130" s="147"/>
      <c r="Q130" s="147"/>
      <c r="R130" s="147"/>
      <c r="S130" s="147" t="s">
        <v>2520</v>
      </c>
      <c r="T130" s="147" t="s">
        <v>2381</v>
      </c>
      <c r="U130" s="147" t="s">
        <v>3095</v>
      </c>
      <c r="V130" s="147"/>
      <c r="W130" s="147"/>
      <c r="X130" s="147"/>
      <c r="Y130" s="147" t="s">
        <v>3096</v>
      </c>
      <c r="Z130" s="146" t="s">
        <v>233</v>
      </c>
      <c r="AA130" s="148" t="s">
        <v>236</v>
      </c>
    </row>
    <row r="131" spans="1:27" x14ac:dyDescent="0.25">
      <c r="A131" s="145" t="s">
        <v>1760</v>
      </c>
      <c r="B131" s="146" t="s">
        <v>1711</v>
      </c>
      <c r="C131" s="146">
        <v>2</v>
      </c>
      <c r="D131" s="147">
        <v>3500</v>
      </c>
      <c r="E131" s="147">
        <v>5000</v>
      </c>
      <c r="F131" s="147" t="s">
        <v>632</v>
      </c>
      <c r="G131" s="147" t="s">
        <v>3127</v>
      </c>
      <c r="H131" s="147" t="s">
        <v>3128</v>
      </c>
      <c r="I131" s="147" t="s">
        <v>3129</v>
      </c>
      <c r="J131" s="147" t="s">
        <v>3130</v>
      </c>
      <c r="K131" s="147" t="s">
        <v>3131</v>
      </c>
      <c r="L131" s="147" t="s">
        <v>3132</v>
      </c>
      <c r="M131" s="147" t="s">
        <v>2125</v>
      </c>
      <c r="N131" s="147" t="s">
        <v>2125</v>
      </c>
      <c r="O131" s="147"/>
      <c r="P131" s="147"/>
      <c r="Q131" s="147"/>
      <c r="R131" s="147"/>
      <c r="S131" s="147" t="s">
        <v>2520</v>
      </c>
      <c r="T131" s="147" t="s">
        <v>2381</v>
      </c>
      <c r="U131" s="147" t="s">
        <v>3103</v>
      </c>
      <c r="V131" s="147"/>
      <c r="W131" s="147"/>
      <c r="X131" s="147"/>
      <c r="Y131" s="147" t="s">
        <v>3104</v>
      </c>
      <c r="Z131" s="146" t="s">
        <v>234</v>
      </c>
      <c r="AA131" s="148" t="s">
        <v>237</v>
      </c>
    </row>
    <row r="132" spans="1:27" x14ac:dyDescent="0.25">
      <c r="A132" s="145" t="s">
        <v>1760</v>
      </c>
      <c r="B132" s="146" t="s">
        <v>1711</v>
      </c>
      <c r="C132" s="146">
        <v>2</v>
      </c>
      <c r="D132" s="147">
        <v>4000</v>
      </c>
      <c r="E132" s="147">
        <v>5000</v>
      </c>
      <c r="F132" s="147" t="s">
        <v>632</v>
      </c>
      <c r="G132" s="147" t="s">
        <v>3133</v>
      </c>
      <c r="H132" s="147" t="s">
        <v>3134</v>
      </c>
      <c r="I132" s="147" t="s">
        <v>3135</v>
      </c>
      <c r="J132" s="147" t="s">
        <v>3136</v>
      </c>
      <c r="K132" s="147" t="s">
        <v>3137</v>
      </c>
      <c r="L132" s="147" t="s">
        <v>3138</v>
      </c>
      <c r="M132" s="147" t="s">
        <v>2125</v>
      </c>
      <c r="N132" s="147" t="s">
        <v>2125</v>
      </c>
      <c r="O132" s="147"/>
      <c r="P132" s="147"/>
      <c r="Q132" s="147"/>
      <c r="R132" s="147"/>
      <c r="S132" s="147" t="s">
        <v>2520</v>
      </c>
      <c r="T132" s="147" t="s">
        <v>2381</v>
      </c>
      <c r="U132" s="147" t="s">
        <v>3111</v>
      </c>
      <c r="V132" s="147"/>
      <c r="W132" s="147"/>
      <c r="X132" s="147"/>
      <c r="Y132" s="147" t="s">
        <v>3112</v>
      </c>
      <c r="Z132" s="146" t="s">
        <v>235</v>
      </c>
      <c r="AA132" s="148" t="s">
        <v>238</v>
      </c>
    </row>
    <row r="133" spans="1:27" x14ac:dyDescent="0.25">
      <c r="A133" s="145" t="s">
        <v>1760</v>
      </c>
      <c r="B133" s="146" t="s">
        <v>1711</v>
      </c>
      <c r="C133" s="146">
        <v>2</v>
      </c>
      <c r="D133" s="147">
        <v>5000</v>
      </c>
      <c r="E133" s="147">
        <v>5000</v>
      </c>
      <c r="F133" s="147" t="s">
        <v>632</v>
      </c>
      <c r="G133" s="147" t="s">
        <v>3139</v>
      </c>
      <c r="H133" s="147" t="s">
        <v>3140</v>
      </c>
      <c r="I133" s="147" t="s">
        <v>3141</v>
      </c>
      <c r="J133" s="147" t="s">
        <v>3142</v>
      </c>
      <c r="K133" s="147" t="s">
        <v>3143</v>
      </c>
      <c r="L133" s="147" t="s">
        <v>3144</v>
      </c>
      <c r="M133" s="147" t="s">
        <v>2125</v>
      </c>
      <c r="N133" s="147" t="s">
        <v>2125</v>
      </c>
      <c r="O133" s="147"/>
      <c r="P133" s="147"/>
      <c r="Q133" s="147"/>
      <c r="R133" s="147"/>
      <c r="S133" s="147" t="s">
        <v>2520</v>
      </c>
      <c r="T133" s="147" t="s">
        <v>2381</v>
      </c>
      <c r="U133" s="147" t="s">
        <v>3119</v>
      </c>
      <c r="V133" s="147"/>
      <c r="W133" s="147"/>
      <c r="X133" s="147"/>
      <c r="Y133" s="147" t="s">
        <v>3120</v>
      </c>
      <c r="Z133" s="146" t="s">
        <v>1713</v>
      </c>
      <c r="AA133" s="148" t="s">
        <v>1802</v>
      </c>
    </row>
    <row r="134" spans="1:27" x14ac:dyDescent="0.25">
      <c r="A134" s="145" t="s">
        <v>1760</v>
      </c>
      <c r="B134" s="146" t="s">
        <v>1711</v>
      </c>
      <c r="C134" s="146">
        <v>3</v>
      </c>
      <c r="D134" s="147">
        <v>3000</v>
      </c>
      <c r="E134" s="147">
        <v>7500</v>
      </c>
      <c r="F134" s="147" t="s">
        <v>632</v>
      </c>
      <c r="G134" s="147" t="s">
        <v>3145</v>
      </c>
      <c r="H134" s="153"/>
      <c r="I134" s="153"/>
      <c r="J134" s="147" t="s">
        <v>3146</v>
      </c>
      <c r="K134" s="153"/>
      <c r="L134" s="153"/>
      <c r="M134" s="147" t="s">
        <v>2125</v>
      </c>
      <c r="N134" s="153"/>
      <c r="O134" s="153"/>
      <c r="P134" s="147"/>
      <c r="Q134" s="153"/>
      <c r="R134" s="153"/>
      <c r="S134" s="147" t="s">
        <v>3026</v>
      </c>
      <c r="T134" s="153"/>
      <c r="U134" s="147" t="s">
        <v>3095</v>
      </c>
      <c r="V134" s="147"/>
      <c r="W134" s="147"/>
      <c r="X134" s="147"/>
      <c r="Y134" s="147" t="s">
        <v>3096</v>
      </c>
      <c r="Z134" s="146" t="s">
        <v>424</v>
      </c>
      <c r="AA134" s="154"/>
    </row>
    <row r="135" spans="1:27" x14ac:dyDescent="0.25">
      <c r="A135" s="145" t="s">
        <v>1760</v>
      </c>
      <c r="B135" s="146" t="s">
        <v>1711</v>
      </c>
      <c r="C135" s="146">
        <v>3</v>
      </c>
      <c r="D135" s="147">
        <v>3500</v>
      </c>
      <c r="E135" s="147">
        <v>7500</v>
      </c>
      <c r="F135" s="147" t="s">
        <v>632</v>
      </c>
      <c r="G135" s="147" t="s">
        <v>3147</v>
      </c>
      <c r="H135" s="153"/>
      <c r="I135" s="153"/>
      <c r="J135" s="147" t="s">
        <v>3148</v>
      </c>
      <c r="K135" s="153"/>
      <c r="L135" s="153"/>
      <c r="M135" s="147" t="s">
        <v>2125</v>
      </c>
      <c r="N135" s="153"/>
      <c r="O135" s="153"/>
      <c r="P135" s="147"/>
      <c r="Q135" s="153"/>
      <c r="R135" s="153"/>
      <c r="S135" s="147" t="s">
        <v>3026</v>
      </c>
      <c r="T135" s="153"/>
      <c r="U135" s="147" t="s">
        <v>3103</v>
      </c>
      <c r="V135" s="147"/>
      <c r="W135" s="147"/>
      <c r="X135" s="147"/>
      <c r="Y135" s="147" t="s">
        <v>3104</v>
      </c>
      <c r="Z135" s="146" t="s">
        <v>425</v>
      </c>
      <c r="AA135" s="154"/>
    </row>
    <row r="136" spans="1:27" x14ac:dyDescent="0.25">
      <c r="A136" s="145" t="s">
        <v>1760</v>
      </c>
      <c r="B136" s="146" t="s">
        <v>1711</v>
      </c>
      <c r="C136" s="146">
        <v>3</v>
      </c>
      <c r="D136" s="147">
        <v>4000</v>
      </c>
      <c r="E136" s="147">
        <v>7500</v>
      </c>
      <c r="F136" s="147" t="s">
        <v>632</v>
      </c>
      <c r="G136" s="147" t="s">
        <v>3149</v>
      </c>
      <c r="H136" s="153"/>
      <c r="I136" s="153"/>
      <c r="J136" s="147" t="s">
        <v>3150</v>
      </c>
      <c r="K136" s="153"/>
      <c r="L136" s="153"/>
      <c r="M136" s="147" t="s">
        <v>2125</v>
      </c>
      <c r="N136" s="153"/>
      <c r="O136" s="153"/>
      <c r="P136" s="147"/>
      <c r="Q136" s="153"/>
      <c r="R136" s="153"/>
      <c r="S136" s="147" t="s">
        <v>3026</v>
      </c>
      <c r="T136" s="153"/>
      <c r="U136" s="147" t="s">
        <v>3111</v>
      </c>
      <c r="V136" s="147"/>
      <c r="W136" s="147"/>
      <c r="X136" s="147"/>
      <c r="Y136" s="147" t="s">
        <v>3112</v>
      </c>
      <c r="Z136" s="146" t="s">
        <v>426</v>
      </c>
      <c r="AA136" s="154"/>
    </row>
    <row r="137" spans="1:27" x14ac:dyDescent="0.25">
      <c r="A137" s="145" t="s">
        <v>1760</v>
      </c>
      <c r="B137" s="146" t="s">
        <v>1711</v>
      </c>
      <c r="C137" s="146">
        <v>3</v>
      </c>
      <c r="D137" s="147">
        <v>5000</v>
      </c>
      <c r="E137" s="147">
        <v>7500</v>
      </c>
      <c r="F137" s="147" t="s">
        <v>632</v>
      </c>
      <c r="G137" s="147" t="s">
        <v>3151</v>
      </c>
      <c r="H137" s="153"/>
      <c r="I137" s="153"/>
      <c r="J137" s="147" t="s">
        <v>3152</v>
      </c>
      <c r="K137" s="153"/>
      <c r="L137" s="153"/>
      <c r="M137" s="147" t="s">
        <v>2125</v>
      </c>
      <c r="N137" s="153"/>
      <c r="O137" s="153"/>
      <c r="P137" s="147"/>
      <c r="Q137" s="153"/>
      <c r="R137" s="153"/>
      <c r="S137" s="147" t="s">
        <v>3026</v>
      </c>
      <c r="T137" s="153"/>
      <c r="U137" s="147" t="s">
        <v>3119</v>
      </c>
      <c r="V137" s="147"/>
      <c r="W137" s="147"/>
      <c r="X137" s="147"/>
      <c r="Y137" s="147" t="s">
        <v>3120</v>
      </c>
      <c r="Z137" s="146" t="s">
        <v>1714</v>
      </c>
      <c r="AA137" s="154"/>
    </row>
    <row r="138" spans="1:27" x14ac:dyDescent="0.25">
      <c r="A138" s="145" t="s">
        <v>1759</v>
      </c>
      <c r="B138" s="146" t="s">
        <v>1673</v>
      </c>
      <c r="C138" s="146">
        <v>1</v>
      </c>
      <c r="D138" s="147">
        <v>3000</v>
      </c>
      <c r="E138" s="147">
        <v>900</v>
      </c>
      <c r="F138" s="147" t="s">
        <v>150</v>
      </c>
      <c r="G138" s="149" t="s">
        <v>1426</v>
      </c>
      <c r="H138" s="149" t="s">
        <v>1455</v>
      </c>
      <c r="I138" s="155"/>
      <c r="J138" s="149" t="s">
        <v>3153</v>
      </c>
      <c r="K138" s="149" t="s">
        <v>3154</v>
      </c>
      <c r="L138" s="155"/>
      <c r="M138" s="149" t="s">
        <v>1532</v>
      </c>
      <c r="N138" s="149" t="s">
        <v>1559</v>
      </c>
      <c r="O138" s="155"/>
      <c r="P138" s="147" t="s">
        <v>2543</v>
      </c>
      <c r="Q138" s="147" t="s">
        <v>2543</v>
      </c>
      <c r="R138" s="155"/>
      <c r="S138" s="147" t="s">
        <v>3155</v>
      </c>
      <c r="T138" s="147" t="s">
        <v>3156</v>
      </c>
      <c r="U138" s="147" t="s">
        <v>3157</v>
      </c>
      <c r="V138" s="147"/>
      <c r="W138" s="147"/>
      <c r="X138" s="147" t="s">
        <v>89</v>
      </c>
      <c r="Y138" s="147" t="s">
        <v>3158</v>
      </c>
      <c r="Z138" s="147" t="s">
        <v>2322</v>
      </c>
      <c r="AA138" s="147" t="s">
        <v>2321</v>
      </c>
    </row>
    <row r="139" spans="1:27" x14ac:dyDescent="0.25">
      <c r="A139" s="145" t="s">
        <v>1759</v>
      </c>
      <c r="B139" s="146" t="s">
        <v>1673</v>
      </c>
      <c r="C139" s="146">
        <v>1</v>
      </c>
      <c r="D139" s="147">
        <v>3500</v>
      </c>
      <c r="E139" s="147">
        <v>900</v>
      </c>
      <c r="F139" s="147" t="s">
        <v>150</v>
      </c>
      <c r="G139" s="149" t="s">
        <v>1427</v>
      </c>
      <c r="H139" s="149" t="s">
        <v>1456</v>
      </c>
      <c r="I139" s="155"/>
      <c r="J139" s="149" t="s">
        <v>3159</v>
      </c>
      <c r="K139" s="149" t="s">
        <v>3160</v>
      </c>
      <c r="L139" s="155"/>
      <c r="M139" s="149" t="s">
        <v>1533</v>
      </c>
      <c r="N139" s="149" t="s">
        <v>1560</v>
      </c>
      <c r="O139" s="155"/>
      <c r="P139" s="147" t="s">
        <v>2543</v>
      </c>
      <c r="Q139" s="147" t="s">
        <v>2543</v>
      </c>
      <c r="R139" s="155"/>
      <c r="S139" s="147" t="s">
        <v>3155</v>
      </c>
      <c r="T139" s="147" t="s">
        <v>3156</v>
      </c>
      <c r="U139" s="147" t="s">
        <v>3161</v>
      </c>
      <c r="V139" s="147"/>
      <c r="W139" s="147"/>
      <c r="X139" s="147" t="s">
        <v>89</v>
      </c>
      <c r="Y139" s="147" t="s">
        <v>3162</v>
      </c>
      <c r="Z139" s="147" t="s">
        <v>2324</v>
      </c>
      <c r="AA139" s="147" t="s">
        <v>2323</v>
      </c>
    </row>
    <row r="140" spans="1:27" x14ac:dyDescent="0.25">
      <c r="A140" s="145" t="s">
        <v>1759</v>
      </c>
      <c r="B140" s="146" t="s">
        <v>1673</v>
      </c>
      <c r="C140" s="146">
        <v>1</v>
      </c>
      <c r="D140" s="147">
        <v>4000</v>
      </c>
      <c r="E140" s="147">
        <v>900</v>
      </c>
      <c r="F140" s="147" t="s">
        <v>150</v>
      </c>
      <c r="G140" s="149" t="s">
        <v>1428</v>
      </c>
      <c r="H140" s="149" t="s">
        <v>1457</v>
      </c>
      <c r="I140" s="155"/>
      <c r="J140" s="149" t="s">
        <v>3163</v>
      </c>
      <c r="K140" s="149" t="s">
        <v>3164</v>
      </c>
      <c r="L140" s="155"/>
      <c r="M140" s="149" t="s">
        <v>1534</v>
      </c>
      <c r="N140" s="149" t="s">
        <v>1561</v>
      </c>
      <c r="O140" s="155"/>
      <c r="P140" s="147" t="s">
        <v>2543</v>
      </c>
      <c r="Q140" s="147" t="s">
        <v>2543</v>
      </c>
      <c r="R140" s="155"/>
      <c r="S140" s="147" t="s">
        <v>3155</v>
      </c>
      <c r="T140" s="147" t="s">
        <v>3156</v>
      </c>
      <c r="U140" s="147" t="s">
        <v>3165</v>
      </c>
      <c r="V140" s="147"/>
      <c r="W140" s="147"/>
      <c r="X140" s="147" t="s">
        <v>89</v>
      </c>
      <c r="Y140" s="147" t="s">
        <v>3166</v>
      </c>
      <c r="Z140" s="147" t="s">
        <v>2326</v>
      </c>
      <c r="AA140" s="147" t="s">
        <v>2325</v>
      </c>
    </row>
    <row r="141" spans="1:27" x14ac:dyDescent="0.25">
      <c r="A141" s="156" t="s">
        <v>1759</v>
      </c>
      <c r="B141" s="157" t="s">
        <v>1673</v>
      </c>
      <c r="C141" s="157">
        <v>1</v>
      </c>
      <c r="D141" s="153">
        <v>5000</v>
      </c>
      <c r="E141" s="153">
        <v>900</v>
      </c>
      <c r="F141" s="153" t="s">
        <v>150</v>
      </c>
      <c r="G141" s="153"/>
      <c r="H141" s="153"/>
      <c r="I141" s="153"/>
      <c r="J141" s="153"/>
      <c r="K141" s="153"/>
      <c r="L141" s="153"/>
      <c r="M141" s="153" t="s">
        <v>2125</v>
      </c>
      <c r="N141" s="153" t="s">
        <v>2125</v>
      </c>
      <c r="O141" s="153"/>
      <c r="P141" s="153"/>
      <c r="Q141" s="153"/>
      <c r="R141" s="153"/>
      <c r="S141" s="153" t="s">
        <v>2125</v>
      </c>
      <c r="T141" s="153" t="s">
        <v>2125</v>
      </c>
      <c r="U141" s="153"/>
      <c r="V141" s="153"/>
      <c r="W141" s="153"/>
      <c r="X141" s="153"/>
      <c r="Y141" s="153"/>
      <c r="Z141" s="153"/>
      <c r="AA141" s="153"/>
    </row>
    <row r="142" spans="1:27" x14ac:dyDescent="0.25">
      <c r="A142" s="145" t="s">
        <v>1759</v>
      </c>
      <c r="B142" s="146" t="s">
        <v>1673</v>
      </c>
      <c r="C142" s="146">
        <v>2</v>
      </c>
      <c r="D142" s="147">
        <v>3000</v>
      </c>
      <c r="E142" s="147">
        <v>1800</v>
      </c>
      <c r="F142" s="147" t="s">
        <v>150</v>
      </c>
      <c r="G142" s="147" t="s">
        <v>3167</v>
      </c>
      <c r="H142" s="147" t="s">
        <v>3168</v>
      </c>
      <c r="I142" s="155"/>
      <c r="J142" s="147" t="s">
        <v>3169</v>
      </c>
      <c r="K142" s="147" t="s">
        <v>3170</v>
      </c>
      <c r="L142" s="155"/>
      <c r="M142" s="147" t="s">
        <v>2125</v>
      </c>
      <c r="N142" s="147" t="s">
        <v>2125</v>
      </c>
      <c r="O142" s="155"/>
      <c r="P142" s="147"/>
      <c r="Q142" s="147"/>
      <c r="R142" s="155"/>
      <c r="S142" s="147" t="s">
        <v>3171</v>
      </c>
      <c r="T142" s="147" t="s">
        <v>3156</v>
      </c>
      <c r="U142" s="147" t="s">
        <v>3157</v>
      </c>
      <c r="V142" s="147"/>
      <c r="W142" s="147"/>
      <c r="X142" s="147" t="s">
        <v>89</v>
      </c>
      <c r="Y142" s="147" t="s">
        <v>3158</v>
      </c>
      <c r="Z142" s="147" t="s">
        <v>1677</v>
      </c>
      <c r="AA142" s="147" t="s">
        <v>1771</v>
      </c>
    </row>
    <row r="143" spans="1:27" x14ac:dyDescent="0.25">
      <c r="A143" s="145" t="s">
        <v>1759</v>
      </c>
      <c r="B143" s="146" t="s">
        <v>1673</v>
      </c>
      <c r="C143" s="146">
        <v>2</v>
      </c>
      <c r="D143" s="147">
        <v>3500</v>
      </c>
      <c r="E143" s="147">
        <v>1800</v>
      </c>
      <c r="F143" s="147" t="s">
        <v>150</v>
      </c>
      <c r="G143" s="147" t="s">
        <v>3172</v>
      </c>
      <c r="H143" s="147" t="s">
        <v>3173</v>
      </c>
      <c r="I143" s="155"/>
      <c r="J143" s="147" t="s">
        <v>3174</v>
      </c>
      <c r="K143" s="147" t="s">
        <v>3175</v>
      </c>
      <c r="L143" s="155"/>
      <c r="M143" s="147" t="s">
        <v>2125</v>
      </c>
      <c r="N143" s="147" t="s">
        <v>2125</v>
      </c>
      <c r="O143" s="155"/>
      <c r="P143" s="147"/>
      <c r="Q143" s="147"/>
      <c r="R143" s="155"/>
      <c r="S143" s="147" t="s">
        <v>3171</v>
      </c>
      <c r="T143" s="147" t="s">
        <v>3156</v>
      </c>
      <c r="U143" s="147" t="s">
        <v>3161</v>
      </c>
      <c r="V143" s="147"/>
      <c r="W143" s="147"/>
      <c r="X143" s="147" t="s">
        <v>89</v>
      </c>
      <c r="Y143" s="147" t="s">
        <v>3162</v>
      </c>
      <c r="Z143" s="147" t="s">
        <v>1679</v>
      </c>
      <c r="AA143" s="147" t="s">
        <v>1773</v>
      </c>
    </row>
    <row r="144" spans="1:27" x14ac:dyDescent="0.25">
      <c r="A144" s="145" t="s">
        <v>1759</v>
      </c>
      <c r="B144" s="146" t="s">
        <v>1673</v>
      </c>
      <c r="C144" s="146">
        <v>2</v>
      </c>
      <c r="D144" s="147">
        <v>4000</v>
      </c>
      <c r="E144" s="147">
        <v>1800</v>
      </c>
      <c r="F144" s="147" t="s">
        <v>150</v>
      </c>
      <c r="G144" s="147" t="s">
        <v>3176</v>
      </c>
      <c r="H144" s="147" t="s">
        <v>3177</v>
      </c>
      <c r="I144" s="155"/>
      <c r="J144" s="147" t="s">
        <v>3178</v>
      </c>
      <c r="K144" s="147" t="s">
        <v>3179</v>
      </c>
      <c r="L144" s="155"/>
      <c r="M144" s="147" t="s">
        <v>2125</v>
      </c>
      <c r="N144" s="147" t="s">
        <v>2125</v>
      </c>
      <c r="O144" s="155"/>
      <c r="P144" s="147"/>
      <c r="Q144" s="147"/>
      <c r="R144" s="155"/>
      <c r="S144" s="147" t="s">
        <v>3171</v>
      </c>
      <c r="T144" s="147" t="s">
        <v>3156</v>
      </c>
      <c r="U144" s="147" t="s">
        <v>3165</v>
      </c>
      <c r="V144" s="147"/>
      <c r="W144" s="147"/>
      <c r="X144" s="147" t="s">
        <v>89</v>
      </c>
      <c r="Y144" s="147" t="s">
        <v>3166</v>
      </c>
      <c r="Z144" s="147" t="s">
        <v>1681</v>
      </c>
      <c r="AA144" s="147" t="s">
        <v>1775</v>
      </c>
    </row>
    <row r="145" spans="1:27" x14ac:dyDescent="0.25">
      <c r="A145" s="156" t="s">
        <v>1759</v>
      </c>
      <c r="B145" s="157" t="s">
        <v>1673</v>
      </c>
      <c r="C145" s="157">
        <v>2</v>
      </c>
      <c r="D145" s="153">
        <v>5000</v>
      </c>
      <c r="E145" s="153">
        <v>1800</v>
      </c>
      <c r="F145" s="153" t="s">
        <v>150</v>
      </c>
      <c r="G145" s="153"/>
      <c r="H145" s="153"/>
      <c r="I145" s="153"/>
      <c r="J145" s="153"/>
      <c r="K145" s="153"/>
      <c r="L145" s="153"/>
      <c r="M145" s="153" t="s">
        <v>2125</v>
      </c>
      <c r="N145" s="153" t="s">
        <v>2125</v>
      </c>
      <c r="O145" s="153"/>
      <c r="P145" s="153"/>
      <c r="Q145" s="153"/>
      <c r="R145" s="153"/>
      <c r="S145" s="153" t="s">
        <v>2125</v>
      </c>
      <c r="T145" s="153" t="s">
        <v>2125</v>
      </c>
      <c r="U145" s="153"/>
      <c r="V145" s="153"/>
      <c r="W145" s="153"/>
      <c r="X145" s="153"/>
      <c r="Y145" s="153"/>
      <c r="Z145" s="153"/>
      <c r="AA145" s="153"/>
    </row>
    <row r="146" spans="1:27" x14ac:dyDescent="0.25">
      <c r="A146" s="145" t="s">
        <v>1759</v>
      </c>
      <c r="B146" s="146" t="s">
        <v>1665</v>
      </c>
      <c r="C146" s="146">
        <v>1</v>
      </c>
      <c r="D146" s="147">
        <v>3000</v>
      </c>
      <c r="E146" s="147">
        <v>1000</v>
      </c>
      <c r="F146" s="147" t="s">
        <v>150</v>
      </c>
      <c r="G146" s="149" t="s">
        <v>1431</v>
      </c>
      <c r="H146" s="149" t="s">
        <v>1458</v>
      </c>
      <c r="I146" s="155"/>
      <c r="J146" s="149" t="s">
        <v>3180</v>
      </c>
      <c r="K146" s="149" t="s">
        <v>3181</v>
      </c>
      <c r="L146" s="155"/>
      <c r="M146" s="149" t="s">
        <v>1526</v>
      </c>
      <c r="N146" s="149" t="s">
        <v>1553</v>
      </c>
      <c r="O146" s="155"/>
      <c r="P146" s="147" t="s">
        <v>2543</v>
      </c>
      <c r="Q146" s="147" t="s">
        <v>2543</v>
      </c>
      <c r="R146" s="155"/>
      <c r="S146" s="147" t="s">
        <v>3155</v>
      </c>
      <c r="T146" s="147" t="s">
        <v>3156</v>
      </c>
      <c r="U146" s="147" t="s">
        <v>3182</v>
      </c>
      <c r="V146" s="147"/>
      <c r="W146" s="147"/>
      <c r="X146" s="147" t="s">
        <v>106</v>
      </c>
      <c r="Y146" s="147" t="s">
        <v>3183</v>
      </c>
      <c r="Z146" s="147" t="s">
        <v>2316</v>
      </c>
      <c r="AA146" s="147" t="s">
        <v>2315</v>
      </c>
    </row>
    <row r="147" spans="1:27" x14ac:dyDescent="0.25">
      <c r="A147" s="145" t="s">
        <v>1759</v>
      </c>
      <c r="B147" s="146" t="s">
        <v>1665</v>
      </c>
      <c r="C147" s="146">
        <v>1</v>
      </c>
      <c r="D147" s="147">
        <v>3500</v>
      </c>
      <c r="E147" s="147">
        <v>1000</v>
      </c>
      <c r="F147" s="147" t="s">
        <v>150</v>
      </c>
      <c r="G147" s="149" t="s">
        <v>1432</v>
      </c>
      <c r="H147" s="149" t="s">
        <v>1459</v>
      </c>
      <c r="I147" s="155"/>
      <c r="J147" s="149" t="s">
        <v>3184</v>
      </c>
      <c r="K147" s="149" t="s">
        <v>3185</v>
      </c>
      <c r="L147" s="155"/>
      <c r="M147" s="149" t="s">
        <v>1527</v>
      </c>
      <c r="N147" s="149" t="s">
        <v>1554</v>
      </c>
      <c r="O147" s="155"/>
      <c r="P147" s="147" t="s">
        <v>2543</v>
      </c>
      <c r="Q147" s="147" t="s">
        <v>2543</v>
      </c>
      <c r="R147" s="155"/>
      <c r="S147" s="147" t="s">
        <v>3155</v>
      </c>
      <c r="T147" s="147" t="s">
        <v>3156</v>
      </c>
      <c r="U147" s="147" t="s">
        <v>3186</v>
      </c>
      <c r="V147" s="147"/>
      <c r="W147" s="147"/>
      <c r="X147" s="147" t="s">
        <v>106</v>
      </c>
      <c r="Y147" s="147" t="s">
        <v>3187</v>
      </c>
      <c r="Z147" s="147" t="s">
        <v>2318</v>
      </c>
      <c r="AA147" s="147" t="s">
        <v>2317</v>
      </c>
    </row>
    <row r="148" spans="1:27" x14ac:dyDescent="0.25">
      <c r="A148" s="145" t="s">
        <v>1759</v>
      </c>
      <c r="B148" s="146" t="s">
        <v>1665</v>
      </c>
      <c r="C148" s="146">
        <v>1</v>
      </c>
      <c r="D148" s="147">
        <v>4000</v>
      </c>
      <c r="E148" s="147">
        <v>1000</v>
      </c>
      <c r="F148" s="147" t="s">
        <v>150</v>
      </c>
      <c r="G148" s="149" t="s">
        <v>1433</v>
      </c>
      <c r="H148" s="149" t="s">
        <v>1460</v>
      </c>
      <c r="I148" s="155"/>
      <c r="J148" s="149" t="s">
        <v>3188</v>
      </c>
      <c r="K148" s="149" t="s">
        <v>3189</v>
      </c>
      <c r="L148" s="155"/>
      <c r="M148" s="149" t="s">
        <v>1528</v>
      </c>
      <c r="N148" s="149" t="s">
        <v>1555</v>
      </c>
      <c r="O148" s="155"/>
      <c r="P148" s="147" t="s">
        <v>2543</v>
      </c>
      <c r="Q148" s="147" t="s">
        <v>2543</v>
      </c>
      <c r="R148" s="155"/>
      <c r="S148" s="147" t="s">
        <v>3155</v>
      </c>
      <c r="T148" s="147" t="s">
        <v>3156</v>
      </c>
      <c r="U148" s="147" t="s">
        <v>3190</v>
      </c>
      <c r="V148" s="147"/>
      <c r="W148" s="147"/>
      <c r="X148" s="147" t="s">
        <v>106</v>
      </c>
      <c r="Y148" s="147" t="s">
        <v>3191</v>
      </c>
      <c r="Z148" s="147" t="s">
        <v>2320</v>
      </c>
      <c r="AA148" s="147" t="s">
        <v>2319</v>
      </c>
    </row>
    <row r="149" spans="1:27" x14ac:dyDescent="0.25">
      <c r="A149" s="156" t="s">
        <v>1759</v>
      </c>
      <c r="B149" s="157" t="s">
        <v>1665</v>
      </c>
      <c r="C149" s="157">
        <v>1</v>
      </c>
      <c r="D149" s="153">
        <v>5000</v>
      </c>
      <c r="E149" s="153">
        <v>1000</v>
      </c>
      <c r="F149" s="153" t="s">
        <v>150</v>
      </c>
      <c r="G149" s="153"/>
      <c r="H149" s="153"/>
      <c r="I149" s="153"/>
      <c r="J149" s="153"/>
      <c r="K149" s="153"/>
      <c r="L149" s="153"/>
      <c r="M149" s="153" t="s">
        <v>2125</v>
      </c>
      <c r="N149" s="153" t="s">
        <v>2125</v>
      </c>
      <c r="O149" s="153"/>
      <c r="P149" s="153"/>
      <c r="Q149" s="153"/>
      <c r="R149" s="153"/>
      <c r="S149" s="153" t="s">
        <v>2125</v>
      </c>
      <c r="T149" s="153" t="s">
        <v>2125</v>
      </c>
      <c r="U149" s="153"/>
      <c r="V149" s="153"/>
      <c r="W149" s="153"/>
      <c r="X149" s="153"/>
      <c r="Y149" s="153"/>
      <c r="Z149" s="153"/>
      <c r="AA149" s="153"/>
    </row>
    <row r="150" spans="1:27" x14ac:dyDescent="0.25">
      <c r="A150" s="145" t="s">
        <v>1759</v>
      </c>
      <c r="B150" s="146" t="s">
        <v>1665</v>
      </c>
      <c r="C150" s="146">
        <v>2</v>
      </c>
      <c r="D150" s="147">
        <v>3000</v>
      </c>
      <c r="E150" s="147">
        <v>2000</v>
      </c>
      <c r="F150" s="147" t="s">
        <v>150</v>
      </c>
      <c r="G150" s="149" t="s">
        <v>1435</v>
      </c>
      <c r="H150" s="149" t="s">
        <v>1461</v>
      </c>
      <c r="I150" s="155"/>
      <c r="J150" s="149" t="s">
        <v>3192</v>
      </c>
      <c r="K150" s="149" t="s">
        <v>3193</v>
      </c>
      <c r="L150" s="155"/>
      <c r="M150" s="149" t="s">
        <v>1529</v>
      </c>
      <c r="N150" s="149" t="s">
        <v>1556</v>
      </c>
      <c r="O150" s="155"/>
      <c r="P150" s="147" t="s">
        <v>2543</v>
      </c>
      <c r="Q150" s="147" t="s">
        <v>2543</v>
      </c>
      <c r="R150" s="155"/>
      <c r="S150" s="147" t="s">
        <v>3171</v>
      </c>
      <c r="T150" s="147" t="s">
        <v>3156</v>
      </c>
      <c r="U150" s="147" t="s">
        <v>3182</v>
      </c>
      <c r="V150" s="147"/>
      <c r="W150" s="147"/>
      <c r="X150" s="147" t="s">
        <v>106</v>
      </c>
      <c r="Y150" s="147" t="s">
        <v>3183</v>
      </c>
      <c r="Z150" s="147" t="s">
        <v>2328</v>
      </c>
      <c r="AA150" s="147" t="s">
        <v>2327</v>
      </c>
    </row>
    <row r="151" spans="1:27" x14ac:dyDescent="0.25">
      <c r="A151" s="145" t="s">
        <v>1759</v>
      </c>
      <c r="B151" s="146" t="s">
        <v>1665</v>
      </c>
      <c r="C151" s="146">
        <v>2</v>
      </c>
      <c r="D151" s="147">
        <v>3500</v>
      </c>
      <c r="E151" s="147">
        <v>2000</v>
      </c>
      <c r="F151" s="147" t="s">
        <v>150</v>
      </c>
      <c r="G151" s="149" t="s">
        <v>1436</v>
      </c>
      <c r="H151" s="149" t="s">
        <v>1462</v>
      </c>
      <c r="I151" s="155"/>
      <c r="J151" s="149" t="s">
        <v>3194</v>
      </c>
      <c r="K151" s="149" t="s">
        <v>3195</v>
      </c>
      <c r="L151" s="155"/>
      <c r="M151" s="149" t="s">
        <v>1530</v>
      </c>
      <c r="N151" s="149" t="s">
        <v>1557</v>
      </c>
      <c r="O151" s="155"/>
      <c r="P151" s="147" t="s">
        <v>2543</v>
      </c>
      <c r="Q151" s="147" t="s">
        <v>2543</v>
      </c>
      <c r="R151" s="155"/>
      <c r="S151" s="147" t="s">
        <v>3171</v>
      </c>
      <c r="T151" s="147" t="s">
        <v>3156</v>
      </c>
      <c r="U151" s="147" t="s">
        <v>3186</v>
      </c>
      <c r="V151" s="147"/>
      <c r="W151" s="147"/>
      <c r="X151" s="147" t="s">
        <v>106</v>
      </c>
      <c r="Y151" s="147" t="s">
        <v>3187</v>
      </c>
      <c r="Z151" s="147" t="s">
        <v>2330</v>
      </c>
      <c r="AA151" s="147" t="s">
        <v>2329</v>
      </c>
    </row>
    <row r="152" spans="1:27" x14ac:dyDescent="0.25">
      <c r="A152" s="145" t="s">
        <v>1759</v>
      </c>
      <c r="B152" s="146" t="s">
        <v>1665</v>
      </c>
      <c r="C152" s="146">
        <v>2</v>
      </c>
      <c r="D152" s="147">
        <v>4000</v>
      </c>
      <c r="E152" s="147">
        <v>2000</v>
      </c>
      <c r="F152" s="147" t="s">
        <v>150</v>
      </c>
      <c r="G152" s="149" t="s">
        <v>1437</v>
      </c>
      <c r="H152" s="149" t="s">
        <v>1463</v>
      </c>
      <c r="I152" s="155"/>
      <c r="J152" s="149" t="s">
        <v>3196</v>
      </c>
      <c r="K152" s="149" t="s">
        <v>3197</v>
      </c>
      <c r="L152" s="155"/>
      <c r="M152" s="149" t="s">
        <v>1531</v>
      </c>
      <c r="N152" s="149" t="s">
        <v>1558</v>
      </c>
      <c r="O152" s="155"/>
      <c r="P152" s="147" t="s">
        <v>2543</v>
      </c>
      <c r="Q152" s="147" t="s">
        <v>2543</v>
      </c>
      <c r="R152" s="155"/>
      <c r="S152" s="147" t="s">
        <v>3171</v>
      </c>
      <c r="T152" s="147" t="s">
        <v>3156</v>
      </c>
      <c r="U152" s="147" t="s">
        <v>3190</v>
      </c>
      <c r="V152" s="147"/>
      <c r="W152" s="147"/>
      <c r="X152" s="147" t="s">
        <v>106</v>
      </c>
      <c r="Y152" s="147" t="s">
        <v>3191</v>
      </c>
      <c r="Z152" s="147" t="s">
        <v>2332</v>
      </c>
      <c r="AA152" s="147" t="s">
        <v>2331</v>
      </c>
    </row>
    <row r="153" spans="1:27" x14ac:dyDescent="0.25">
      <c r="A153" s="156" t="s">
        <v>1759</v>
      </c>
      <c r="B153" s="157" t="s">
        <v>1665</v>
      </c>
      <c r="C153" s="157">
        <v>2</v>
      </c>
      <c r="D153" s="153">
        <v>5000</v>
      </c>
      <c r="E153" s="153">
        <v>2000</v>
      </c>
      <c r="F153" s="153" t="s">
        <v>150</v>
      </c>
      <c r="G153" s="153"/>
      <c r="H153" s="153"/>
      <c r="I153" s="153"/>
      <c r="J153" s="153"/>
      <c r="K153" s="153"/>
      <c r="L153" s="153"/>
      <c r="M153" s="153" t="s">
        <v>2125</v>
      </c>
      <c r="N153" s="153" t="s">
        <v>2125</v>
      </c>
      <c r="O153" s="153"/>
      <c r="P153" s="153"/>
      <c r="Q153" s="153"/>
      <c r="R153" s="153"/>
      <c r="S153" s="153" t="s">
        <v>2125</v>
      </c>
      <c r="T153" s="153" t="s">
        <v>2125</v>
      </c>
      <c r="U153" s="153"/>
      <c r="V153" s="153"/>
      <c r="W153" s="153"/>
      <c r="X153" s="153"/>
      <c r="Y153" s="153"/>
      <c r="Z153" s="153"/>
      <c r="AA153" s="153"/>
    </row>
    <row r="154" spans="1:27" x14ac:dyDescent="0.25">
      <c r="A154" s="145" t="s">
        <v>1759</v>
      </c>
      <c r="B154" s="146" t="s">
        <v>1697</v>
      </c>
      <c r="C154" s="146">
        <v>1</v>
      </c>
      <c r="D154" s="147">
        <v>3000</v>
      </c>
      <c r="E154" s="147">
        <v>1200</v>
      </c>
      <c r="F154" s="147" t="s">
        <v>150</v>
      </c>
      <c r="G154" s="147" t="s">
        <v>3198</v>
      </c>
      <c r="H154" s="147" t="s">
        <v>3199</v>
      </c>
      <c r="I154" s="155"/>
      <c r="J154" s="147" t="s">
        <v>3200</v>
      </c>
      <c r="K154" s="147" t="s">
        <v>3201</v>
      </c>
      <c r="L154" s="155"/>
      <c r="M154" s="147" t="s">
        <v>2125</v>
      </c>
      <c r="N154" s="147" t="s">
        <v>2125</v>
      </c>
      <c r="O154" s="155"/>
      <c r="P154" s="147"/>
      <c r="Q154" s="147"/>
      <c r="R154" s="155"/>
      <c r="S154" s="147" t="s">
        <v>3171</v>
      </c>
      <c r="T154" s="147" t="s">
        <v>3156</v>
      </c>
      <c r="U154" s="147" t="s">
        <v>3202</v>
      </c>
      <c r="V154" s="147"/>
      <c r="W154" s="147"/>
      <c r="X154" s="147" t="s">
        <v>113</v>
      </c>
      <c r="Y154" s="147" t="s">
        <v>3203</v>
      </c>
      <c r="Z154" s="147" t="s">
        <v>1698</v>
      </c>
      <c r="AA154" s="147" t="s">
        <v>1789</v>
      </c>
    </row>
    <row r="155" spans="1:27" x14ac:dyDescent="0.25">
      <c r="A155" s="145" t="s">
        <v>1759</v>
      </c>
      <c r="B155" s="146" t="s">
        <v>1697</v>
      </c>
      <c r="C155" s="146">
        <v>1</v>
      </c>
      <c r="D155" s="147">
        <v>3500</v>
      </c>
      <c r="E155" s="147">
        <v>1200</v>
      </c>
      <c r="F155" s="147" t="s">
        <v>150</v>
      </c>
      <c r="G155" s="147" t="s">
        <v>3204</v>
      </c>
      <c r="H155" s="147" t="s">
        <v>3205</v>
      </c>
      <c r="I155" s="155"/>
      <c r="J155" s="147" t="s">
        <v>3206</v>
      </c>
      <c r="K155" s="147" t="s">
        <v>3207</v>
      </c>
      <c r="L155" s="155"/>
      <c r="M155" s="147" t="s">
        <v>2125</v>
      </c>
      <c r="N155" s="147" t="s">
        <v>2125</v>
      </c>
      <c r="O155" s="155"/>
      <c r="P155" s="147"/>
      <c r="Q155" s="147"/>
      <c r="R155" s="155"/>
      <c r="S155" s="147" t="s">
        <v>3171</v>
      </c>
      <c r="T155" s="147" t="s">
        <v>3156</v>
      </c>
      <c r="U155" s="147" t="s">
        <v>3208</v>
      </c>
      <c r="V155" s="147"/>
      <c r="W155" s="147"/>
      <c r="X155" s="147" t="s">
        <v>113</v>
      </c>
      <c r="Y155" s="147" t="s">
        <v>3209</v>
      </c>
      <c r="Z155" s="147" t="s">
        <v>1700</v>
      </c>
      <c r="AA155" s="147" t="s">
        <v>1791</v>
      </c>
    </row>
    <row r="156" spans="1:27" x14ac:dyDescent="0.25">
      <c r="A156" s="145" t="s">
        <v>1759</v>
      </c>
      <c r="B156" s="146" t="s">
        <v>1697</v>
      </c>
      <c r="C156" s="146">
        <v>1</v>
      </c>
      <c r="D156" s="147">
        <v>4000</v>
      </c>
      <c r="E156" s="147">
        <v>1200</v>
      </c>
      <c r="F156" s="147" t="s">
        <v>150</v>
      </c>
      <c r="G156" s="147" t="s">
        <v>3210</v>
      </c>
      <c r="H156" s="147" t="s">
        <v>3211</v>
      </c>
      <c r="I156" s="155"/>
      <c r="J156" s="147" t="s">
        <v>3212</v>
      </c>
      <c r="K156" s="147" t="s">
        <v>3213</v>
      </c>
      <c r="L156" s="155"/>
      <c r="M156" s="147" t="s">
        <v>2125</v>
      </c>
      <c r="N156" s="147" t="s">
        <v>2125</v>
      </c>
      <c r="O156" s="155"/>
      <c r="P156" s="147"/>
      <c r="Q156" s="147"/>
      <c r="R156" s="155"/>
      <c r="S156" s="147" t="s">
        <v>3171</v>
      </c>
      <c r="T156" s="147" t="s">
        <v>3156</v>
      </c>
      <c r="U156" s="147" t="s">
        <v>3214</v>
      </c>
      <c r="V156" s="147"/>
      <c r="W156" s="147"/>
      <c r="X156" s="147" t="s">
        <v>113</v>
      </c>
      <c r="Y156" s="147" t="s">
        <v>3215</v>
      </c>
      <c r="Z156" s="147" t="s">
        <v>1702</v>
      </c>
      <c r="AA156" s="147" t="s">
        <v>1793</v>
      </c>
    </row>
    <row r="157" spans="1:27" x14ac:dyDescent="0.25">
      <c r="A157" s="156" t="s">
        <v>1759</v>
      </c>
      <c r="B157" s="157" t="s">
        <v>1697</v>
      </c>
      <c r="C157" s="157">
        <v>1</v>
      </c>
      <c r="D157" s="153">
        <v>5000</v>
      </c>
      <c r="E157" s="153"/>
      <c r="F157" s="153" t="s">
        <v>150</v>
      </c>
      <c r="G157" s="153"/>
      <c r="H157" s="153"/>
      <c r="I157" s="153"/>
      <c r="J157" s="153"/>
      <c r="K157" s="153"/>
      <c r="L157" s="153"/>
      <c r="M157" s="153" t="s">
        <v>2125</v>
      </c>
      <c r="N157" s="153" t="s">
        <v>2125</v>
      </c>
      <c r="O157" s="153"/>
      <c r="P157" s="153"/>
      <c r="Q157" s="153"/>
      <c r="R157" s="153"/>
      <c r="S157" s="153" t="s">
        <v>2125</v>
      </c>
      <c r="T157" s="153" t="s">
        <v>2125</v>
      </c>
      <c r="U157" s="153"/>
      <c r="V157" s="153"/>
      <c r="W157" s="153"/>
      <c r="X157" s="153"/>
      <c r="Y157" s="153"/>
      <c r="Z157" s="153"/>
      <c r="AA157" s="153"/>
    </row>
    <row r="158" spans="1:27" x14ac:dyDescent="0.25">
      <c r="A158" s="156" t="s">
        <v>1759</v>
      </c>
      <c r="B158" s="157" t="s">
        <v>3216</v>
      </c>
      <c r="C158" s="157">
        <v>1</v>
      </c>
      <c r="D158" s="153">
        <v>3000</v>
      </c>
      <c r="E158" s="153"/>
      <c r="F158" s="153" t="s">
        <v>150</v>
      </c>
      <c r="G158" s="153"/>
      <c r="H158" s="153"/>
      <c r="I158" s="153"/>
      <c r="J158" s="153"/>
      <c r="K158" s="153"/>
      <c r="L158" s="153"/>
      <c r="M158" s="153"/>
      <c r="N158" s="153"/>
      <c r="O158" s="153"/>
      <c r="P158" s="153"/>
      <c r="Q158" s="153"/>
      <c r="R158" s="153"/>
      <c r="S158" s="153"/>
      <c r="T158" s="153"/>
      <c r="U158" s="153"/>
      <c r="V158" s="153"/>
      <c r="W158" s="153"/>
      <c r="X158" s="153"/>
      <c r="Y158" s="153"/>
      <c r="Z158" s="153" t="s">
        <v>3217</v>
      </c>
      <c r="AA158" s="153" t="s">
        <v>3217</v>
      </c>
    </row>
    <row r="159" spans="1:27" x14ac:dyDescent="0.25">
      <c r="A159" s="156" t="s">
        <v>1759</v>
      </c>
      <c r="B159" s="157" t="s">
        <v>3216</v>
      </c>
      <c r="C159" s="157">
        <v>1</v>
      </c>
      <c r="D159" s="153">
        <v>3500</v>
      </c>
      <c r="E159" s="153"/>
      <c r="F159" s="153" t="s">
        <v>150</v>
      </c>
      <c r="G159" s="153"/>
      <c r="H159" s="153"/>
      <c r="I159" s="153"/>
      <c r="J159" s="153"/>
      <c r="K159" s="153"/>
      <c r="L159" s="153"/>
      <c r="M159" s="153"/>
      <c r="N159" s="153"/>
      <c r="O159" s="153"/>
      <c r="P159" s="153"/>
      <c r="Q159" s="153"/>
      <c r="R159" s="153"/>
      <c r="S159" s="153"/>
      <c r="T159" s="153"/>
      <c r="U159" s="153"/>
      <c r="V159" s="153"/>
      <c r="W159" s="153"/>
      <c r="X159" s="153"/>
      <c r="Y159" s="153"/>
      <c r="Z159" s="153" t="s">
        <v>3217</v>
      </c>
      <c r="AA159" s="153" t="s">
        <v>3217</v>
      </c>
    </row>
    <row r="160" spans="1:27" x14ac:dyDescent="0.25">
      <c r="A160" s="156" t="s">
        <v>1759</v>
      </c>
      <c r="B160" s="157" t="s">
        <v>3216</v>
      </c>
      <c r="C160" s="157">
        <v>1</v>
      </c>
      <c r="D160" s="153">
        <v>4000</v>
      </c>
      <c r="E160" s="153"/>
      <c r="F160" s="153" t="s">
        <v>150</v>
      </c>
      <c r="G160" s="153"/>
      <c r="H160" s="153"/>
      <c r="I160" s="153"/>
      <c r="J160" s="153"/>
      <c r="K160" s="153"/>
      <c r="L160" s="153"/>
      <c r="M160" s="153"/>
      <c r="N160" s="153"/>
      <c r="O160" s="153"/>
      <c r="P160" s="153"/>
      <c r="Q160" s="153"/>
      <c r="R160" s="153"/>
      <c r="S160" s="153"/>
      <c r="T160" s="153"/>
      <c r="U160" s="153"/>
      <c r="V160" s="153"/>
      <c r="W160" s="153"/>
      <c r="X160" s="153"/>
      <c r="Y160" s="153"/>
      <c r="Z160" s="153" t="s">
        <v>3217</v>
      </c>
      <c r="AA160" s="153" t="s">
        <v>3217</v>
      </c>
    </row>
    <row r="161" spans="1:27" x14ac:dyDescent="0.25">
      <c r="A161" s="156" t="s">
        <v>1759</v>
      </c>
      <c r="B161" s="157" t="s">
        <v>3216</v>
      </c>
      <c r="C161" s="157">
        <v>1</v>
      </c>
      <c r="D161" s="153">
        <v>5000</v>
      </c>
      <c r="E161" s="153"/>
      <c r="F161" s="153" t="s">
        <v>150</v>
      </c>
      <c r="G161" s="153"/>
      <c r="H161" s="153"/>
      <c r="I161" s="153"/>
      <c r="J161" s="153"/>
      <c r="K161" s="153"/>
      <c r="L161" s="153"/>
      <c r="M161" s="153"/>
      <c r="N161" s="153"/>
      <c r="O161" s="153"/>
      <c r="P161" s="153"/>
      <c r="Q161" s="153"/>
      <c r="R161" s="153"/>
      <c r="S161" s="153"/>
      <c r="T161" s="153"/>
      <c r="U161" s="153"/>
      <c r="V161" s="153"/>
      <c r="W161" s="153"/>
      <c r="X161" s="153"/>
      <c r="Y161" s="153"/>
      <c r="Z161" s="153"/>
      <c r="AA161" s="153"/>
    </row>
    <row r="162" spans="1:27" x14ac:dyDescent="0.25">
      <c r="A162" s="145" t="s">
        <v>1759</v>
      </c>
      <c r="B162" s="146" t="s">
        <v>1704</v>
      </c>
      <c r="C162" s="146">
        <v>1</v>
      </c>
      <c r="D162" s="147">
        <v>3000</v>
      </c>
      <c r="E162" s="147">
        <v>1200</v>
      </c>
      <c r="F162" s="147" t="s">
        <v>150</v>
      </c>
      <c r="G162" s="147" t="s">
        <v>3218</v>
      </c>
      <c r="H162" s="147" t="s">
        <v>3219</v>
      </c>
      <c r="I162" s="155"/>
      <c r="J162" s="147" t="s">
        <v>3220</v>
      </c>
      <c r="K162" s="147" t="s">
        <v>3221</v>
      </c>
      <c r="L162" s="155"/>
      <c r="M162" s="147"/>
      <c r="N162" s="147"/>
      <c r="O162" s="155"/>
      <c r="P162" s="147"/>
      <c r="Q162" s="147"/>
      <c r="R162" s="155"/>
      <c r="S162" s="147" t="s">
        <v>3171</v>
      </c>
      <c r="T162" s="147" t="s">
        <v>3156</v>
      </c>
      <c r="U162" s="147" t="s">
        <v>3202</v>
      </c>
      <c r="V162" s="147" t="s">
        <v>3222</v>
      </c>
      <c r="W162" s="147" t="s">
        <v>3222</v>
      </c>
      <c r="X162" s="147" t="s">
        <v>113</v>
      </c>
      <c r="Y162" s="147" t="s">
        <v>3203</v>
      </c>
      <c r="Z162" s="147" t="s">
        <v>1705</v>
      </c>
      <c r="AA162" s="147" t="s">
        <v>1795</v>
      </c>
    </row>
    <row r="163" spans="1:27" x14ac:dyDescent="0.25">
      <c r="A163" s="145" t="s">
        <v>1759</v>
      </c>
      <c r="B163" s="146" t="s">
        <v>1704</v>
      </c>
      <c r="C163" s="146">
        <v>1</v>
      </c>
      <c r="D163" s="147">
        <v>3500</v>
      </c>
      <c r="E163" s="147">
        <v>1200</v>
      </c>
      <c r="F163" s="147" t="s">
        <v>150</v>
      </c>
      <c r="G163" s="147" t="s">
        <v>3223</v>
      </c>
      <c r="H163" s="147" t="s">
        <v>3224</v>
      </c>
      <c r="I163" s="155"/>
      <c r="J163" s="147" t="s">
        <v>3225</v>
      </c>
      <c r="K163" s="147" t="s">
        <v>3226</v>
      </c>
      <c r="L163" s="155"/>
      <c r="M163" s="147"/>
      <c r="N163" s="147"/>
      <c r="O163" s="155"/>
      <c r="P163" s="147"/>
      <c r="Q163" s="147"/>
      <c r="R163" s="155"/>
      <c r="S163" s="147" t="s">
        <v>3171</v>
      </c>
      <c r="T163" s="147" t="s">
        <v>3156</v>
      </c>
      <c r="U163" s="147" t="s">
        <v>3208</v>
      </c>
      <c r="V163" s="147" t="s">
        <v>3222</v>
      </c>
      <c r="W163" s="147" t="s">
        <v>3222</v>
      </c>
      <c r="X163" s="147" t="s">
        <v>113</v>
      </c>
      <c r="Y163" s="147" t="s">
        <v>3209</v>
      </c>
      <c r="Z163" s="147" t="s">
        <v>1707</v>
      </c>
      <c r="AA163" s="147" t="s">
        <v>1797</v>
      </c>
    </row>
    <row r="164" spans="1:27" x14ac:dyDescent="0.25">
      <c r="A164" s="145" t="s">
        <v>1759</v>
      </c>
      <c r="B164" s="146" t="s">
        <v>1704</v>
      </c>
      <c r="C164" s="146">
        <v>1</v>
      </c>
      <c r="D164" s="147">
        <v>4000</v>
      </c>
      <c r="E164" s="147">
        <v>1200</v>
      </c>
      <c r="F164" s="147" t="s">
        <v>150</v>
      </c>
      <c r="G164" s="147" t="s">
        <v>3227</v>
      </c>
      <c r="H164" s="147" t="s">
        <v>3228</v>
      </c>
      <c r="I164" s="155"/>
      <c r="J164" s="147" t="s">
        <v>3229</v>
      </c>
      <c r="K164" s="147" t="s">
        <v>3230</v>
      </c>
      <c r="L164" s="155"/>
      <c r="M164" s="147"/>
      <c r="N164" s="147"/>
      <c r="O164" s="155"/>
      <c r="P164" s="147"/>
      <c r="Q164" s="147"/>
      <c r="R164" s="155"/>
      <c r="S164" s="147" t="s">
        <v>3171</v>
      </c>
      <c r="T164" s="147" t="s">
        <v>3156</v>
      </c>
      <c r="U164" s="147" t="s">
        <v>3214</v>
      </c>
      <c r="V164" s="147" t="s">
        <v>3222</v>
      </c>
      <c r="W164" s="147" t="s">
        <v>3222</v>
      </c>
      <c r="X164" s="147" t="s">
        <v>113</v>
      </c>
      <c r="Y164" s="147" t="s">
        <v>3215</v>
      </c>
      <c r="Z164" s="147" t="s">
        <v>1709</v>
      </c>
      <c r="AA164" s="147" t="s">
        <v>1799</v>
      </c>
    </row>
    <row r="165" spans="1:27" x14ac:dyDescent="0.25">
      <c r="A165" s="156" t="s">
        <v>1759</v>
      </c>
      <c r="B165" s="157" t="s">
        <v>1704</v>
      </c>
      <c r="C165" s="157">
        <v>1</v>
      </c>
      <c r="D165" s="153">
        <v>5000</v>
      </c>
      <c r="E165" s="153">
        <v>1200</v>
      </c>
      <c r="F165" s="153" t="s">
        <v>150</v>
      </c>
      <c r="G165" s="153"/>
      <c r="H165" s="153"/>
      <c r="I165" s="153"/>
      <c r="J165" s="153"/>
      <c r="K165" s="153"/>
      <c r="L165" s="153"/>
      <c r="M165" s="153"/>
      <c r="N165" s="153"/>
      <c r="O165" s="153"/>
      <c r="P165" s="153"/>
      <c r="Q165" s="153"/>
      <c r="R165" s="153"/>
      <c r="S165" s="153"/>
      <c r="T165" s="153"/>
      <c r="U165" s="153"/>
      <c r="V165" s="153"/>
      <c r="W165" s="153"/>
      <c r="X165" s="153"/>
      <c r="Y165" s="153"/>
      <c r="Z165" s="153"/>
      <c r="AA165" s="153"/>
    </row>
    <row r="166" spans="1:27" x14ac:dyDescent="0.25">
      <c r="A166" s="145" t="s">
        <v>1759</v>
      </c>
      <c r="B166" s="146" t="s">
        <v>1690</v>
      </c>
      <c r="C166" s="146">
        <v>1</v>
      </c>
      <c r="D166" s="147">
        <v>3000</v>
      </c>
      <c r="E166" s="147">
        <v>2700</v>
      </c>
      <c r="F166" s="147" t="s">
        <v>150</v>
      </c>
      <c r="G166" s="147" t="s">
        <v>3231</v>
      </c>
      <c r="H166" s="147" t="s">
        <v>3232</v>
      </c>
      <c r="I166" s="155"/>
      <c r="J166" s="147" t="s">
        <v>3233</v>
      </c>
      <c r="K166" s="147" t="s">
        <v>3234</v>
      </c>
      <c r="L166" s="155"/>
      <c r="M166" s="147"/>
      <c r="N166" s="147"/>
      <c r="O166" s="155"/>
      <c r="P166" s="147"/>
      <c r="Q166" s="147"/>
      <c r="R166" s="155"/>
      <c r="S166" s="147" t="s">
        <v>3171</v>
      </c>
      <c r="T166" s="147" t="s">
        <v>3156</v>
      </c>
      <c r="U166" s="147" t="s">
        <v>3235</v>
      </c>
      <c r="V166" s="158" t="s">
        <v>3222</v>
      </c>
      <c r="W166" s="147" t="s">
        <v>3222</v>
      </c>
      <c r="X166" s="147" t="s">
        <v>1501</v>
      </c>
      <c r="Y166" s="147" t="s">
        <v>3236</v>
      </c>
      <c r="Z166" s="147" t="s">
        <v>1598</v>
      </c>
      <c r="AA166" s="147" t="s">
        <v>1601</v>
      </c>
    </row>
    <row r="167" spans="1:27" x14ac:dyDescent="0.25">
      <c r="A167" s="145" t="s">
        <v>1759</v>
      </c>
      <c r="B167" s="146" t="s">
        <v>1690</v>
      </c>
      <c r="C167" s="146">
        <v>1</v>
      </c>
      <c r="D167" s="147">
        <v>3500</v>
      </c>
      <c r="E167" s="147">
        <v>2700</v>
      </c>
      <c r="F167" s="147" t="s">
        <v>150</v>
      </c>
      <c r="G167" s="147" t="s">
        <v>3237</v>
      </c>
      <c r="H167" s="147" t="s">
        <v>3238</v>
      </c>
      <c r="I167" s="155"/>
      <c r="J167" s="147" t="s">
        <v>3239</v>
      </c>
      <c r="K167" s="147" t="s">
        <v>3240</v>
      </c>
      <c r="L167" s="155"/>
      <c r="M167" s="147"/>
      <c r="N167" s="147"/>
      <c r="O167" s="155"/>
      <c r="P167" s="147"/>
      <c r="Q167" s="147"/>
      <c r="R167" s="155"/>
      <c r="S167" s="147" t="s">
        <v>3171</v>
      </c>
      <c r="T167" s="147" t="s">
        <v>3156</v>
      </c>
      <c r="U167" s="147" t="s">
        <v>3241</v>
      </c>
      <c r="V167" s="147" t="s">
        <v>3222</v>
      </c>
      <c r="W167" s="147" t="s">
        <v>3222</v>
      </c>
      <c r="X167" s="147" t="s">
        <v>1501</v>
      </c>
      <c r="Y167" s="147" t="s">
        <v>3242</v>
      </c>
      <c r="Z167" s="147" t="s">
        <v>1599</v>
      </c>
      <c r="AA167" s="147" t="s">
        <v>1602</v>
      </c>
    </row>
    <row r="168" spans="1:27" x14ac:dyDescent="0.25">
      <c r="A168" s="145" t="s">
        <v>1759</v>
      </c>
      <c r="B168" s="146" t="s">
        <v>1690</v>
      </c>
      <c r="C168" s="146">
        <v>1</v>
      </c>
      <c r="D168" s="147">
        <v>4000</v>
      </c>
      <c r="E168" s="147">
        <v>2700</v>
      </c>
      <c r="F168" s="147" t="s">
        <v>150</v>
      </c>
      <c r="G168" s="147" t="s">
        <v>3243</v>
      </c>
      <c r="H168" s="147" t="s">
        <v>3244</v>
      </c>
      <c r="I168" s="155"/>
      <c r="J168" s="147" t="s">
        <v>3245</v>
      </c>
      <c r="K168" s="147" t="s">
        <v>3246</v>
      </c>
      <c r="L168" s="155"/>
      <c r="M168" s="147"/>
      <c r="N168" s="147"/>
      <c r="O168" s="155"/>
      <c r="P168" s="147"/>
      <c r="Q168" s="147"/>
      <c r="R168" s="155"/>
      <c r="S168" s="147" t="s">
        <v>3171</v>
      </c>
      <c r="T168" s="147" t="s">
        <v>3156</v>
      </c>
      <c r="U168" s="147" t="s">
        <v>3247</v>
      </c>
      <c r="V168" s="158" t="s">
        <v>3222</v>
      </c>
      <c r="W168" s="147" t="s">
        <v>3222</v>
      </c>
      <c r="X168" s="147" t="s">
        <v>1501</v>
      </c>
      <c r="Y168" s="147" t="s">
        <v>3248</v>
      </c>
      <c r="Z168" s="147" t="s">
        <v>1600</v>
      </c>
      <c r="AA168" s="147" t="s">
        <v>1603</v>
      </c>
    </row>
    <row r="169" spans="1:27" x14ac:dyDescent="0.25">
      <c r="A169" s="156" t="s">
        <v>1759</v>
      </c>
      <c r="B169" s="157" t="s">
        <v>1690</v>
      </c>
      <c r="C169" s="157">
        <v>1</v>
      </c>
      <c r="D169" s="153">
        <v>5000</v>
      </c>
      <c r="E169" s="153">
        <v>2700</v>
      </c>
      <c r="F169" s="153" t="s">
        <v>150</v>
      </c>
      <c r="G169" s="153"/>
      <c r="H169" s="153"/>
      <c r="I169" s="153"/>
      <c r="J169" s="153"/>
      <c r="K169" s="153"/>
      <c r="L169" s="153"/>
      <c r="M169" s="153"/>
      <c r="N169" s="153"/>
      <c r="O169" s="153"/>
      <c r="P169" s="153"/>
      <c r="Q169" s="153"/>
      <c r="R169" s="153"/>
      <c r="S169" s="153"/>
      <c r="T169" s="153"/>
      <c r="U169" s="153"/>
      <c r="V169" s="153"/>
      <c r="W169" s="153"/>
      <c r="X169" s="153"/>
      <c r="Y169" s="153"/>
      <c r="Z169" s="153"/>
      <c r="AA169" s="153"/>
    </row>
    <row r="170" spans="1:27" x14ac:dyDescent="0.25">
      <c r="A170" s="145" t="s">
        <v>1759</v>
      </c>
      <c r="B170" s="146" t="s">
        <v>1690</v>
      </c>
      <c r="C170" s="146">
        <v>1</v>
      </c>
      <c r="D170" s="147">
        <v>3000</v>
      </c>
      <c r="E170" s="147">
        <v>2000</v>
      </c>
      <c r="F170" s="147" t="s">
        <v>150</v>
      </c>
      <c r="G170" s="147" t="s">
        <v>3249</v>
      </c>
      <c r="H170" s="147" t="s">
        <v>3250</v>
      </c>
      <c r="I170" s="155"/>
      <c r="J170" s="147" t="s">
        <v>3251</v>
      </c>
      <c r="K170" s="147" t="s">
        <v>3252</v>
      </c>
      <c r="L170" s="155"/>
      <c r="M170" s="147"/>
      <c r="N170" s="147"/>
      <c r="O170" s="155"/>
      <c r="P170" s="147"/>
      <c r="Q170" s="147"/>
      <c r="R170" s="155"/>
      <c r="S170" s="147" t="s">
        <v>3171</v>
      </c>
      <c r="T170" s="147" t="s">
        <v>3156</v>
      </c>
      <c r="U170" s="147" t="s">
        <v>3235</v>
      </c>
      <c r="V170" s="158" t="s">
        <v>3222</v>
      </c>
      <c r="W170" s="147" t="s">
        <v>3222</v>
      </c>
      <c r="X170" s="147" t="s">
        <v>1501</v>
      </c>
      <c r="Y170" s="147" t="s">
        <v>3236</v>
      </c>
      <c r="Z170" s="147" t="s">
        <v>1691</v>
      </c>
      <c r="AA170" s="147" t="s">
        <v>1783</v>
      </c>
    </row>
    <row r="171" spans="1:27" x14ac:dyDescent="0.25">
      <c r="A171" s="145" t="s">
        <v>1759</v>
      </c>
      <c r="B171" s="146" t="s">
        <v>1690</v>
      </c>
      <c r="C171" s="146">
        <v>1</v>
      </c>
      <c r="D171" s="147">
        <v>3500</v>
      </c>
      <c r="E171" s="147">
        <v>2000</v>
      </c>
      <c r="F171" s="147" t="s">
        <v>150</v>
      </c>
      <c r="G171" s="147" t="s">
        <v>3253</v>
      </c>
      <c r="H171" s="147" t="s">
        <v>3254</v>
      </c>
      <c r="I171" s="155"/>
      <c r="J171" s="147" t="s">
        <v>3255</v>
      </c>
      <c r="K171" s="147" t="s">
        <v>3256</v>
      </c>
      <c r="L171" s="155"/>
      <c r="M171" s="147"/>
      <c r="N171" s="147"/>
      <c r="O171" s="155"/>
      <c r="P171" s="147"/>
      <c r="Q171" s="147"/>
      <c r="R171" s="155"/>
      <c r="S171" s="147" t="s">
        <v>3171</v>
      </c>
      <c r="T171" s="147" t="s">
        <v>3156</v>
      </c>
      <c r="U171" s="147" t="s">
        <v>3241</v>
      </c>
      <c r="V171" s="147" t="s">
        <v>3222</v>
      </c>
      <c r="W171" s="147" t="s">
        <v>3222</v>
      </c>
      <c r="X171" s="147" t="s">
        <v>1501</v>
      </c>
      <c r="Y171" s="147" t="s">
        <v>3242</v>
      </c>
      <c r="Z171" s="147" t="s">
        <v>1693</v>
      </c>
      <c r="AA171" s="147" t="s">
        <v>1785</v>
      </c>
    </row>
    <row r="172" spans="1:27" x14ac:dyDescent="0.25">
      <c r="A172" s="145" t="s">
        <v>1759</v>
      </c>
      <c r="B172" s="146" t="s">
        <v>1690</v>
      </c>
      <c r="C172" s="146">
        <v>1</v>
      </c>
      <c r="D172" s="147">
        <v>4000</v>
      </c>
      <c r="E172" s="147">
        <v>2000</v>
      </c>
      <c r="F172" s="147" t="s">
        <v>150</v>
      </c>
      <c r="G172" s="147" t="s">
        <v>3257</v>
      </c>
      <c r="H172" s="147" t="s">
        <v>3258</v>
      </c>
      <c r="I172" s="155"/>
      <c r="J172" s="147" t="s">
        <v>3259</v>
      </c>
      <c r="K172" s="147" t="s">
        <v>3260</v>
      </c>
      <c r="L172" s="155"/>
      <c r="M172" s="147"/>
      <c r="N172" s="147"/>
      <c r="O172" s="155"/>
      <c r="P172" s="147"/>
      <c r="Q172" s="147"/>
      <c r="R172" s="155"/>
      <c r="S172" s="147" t="s">
        <v>3171</v>
      </c>
      <c r="T172" s="147" t="s">
        <v>3156</v>
      </c>
      <c r="U172" s="147" t="s">
        <v>3247</v>
      </c>
      <c r="V172" s="158" t="s">
        <v>3222</v>
      </c>
      <c r="W172" s="147" t="s">
        <v>3222</v>
      </c>
      <c r="X172" s="147" t="s">
        <v>1501</v>
      </c>
      <c r="Y172" s="147" t="s">
        <v>3248</v>
      </c>
      <c r="Z172" s="147" t="s">
        <v>1695</v>
      </c>
      <c r="AA172" s="147" t="s">
        <v>1787</v>
      </c>
    </row>
    <row r="173" spans="1:27" x14ac:dyDescent="0.25">
      <c r="A173" s="156" t="s">
        <v>1759</v>
      </c>
      <c r="B173" s="157" t="s">
        <v>1690</v>
      </c>
      <c r="C173" s="157">
        <v>1</v>
      </c>
      <c r="D173" s="153">
        <v>5000</v>
      </c>
      <c r="E173" s="153">
        <v>2000</v>
      </c>
      <c r="F173" s="153" t="s">
        <v>150</v>
      </c>
      <c r="G173" s="153"/>
      <c r="H173" s="153"/>
      <c r="I173" s="153"/>
      <c r="J173" s="153"/>
      <c r="K173" s="153"/>
      <c r="L173" s="153"/>
      <c r="M173" s="153"/>
      <c r="N173" s="153"/>
      <c r="O173" s="153"/>
      <c r="P173" s="153"/>
      <c r="Q173" s="153"/>
      <c r="R173" s="153"/>
      <c r="S173" s="153"/>
      <c r="T173" s="153"/>
      <c r="U173" s="153"/>
      <c r="V173" s="153"/>
      <c r="W173" s="153"/>
      <c r="X173" s="153"/>
      <c r="Y173" s="153"/>
      <c r="Z173" s="153"/>
      <c r="AA173" s="153"/>
    </row>
    <row r="174" spans="1:27" x14ac:dyDescent="0.25">
      <c r="A174" s="145" t="s">
        <v>1759</v>
      </c>
      <c r="B174" s="146" t="s">
        <v>1683</v>
      </c>
      <c r="C174" s="146">
        <v>1</v>
      </c>
      <c r="D174" s="147">
        <v>3000</v>
      </c>
      <c r="E174" s="147">
        <v>2700</v>
      </c>
      <c r="F174" s="147" t="s">
        <v>150</v>
      </c>
      <c r="G174" s="147" t="s">
        <v>3261</v>
      </c>
      <c r="H174" s="147" t="s">
        <v>3262</v>
      </c>
      <c r="I174" s="155"/>
      <c r="J174" s="147" t="s">
        <v>3263</v>
      </c>
      <c r="K174" s="147" t="s">
        <v>3264</v>
      </c>
      <c r="L174" s="155"/>
      <c r="M174" s="147" t="s">
        <v>2125</v>
      </c>
      <c r="N174" s="147" t="s">
        <v>2125</v>
      </c>
      <c r="O174" s="155"/>
      <c r="P174" s="147"/>
      <c r="Q174" s="147"/>
      <c r="R174" s="155"/>
      <c r="S174" s="147" t="s">
        <v>3171</v>
      </c>
      <c r="T174" s="147" t="s">
        <v>3156</v>
      </c>
      <c r="U174" s="147" t="s">
        <v>3235</v>
      </c>
      <c r="V174" s="147"/>
      <c r="W174" s="147"/>
      <c r="X174" s="147" t="s">
        <v>1501</v>
      </c>
      <c r="Y174" s="147" t="s">
        <v>3236</v>
      </c>
      <c r="Z174" s="147" t="s">
        <v>1684</v>
      </c>
      <c r="AA174" s="147" t="s">
        <v>1777</v>
      </c>
    </row>
    <row r="175" spans="1:27" x14ac:dyDescent="0.25">
      <c r="A175" s="145" t="s">
        <v>1759</v>
      </c>
      <c r="B175" s="146" t="s">
        <v>1683</v>
      </c>
      <c r="C175" s="146">
        <v>1</v>
      </c>
      <c r="D175" s="147">
        <v>3500</v>
      </c>
      <c r="E175" s="147">
        <v>2700</v>
      </c>
      <c r="F175" s="147" t="s">
        <v>150</v>
      </c>
      <c r="G175" s="147" t="s">
        <v>3265</v>
      </c>
      <c r="H175" s="147" t="s">
        <v>3266</v>
      </c>
      <c r="I175" s="155"/>
      <c r="J175" s="147" t="s">
        <v>3267</v>
      </c>
      <c r="K175" s="147" t="s">
        <v>3268</v>
      </c>
      <c r="L175" s="155"/>
      <c r="M175" s="147" t="s">
        <v>2125</v>
      </c>
      <c r="N175" s="147" t="s">
        <v>2125</v>
      </c>
      <c r="O175" s="155"/>
      <c r="P175" s="147"/>
      <c r="Q175" s="147"/>
      <c r="R175" s="155"/>
      <c r="S175" s="147" t="s">
        <v>3171</v>
      </c>
      <c r="T175" s="147" t="s">
        <v>3156</v>
      </c>
      <c r="U175" s="147" t="s">
        <v>3241</v>
      </c>
      <c r="V175" s="147"/>
      <c r="W175" s="147"/>
      <c r="X175" s="147" t="s">
        <v>1501</v>
      </c>
      <c r="Y175" s="147" t="s">
        <v>3242</v>
      </c>
      <c r="Z175" s="147" t="s">
        <v>1686</v>
      </c>
      <c r="AA175" s="147" t="s">
        <v>1779</v>
      </c>
    </row>
    <row r="176" spans="1:27" x14ac:dyDescent="0.25">
      <c r="A176" s="145" t="s">
        <v>1759</v>
      </c>
      <c r="B176" s="146" t="s">
        <v>1683</v>
      </c>
      <c r="C176" s="146">
        <v>1</v>
      </c>
      <c r="D176" s="147">
        <v>4000</v>
      </c>
      <c r="E176" s="147">
        <v>2700</v>
      </c>
      <c r="F176" s="147" t="s">
        <v>150</v>
      </c>
      <c r="G176" s="147" t="s">
        <v>3269</v>
      </c>
      <c r="H176" s="147" t="s">
        <v>3270</v>
      </c>
      <c r="I176" s="155"/>
      <c r="J176" s="147" t="s">
        <v>3271</v>
      </c>
      <c r="K176" s="147" t="s">
        <v>3272</v>
      </c>
      <c r="L176" s="155"/>
      <c r="M176" s="147" t="s">
        <v>2125</v>
      </c>
      <c r="N176" s="147" t="s">
        <v>2125</v>
      </c>
      <c r="O176" s="155"/>
      <c r="P176" s="147"/>
      <c r="Q176" s="147"/>
      <c r="R176" s="155"/>
      <c r="S176" s="147" t="s">
        <v>3171</v>
      </c>
      <c r="T176" s="147" t="s">
        <v>3156</v>
      </c>
      <c r="U176" s="147" t="s">
        <v>3247</v>
      </c>
      <c r="V176" s="147"/>
      <c r="W176" s="147"/>
      <c r="X176" s="147" t="s">
        <v>1501</v>
      </c>
      <c r="Y176" s="147" t="s">
        <v>3248</v>
      </c>
      <c r="Z176" s="147" t="s">
        <v>1688</v>
      </c>
      <c r="AA176" s="147" t="s">
        <v>1781</v>
      </c>
    </row>
    <row r="177" spans="1:27" x14ac:dyDescent="0.25">
      <c r="A177" s="156" t="s">
        <v>1759</v>
      </c>
      <c r="B177" s="157" t="s">
        <v>1683</v>
      </c>
      <c r="C177" s="157">
        <v>1</v>
      </c>
      <c r="D177" s="153">
        <v>5000</v>
      </c>
      <c r="E177" s="153"/>
      <c r="F177" s="153" t="s">
        <v>150</v>
      </c>
      <c r="G177" s="153"/>
      <c r="H177" s="153"/>
      <c r="I177" s="153"/>
      <c r="J177" s="153"/>
      <c r="K177" s="153"/>
      <c r="L177" s="153"/>
      <c r="M177" s="153" t="s">
        <v>2125</v>
      </c>
      <c r="N177" s="153" t="s">
        <v>2125</v>
      </c>
      <c r="O177" s="153"/>
      <c r="P177" s="153"/>
      <c r="Q177" s="153"/>
      <c r="R177" s="153"/>
      <c r="S177" s="153"/>
      <c r="T177" s="153" t="s">
        <v>2125</v>
      </c>
      <c r="U177" s="153"/>
      <c r="V177" s="153"/>
      <c r="W177" s="153"/>
      <c r="X177" s="153"/>
      <c r="Y177" s="153"/>
      <c r="Z177" s="153"/>
      <c r="AA177" s="153"/>
    </row>
    <row r="178" spans="1:27" x14ac:dyDescent="0.25">
      <c r="A178" s="156" t="s">
        <v>1759</v>
      </c>
      <c r="B178" s="157" t="s">
        <v>3273</v>
      </c>
      <c r="C178" s="157">
        <v>1</v>
      </c>
      <c r="D178" s="153">
        <v>3000</v>
      </c>
      <c r="E178" s="153"/>
      <c r="F178" s="153" t="s">
        <v>150</v>
      </c>
      <c r="G178" s="153"/>
      <c r="H178" s="153"/>
      <c r="I178" s="153"/>
      <c r="J178" s="153"/>
      <c r="K178" s="153"/>
      <c r="L178" s="153"/>
      <c r="M178" s="153"/>
      <c r="N178" s="153"/>
      <c r="O178" s="153"/>
      <c r="P178" s="153"/>
      <c r="Q178" s="153"/>
      <c r="R178" s="153"/>
      <c r="S178" s="153"/>
      <c r="T178" s="153"/>
      <c r="U178" s="153"/>
      <c r="V178" s="153"/>
      <c r="W178" s="153"/>
      <c r="X178" s="153"/>
      <c r="Y178" s="153"/>
      <c r="Z178" s="153" t="s">
        <v>3217</v>
      </c>
      <c r="AA178" s="153" t="s">
        <v>3217</v>
      </c>
    </row>
    <row r="179" spans="1:27" x14ac:dyDescent="0.25">
      <c r="A179" s="156" t="s">
        <v>1759</v>
      </c>
      <c r="B179" s="157" t="s">
        <v>3273</v>
      </c>
      <c r="C179" s="157">
        <v>1</v>
      </c>
      <c r="D179" s="153">
        <v>3500</v>
      </c>
      <c r="E179" s="153"/>
      <c r="F179" s="153" t="s">
        <v>150</v>
      </c>
      <c r="G179" s="153"/>
      <c r="H179" s="153"/>
      <c r="I179" s="153"/>
      <c r="J179" s="153"/>
      <c r="K179" s="153"/>
      <c r="L179" s="153"/>
      <c r="M179" s="153"/>
      <c r="N179" s="153"/>
      <c r="O179" s="153"/>
      <c r="P179" s="153"/>
      <c r="Q179" s="153"/>
      <c r="R179" s="153"/>
      <c r="S179" s="153"/>
      <c r="T179" s="153"/>
      <c r="U179" s="153"/>
      <c r="V179" s="153"/>
      <c r="W179" s="153"/>
      <c r="X179" s="153"/>
      <c r="Y179" s="153"/>
      <c r="Z179" s="153" t="s">
        <v>3217</v>
      </c>
      <c r="AA179" s="153" t="s">
        <v>3217</v>
      </c>
    </row>
    <row r="180" spans="1:27" x14ac:dyDescent="0.25">
      <c r="A180" s="156" t="s">
        <v>1759</v>
      </c>
      <c r="B180" s="157" t="s">
        <v>3273</v>
      </c>
      <c r="C180" s="157">
        <v>1</v>
      </c>
      <c r="D180" s="153">
        <v>4000</v>
      </c>
      <c r="E180" s="153"/>
      <c r="F180" s="153" t="s">
        <v>150</v>
      </c>
      <c r="G180" s="153"/>
      <c r="H180" s="153"/>
      <c r="I180" s="153"/>
      <c r="J180" s="153"/>
      <c r="K180" s="153"/>
      <c r="L180" s="153"/>
      <c r="M180" s="153"/>
      <c r="N180" s="153"/>
      <c r="O180" s="153"/>
      <c r="P180" s="153"/>
      <c r="Q180" s="153"/>
      <c r="R180" s="153"/>
      <c r="S180" s="153"/>
      <c r="T180" s="153"/>
      <c r="U180" s="153"/>
      <c r="V180" s="153"/>
      <c r="W180" s="153"/>
      <c r="X180" s="153"/>
      <c r="Y180" s="153"/>
      <c r="Z180" s="153" t="s">
        <v>3217</v>
      </c>
      <c r="AA180" s="153" t="s">
        <v>3217</v>
      </c>
    </row>
    <row r="181" spans="1:27" x14ac:dyDescent="0.25">
      <c r="A181" s="156" t="s">
        <v>1759</v>
      </c>
      <c r="B181" s="157" t="s">
        <v>3273</v>
      </c>
      <c r="C181" s="157">
        <v>1</v>
      </c>
      <c r="D181" s="153">
        <v>5000</v>
      </c>
      <c r="E181" s="153"/>
      <c r="F181" s="153" t="s">
        <v>150</v>
      </c>
      <c r="G181" s="153"/>
      <c r="H181" s="153"/>
      <c r="I181" s="153"/>
      <c r="J181" s="153"/>
      <c r="K181" s="153"/>
      <c r="L181" s="153"/>
      <c r="M181" s="153"/>
      <c r="N181" s="153"/>
      <c r="O181" s="153"/>
      <c r="P181" s="153"/>
      <c r="Q181" s="153"/>
      <c r="R181" s="153"/>
      <c r="S181" s="153"/>
      <c r="T181" s="153"/>
      <c r="U181" s="153"/>
      <c r="V181" s="153"/>
      <c r="W181" s="153"/>
      <c r="X181" s="153"/>
      <c r="Y181" s="153"/>
      <c r="Z181" s="153"/>
      <c r="AA181" s="153"/>
    </row>
    <row r="182" spans="1:27" x14ac:dyDescent="0.25">
      <c r="A182" s="145" t="s">
        <v>1759</v>
      </c>
      <c r="B182" s="146" t="s">
        <v>1673</v>
      </c>
      <c r="C182" s="146">
        <v>1</v>
      </c>
      <c r="D182" s="147">
        <v>3000</v>
      </c>
      <c r="E182" s="147">
        <v>900</v>
      </c>
      <c r="F182" s="147" t="s">
        <v>1666</v>
      </c>
      <c r="G182" s="147" t="s">
        <v>3274</v>
      </c>
      <c r="H182" s="147" t="s">
        <v>3275</v>
      </c>
      <c r="I182" s="159"/>
      <c r="J182" s="147" t="s">
        <v>3276</v>
      </c>
      <c r="K182" s="147" t="s">
        <v>3277</v>
      </c>
      <c r="L182" s="159"/>
      <c r="M182" s="147"/>
      <c r="N182" s="147"/>
      <c r="O182" s="159"/>
      <c r="P182" s="147"/>
      <c r="Q182" s="147"/>
      <c r="R182" s="159"/>
      <c r="S182" s="147" t="s">
        <v>3278</v>
      </c>
      <c r="T182" s="147" t="s">
        <v>3279</v>
      </c>
      <c r="U182" s="147" t="s">
        <v>3157</v>
      </c>
      <c r="V182" s="147"/>
      <c r="W182" s="147"/>
      <c r="X182" s="147" t="s">
        <v>89</v>
      </c>
      <c r="Y182" s="147" t="s">
        <v>3158</v>
      </c>
      <c r="Z182" s="147" t="s">
        <v>1674</v>
      </c>
      <c r="AA182" s="147" t="s">
        <v>1768</v>
      </c>
    </row>
    <row r="183" spans="1:27" x14ac:dyDescent="0.25">
      <c r="A183" s="145" t="s">
        <v>1759</v>
      </c>
      <c r="B183" s="146" t="s">
        <v>1673</v>
      </c>
      <c r="C183" s="146">
        <v>1</v>
      </c>
      <c r="D183" s="147">
        <v>3500</v>
      </c>
      <c r="E183" s="147">
        <v>900</v>
      </c>
      <c r="F183" s="147" t="s">
        <v>1666</v>
      </c>
      <c r="G183" s="147" t="s">
        <v>3280</v>
      </c>
      <c r="H183" s="147" t="s">
        <v>3281</v>
      </c>
      <c r="I183" s="159"/>
      <c r="J183" s="147" t="s">
        <v>3282</v>
      </c>
      <c r="K183" s="147" t="s">
        <v>3283</v>
      </c>
      <c r="L183" s="159"/>
      <c r="M183" s="147"/>
      <c r="N183" s="147"/>
      <c r="O183" s="159"/>
      <c r="P183" s="147"/>
      <c r="Q183" s="147"/>
      <c r="R183" s="159"/>
      <c r="S183" s="147" t="s">
        <v>3278</v>
      </c>
      <c r="T183" s="147" t="s">
        <v>3279</v>
      </c>
      <c r="U183" s="147" t="s">
        <v>3161</v>
      </c>
      <c r="V183" s="147"/>
      <c r="W183" s="147"/>
      <c r="X183" s="147" t="s">
        <v>89</v>
      </c>
      <c r="Y183" s="147" t="s">
        <v>3162</v>
      </c>
      <c r="Z183" s="147" t="s">
        <v>1675</v>
      </c>
      <c r="AA183" s="147" t="s">
        <v>1769</v>
      </c>
    </row>
    <row r="184" spans="1:27" x14ac:dyDescent="0.25">
      <c r="A184" s="145" t="s">
        <v>1759</v>
      </c>
      <c r="B184" s="146" t="s">
        <v>1673</v>
      </c>
      <c r="C184" s="146">
        <v>1</v>
      </c>
      <c r="D184" s="147">
        <v>4000</v>
      </c>
      <c r="E184" s="147">
        <v>900</v>
      </c>
      <c r="F184" s="147" t="s">
        <v>1666</v>
      </c>
      <c r="G184" s="147" t="s">
        <v>3284</v>
      </c>
      <c r="H184" s="147" t="s">
        <v>3285</v>
      </c>
      <c r="I184" s="159"/>
      <c r="J184" s="147" t="s">
        <v>3286</v>
      </c>
      <c r="K184" s="147" t="s">
        <v>3287</v>
      </c>
      <c r="L184" s="159"/>
      <c r="M184" s="147"/>
      <c r="N184" s="147"/>
      <c r="O184" s="159"/>
      <c r="P184" s="147"/>
      <c r="Q184" s="147"/>
      <c r="R184" s="159"/>
      <c r="S184" s="147" t="s">
        <v>3278</v>
      </c>
      <c r="T184" s="147" t="s">
        <v>3279</v>
      </c>
      <c r="U184" s="147" t="s">
        <v>3165</v>
      </c>
      <c r="V184" s="147"/>
      <c r="W184" s="147"/>
      <c r="X184" s="147" t="s">
        <v>89</v>
      </c>
      <c r="Y184" s="147" t="s">
        <v>3166</v>
      </c>
      <c r="Z184" s="147" t="s">
        <v>1676</v>
      </c>
      <c r="AA184" s="147" t="s">
        <v>1770</v>
      </c>
    </row>
    <row r="185" spans="1:27" x14ac:dyDescent="0.25">
      <c r="A185" s="156" t="s">
        <v>1759</v>
      </c>
      <c r="B185" s="157" t="s">
        <v>1673</v>
      </c>
      <c r="C185" s="157">
        <v>1</v>
      </c>
      <c r="D185" s="153">
        <v>5000</v>
      </c>
      <c r="E185" s="153">
        <v>900</v>
      </c>
      <c r="F185" s="153" t="s">
        <v>1666</v>
      </c>
      <c r="G185" s="153"/>
      <c r="H185" s="153"/>
      <c r="I185" s="153"/>
      <c r="J185" s="153"/>
      <c r="K185" s="153"/>
      <c r="L185" s="153"/>
      <c r="M185" s="153" t="s">
        <v>2125</v>
      </c>
      <c r="N185" s="153" t="s">
        <v>2125</v>
      </c>
      <c r="O185" s="153"/>
      <c r="P185" s="153"/>
      <c r="Q185" s="153"/>
      <c r="R185" s="153"/>
      <c r="S185" s="153" t="s">
        <v>2125</v>
      </c>
      <c r="T185" s="153" t="s">
        <v>2125</v>
      </c>
      <c r="U185" s="153"/>
      <c r="V185" s="153"/>
      <c r="W185" s="153"/>
      <c r="X185" s="153"/>
      <c r="Y185" s="153"/>
      <c r="Z185" s="153" t="str">
        <f>"RP-"&amp;Grackle_LED_Map[[#This Row],[Lamp Type]]&amp;"-"&amp;Grackle_LED_Map[[#This Row],[Lamp Length]]&amp;"FT-"&amp;Grackle_LED_Map[[#This Row],[number of led lamps in kit]]&amp;"L-8"&amp;LEFT(Grackle_LED_Map[[#This Row],[CCT]],2)&amp;"-E1-"&amp;Grackle_LED_Map[[#This Row],[Case]]&amp;"-G2"</f>
        <v>RP-G24Q-26VFT-1L-850-E1-KN-G2</v>
      </c>
      <c r="AA185" s="153" t="str">
        <f>"RP-"&amp;Grackle_LED_Map[[#This Row],[Lamp Type]]&amp;"-"&amp;Grackle_LED_Map[[#This Row],[Lamp Length]]&amp;"FT-"&amp;Grackle_LED_Map[[#This Row],[number of led lamps in kit]]&amp;"L-8"&amp;LEFT(Grackle_LED_Map[[#This Row],[CCT]],2)&amp;"-3W-"&amp;Grackle_LED_Map[[#This Row],[Case]]&amp;"-G2"</f>
        <v>RP-G24Q-26VFT-1L-850-3W-KN-G2</v>
      </c>
    </row>
    <row r="186" spans="1:27" x14ac:dyDescent="0.25">
      <c r="A186" s="145" t="s">
        <v>1759</v>
      </c>
      <c r="B186" s="146" t="s">
        <v>1673</v>
      </c>
      <c r="C186" s="146">
        <v>2</v>
      </c>
      <c r="D186" s="147">
        <v>3000</v>
      </c>
      <c r="E186" s="147">
        <v>1800</v>
      </c>
      <c r="F186" s="147" t="s">
        <v>1666</v>
      </c>
      <c r="G186" s="147" t="s">
        <v>3288</v>
      </c>
      <c r="H186" s="147" t="s">
        <v>3289</v>
      </c>
      <c r="I186" s="159"/>
      <c r="J186" s="147" t="s">
        <v>3290</v>
      </c>
      <c r="K186" s="147" t="s">
        <v>3291</v>
      </c>
      <c r="L186" s="159"/>
      <c r="M186" s="147" t="s">
        <v>2125</v>
      </c>
      <c r="N186" s="147" t="s">
        <v>2125</v>
      </c>
      <c r="O186" s="159"/>
      <c r="P186" s="147"/>
      <c r="Q186" s="147"/>
      <c r="R186" s="159"/>
      <c r="S186" s="147" t="s">
        <v>3292</v>
      </c>
      <c r="T186" s="147" t="s">
        <v>3279</v>
      </c>
      <c r="U186" s="147" t="s">
        <v>3157</v>
      </c>
      <c r="V186" s="147"/>
      <c r="W186" s="147"/>
      <c r="X186" s="147" t="s">
        <v>89</v>
      </c>
      <c r="Y186" s="147" t="s">
        <v>3158</v>
      </c>
      <c r="Z186" s="147" t="s">
        <v>1678</v>
      </c>
      <c r="AA186" s="147" t="s">
        <v>1772</v>
      </c>
    </row>
    <row r="187" spans="1:27" x14ac:dyDescent="0.25">
      <c r="A187" s="145" t="s">
        <v>1759</v>
      </c>
      <c r="B187" s="146" t="s">
        <v>1673</v>
      </c>
      <c r="C187" s="146">
        <v>2</v>
      </c>
      <c r="D187" s="147">
        <v>3500</v>
      </c>
      <c r="E187" s="147">
        <v>1800</v>
      </c>
      <c r="F187" s="147" t="s">
        <v>1666</v>
      </c>
      <c r="G187" s="147" t="s">
        <v>3293</v>
      </c>
      <c r="H187" s="147" t="s">
        <v>3294</v>
      </c>
      <c r="I187" s="159"/>
      <c r="J187" s="147" t="s">
        <v>3295</v>
      </c>
      <c r="K187" s="147" t="s">
        <v>3296</v>
      </c>
      <c r="L187" s="159"/>
      <c r="M187" s="147" t="s">
        <v>2125</v>
      </c>
      <c r="N187" s="147" t="s">
        <v>2125</v>
      </c>
      <c r="O187" s="159"/>
      <c r="P187" s="147"/>
      <c r="Q187" s="147"/>
      <c r="R187" s="159"/>
      <c r="S187" s="147" t="s">
        <v>3292</v>
      </c>
      <c r="T187" s="147" t="s">
        <v>3279</v>
      </c>
      <c r="U187" s="147" t="s">
        <v>3161</v>
      </c>
      <c r="V187" s="147"/>
      <c r="W187" s="147"/>
      <c r="X187" s="147" t="s">
        <v>89</v>
      </c>
      <c r="Y187" s="147" t="s">
        <v>3162</v>
      </c>
      <c r="Z187" s="147" t="s">
        <v>1680</v>
      </c>
      <c r="AA187" s="147" t="s">
        <v>1774</v>
      </c>
    </row>
    <row r="188" spans="1:27" x14ac:dyDescent="0.25">
      <c r="A188" s="145" t="s">
        <v>1759</v>
      </c>
      <c r="B188" s="146" t="s">
        <v>1673</v>
      </c>
      <c r="C188" s="146">
        <v>2</v>
      </c>
      <c r="D188" s="147">
        <v>4000</v>
      </c>
      <c r="E188" s="147">
        <v>1800</v>
      </c>
      <c r="F188" s="147" t="s">
        <v>1666</v>
      </c>
      <c r="G188" s="147" t="s">
        <v>3297</v>
      </c>
      <c r="H188" s="147" t="s">
        <v>3298</v>
      </c>
      <c r="I188" s="159"/>
      <c r="J188" s="147" t="s">
        <v>3299</v>
      </c>
      <c r="K188" s="147" t="s">
        <v>3300</v>
      </c>
      <c r="L188" s="159"/>
      <c r="M188" s="147" t="s">
        <v>2125</v>
      </c>
      <c r="N188" s="147" t="s">
        <v>2125</v>
      </c>
      <c r="O188" s="159"/>
      <c r="P188" s="147"/>
      <c r="Q188" s="147"/>
      <c r="R188" s="159"/>
      <c r="S188" s="147" t="s">
        <v>3292</v>
      </c>
      <c r="T188" s="147" t="s">
        <v>3279</v>
      </c>
      <c r="U188" s="147" t="s">
        <v>3165</v>
      </c>
      <c r="V188" s="147"/>
      <c r="W188" s="147"/>
      <c r="X188" s="147" t="s">
        <v>89</v>
      </c>
      <c r="Y188" s="147" t="s">
        <v>3166</v>
      </c>
      <c r="Z188" s="147" t="s">
        <v>1682</v>
      </c>
      <c r="AA188" s="147" t="s">
        <v>1776</v>
      </c>
    </row>
    <row r="189" spans="1:27" x14ac:dyDescent="0.25">
      <c r="A189" s="156" t="s">
        <v>1759</v>
      </c>
      <c r="B189" s="157" t="s">
        <v>1673</v>
      </c>
      <c r="C189" s="157">
        <v>2</v>
      </c>
      <c r="D189" s="153">
        <v>5000</v>
      </c>
      <c r="E189" s="153">
        <v>1800</v>
      </c>
      <c r="F189" s="153" t="s">
        <v>1666</v>
      </c>
      <c r="G189" s="153"/>
      <c r="H189" s="153"/>
      <c r="I189" s="153"/>
      <c r="J189" s="153"/>
      <c r="K189" s="153"/>
      <c r="L189" s="153"/>
      <c r="M189" s="153" t="s">
        <v>2125</v>
      </c>
      <c r="N189" s="153" t="s">
        <v>2125</v>
      </c>
      <c r="O189" s="153"/>
      <c r="P189" s="153"/>
      <c r="Q189" s="153"/>
      <c r="R189" s="153"/>
      <c r="S189" s="153" t="s">
        <v>2125</v>
      </c>
      <c r="T189" s="153" t="s">
        <v>2125</v>
      </c>
      <c r="U189" s="153"/>
      <c r="V189" s="153"/>
      <c r="W189" s="153"/>
      <c r="X189" s="153"/>
      <c r="Y189" s="153"/>
      <c r="Z189" s="153" t="str">
        <f>"RP-"&amp;Grackle_LED_Map[[#This Row],[Lamp Type]]&amp;"-"&amp;Grackle_LED_Map[[#This Row],[Lamp Length]]&amp;"FT-"&amp;Grackle_LED_Map[[#This Row],[number of led lamps in kit]]&amp;"L-8"&amp;LEFT(Grackle_LED_Map[[#This Row],[CCT]],2)&amp;"-E1-"&amp;Grackle_LED_Map[[#This Row],[Case]]&amp;"-G2"</f>
        <v>RP-G24Q-26VFT-2L-850-E1-KN-G2</v>
      </c>
      <c r="AA189" s="153" t="str">
        <f>"RP-"&amp;Grackle_LED_Map[[#This Row],[Lamp Type]]&amp;"-"&amp;Grackle_LED_Map[[#This Row],[Lamp Length]]&amp;"FT-"&amp;Grackle_LED_Map[[#This Row],[number of led lamps in kit]]&amp;"L-8"&amp;LEFT(Grackle_LED_Map[[#This Row],[CCT]],2)&amp;"-3W-"&amp;Grackle_LED_Map[[#This Row],[Case]]&amp;"-G2"</f>
        <v>RP-G24Q-26VFT-2L-850-3W-KN-G2</v>
      </c>
    </row>
    <row r="190" spans="1:27" x14ac:dyDescent="0.25">
      <c r="A190" s="145" t="s">
        <v>1759</v>
      </c>
      <c r="B190" s="146" t="s">
        <v>1665</v>
      </c>
      <c r="C190" s="146">
        <v>1</v>
      </c>
      <c r="D190" s="147">
        <v>3000</v>
      </c>
      <c r="E190" s="147">
        <v>1000</v>
      </c>
      <c r="F190" s="147" t="s">
        <v>1666</v>
      </c>
      <c r="G190" s="147" t="s">
        <v>3301</v>
      </c>
      <c r="H190" s="147" t="s">
        <v>3302</v>
      </c>
      <c r="I190" s="159"/>
      <c r="J190" s="147" t="s">
        <v>3303</v>
      </c>
      <c r="K190" s="147" t="s">
        <v>3304</v>
      </c>
      <c r="L190" s="159"/>
      <c r="M190" s="147"/>
      <c r="N190" s="147"/>
      <c r="O190" s="159"/>
      <c r="P190" s="147"/>
      <c r="Q190" s="147"/>
      <c r="R190" s="159"/>
      <c r="S190" s="147" t="s">
        <v>3278</v>
      </c>
      <c r="T190" s="147" t="s">
        <v>3279</v>
      </c>
      <c r="U190" s="147" t="s">
        <v>3182</v>
      </c>
      <c r="V190" s="147"/>
      <c r="W190" s="147"/>
      <c r="X190" s="147" t="s">
        <v>106</v>
      </c>
      <c r="Y190" s="147" t="s">
        <v>3183</v>
      </c>
      <c r="Z190" s="147" t="s">
        <v>1667</v>
      </c>
      <c r="AA190" s="147" t="s">
        <v>1762</v>
      </c>
    </row>
    <row r="191" spans="1:27" x14ac:dyDescent="0.25">
      <c r="A191" s="145" t="s">
        <v>1759</v>
      </c>
      <c r="B191" s="146" t="s">
        <v>1665</v>
      </c>
      <c r="C191" s="146">
        <v>1</v>
      </c>
      <c r="D191" s="147">
        <v>3500</v>
      </c>
      <c r="E191" s="147">
        <v>1000</v>
      </c>
      <c r="F191" s="147" t="s">
        <v>1666</v>
      </c>
      <c r="G191" s="147" t="s">
        <v>3305</v>
      </c>
      <c r="H191" s="147" t="s">
        <v>3306</v>
      </c>
      <c r="I191" s="159"/>
      <c r="J191" s="147" t="s">
        <v>3307</v>
      </c>
      <c r="K191" s="147" t="s">
        <v>3308</v>
      </c>
      <c r="L191" s="159"/>
      <c r="M191" s="147"/>
      <c r="N191" s="147"/>
      <c r="O191" s="159"/>
      <c r="P191" s="147"/>
      <c r="Q191" s="147"/>
      <c r="R191" s="159"/>
      <c r="S191" s="147" t="s">
        <v>3278</v>
      </c>
      <c r="T191" s="147" t="s">
        <v>3279</v>
      </c>
      <c r="U191" s="147" t="s">
        <v>3186</v>
      </c>
      <c r="V191" s="147"/>
      <c r="W191" s="147"/>
      <c r="X191" s="147" t="s">
        <v>106</v>
      </c>
      <c r="Y191" s="147" t="s">
        <v>3187</v>
      </c>
      <c r="Z191" s="147" t="s">
        <v>1668</v>
      </c>
      <c r="AA191" s="147" t="s">
        <v>1763</v>
      </c>
    </row>
    <row r="192" spans="1:27" x14ac:dyDescent="0.25">
      <c r="A192" s="145" t="s">
        <v>1759</v>
      </c>
      <c r="B192" s="146" t="s">
        <v>1665</v>
      </c>
      <c r="C192" s="146">
        <v>1</v>
      </c>
      <c r="D192" s="147">
        <v>4000</v>
      </c>
      <c r="E192" s="147">
        <v>1000</v>
      </c>
      <c r="F192" s="147" t="s">
        <v>1666</v>
      </c>
      <c r="G192" s="147" t="s">
        <v>3309</v>
      </c>
      <c r="H192" s="147" t="s">
        <v>3310</v>
      </c>
      <c r="I192" s="159"/>
      <c r="J192" s="147" t="s">
        <v>3311</v>
      </c>
      <c r="K192" s="147" t="s">
        <v>3312</v>
      </c>
      <c r="L192" s="159"/>
      <c r="M192" s="147"/>
      <c r="N192" s="147"/>
      <c r="O192" s="159"/>
      <c r="P192" s="147"/>
      <c r="Q192" s="147"/>
      <c r="R192" s="159"/>
      <c r="S192" s="147" t="s">
        <v>3278</v>
      </c>
      <c r="T192" s="147" t="s">
        <v>3279</v>
      </c>
      <c r="U192" s="147" t="s">
        <v>3190</v>
      </c>
      <c r="V192" s="147"/>
      <c r="W192" s="147"/>
      <c r="X192" s="147" t="s">
        <v>106</v>
      </c>
      <c r="Y192" s="147" t="s">
        <v>3191</v>
      </c>
      <c r="Z192" s="147" t="s">
        <v>1669</v>
      </c>
      <c r="AA192" s="147" t="s">
        <v>1764</v>
      </c>
    </row>
    <row r="193" spans="1:27" x14ac:dyDescent="0.25">
      <c r="A193" s="156" t="s">
        <v>1759</v>
      </c>
      <c r="B193" s="157" t="s">
        <v>1665</v>
      </c>
      <c r="C193" s="157">
        <v>1</v>
      </c>
      <c r="D193" s="153">
        <v>5000</v>
      </c>
      <c r="E193" s="153">
        <v>1000</v>
      </c>
      <c r="F193" s="153" t="s">
        <v>1666</v>
      </c>
      <c r="G193" s="153"/>
      <c r="H193" s="153"/>
      <c r="I193" s="153"/>
      <c r="J193" s="153"/>
      <c r="K193" s="153"/>
      <c r="L193" s="153"/>
      <c r="M193" s="153" t="s">
        <v>2125</v>
      </c>
      <c r="N193" s="153" t="s">
        <v>2125</v>
      </c>
      <c r="O193" s="153"/>
      <c r="P193" s="153"/>
      <c r="Q193" s="153"/>
      <c r="R193" s="153"/>
      <c r="S193" s="153" t="s">
        <v>2125</v>
      </c>
      <c r="T193" s="153" t="s">
        <v>2125</v>
      </c>
      <c r="U193" s="153"/>
      <c r="V193" s="153"/>
      <c r="W193" s="153"/>
      <c r="X193" s="153"/>
      <c r="Y193" s="153"/>
      <c r="Z193" s="153" t="str">
        <f>"RP-"&amp;Grackle_LED_Map[[#This Row],[Lamp Type]]&amp;"-"&amp;Grackle_LED_Map[[#This Row],[Lamp Length]]&amp;"FT-"&amp;Grackle_LED_Map[[#This Row],[number of led lamps in kit]]&amp;"L-8"&amp;LEFT(Grackle_LED_Map[[#This Row],[CCT]],2)&amp;"-E1-"&amp;Grackle_LED_Map[[#This Row],[Case]]&amp;"-G2"</f>
        <v>RP-G24Q-26HFT-1L-850-E1-KN-G2</v>
      </c>
      <c r="AA193" s="153" t="str">
        <f>"RP-"&amp;Grackle_LED_Map[[#This Row],[Lamp Type]]&amp;"-"&amp;Grackle_LED_Map[[#This Row],[Lamp Length]]&amp;"FT-"&amp;Grackle_LED_Map[[#This Row],[number of led lamps in kit]]&amp;"L-8"&amp;LEFT(Grackle_LED_Map[[#This Row],[CCT]],2)&amp;"-3W-"&amp;Grackle_LED_Map[[#This Row],[Case]]&amp;"-G2"</f>
        <v>RP-G24Q-26HFT-1L-850-3W-KN-G2</v>
      </c>
    </row>
    <row r="194" spans="1:27" x14ac:dyDescent="0.25">
      <c r="A194" s="145" t="s">
        <v>1759</v>
      </c>
      <c r="B194" s="146" t="s">
        <v>1665</v>
      </c>
      <c r="C194" s="146">
        <v>2</v>
      </c>
      <c r="D194" s="147">
        <v>3000</v>
      </c>
      <c r="E194" s="147">
        <v>2000</v>
      </c>
      <c r="F194" s="147" t="s">
        <v>1666</v>
      </c>
      <c r="G194" s="147" t="s">
        <v>3313</v>
      </c>
      <c r="H194" s="147" t="s">
        <v>3314</v>
      </c>
      <c r="I194" s="159"/>
      <c r="J194" s="147" t="s">
        <v>3315</v>
      </c>
      <c r="K194" s="147" t="s">
        <v>3316</v>
      </c>
      <c r="L194" s="159"/>
      <c r="M194" s="147"/>
      <c r="N194" s="147"/>
      <c r="O194" s="159"/>
      <c r="P194" s="147"/>
      <c r="Q194" s="147"/>
      <c r="R194" s="159"/>
      <c r="S194" s="147" t="s">
        <v>3292</v>
      </c>
      <c r="T194" s="147" t="s">
        <v>3279</v>
      </c>
      <c r="U194" s="147" t="s">
        <v>3182</v>
      </c>
      <c r="V194" s="147"/>
      <c r="W194" s="147"/>
      <c r="X194" s="147" t="s">
        <v>106</v>
      </c>
      <c r="Y194" s="147" t="s">
        <v>3183</v>
      </c>
      <c r="Z194" s="147" t="s">
        <v>1670</v>
      </c>
      <c r="AA194" s="147" t="s">
        <v>1765</v>
      </c>
    </row>
    <row r="195" spans="1:27" x14ac:dyDescent="0.25">
      <c r="A195" s="145" t="s">
        <v>1759</v>
      </c>
      <c r="B195" s="146" t="s">
        <v>1665</v>
      </c>
      <c r="C195" s="146">
        <v>2</v>
      </c>
      <c r="D195" s="147">
        <v>3500</v>
      </c>
      <c r="E195" s="147">
        <v>2000</v>
      </c>
      <c r="F195" s="147" t="s">
        <v>1666</v>
      </c>
      <c r="G195" s="147" t="s">
        <v>3317</v>
      </c>
      <c r="H195" s="147" t="s">
        <v>3318</v>
      </c>
      <c r="I195" s="159"/>
      <c r="J195" s="147" t="s">
        <v>3319</v>
      </c>
      <c r="K195" s="147" t="s">
        <v>3320</v>
      </c>
      <c r="L195" s="159"/>
      <c r="M195" s="147"/>
      <c r="N195" s="147"/>
      <c r="O195" s="159"/>
      <c r="P195" s="147"/>
      <c r="Q195" s="147"/>
      <c r="R195" s="159"/>
      <c r="S195" s="147" t="s">
        <v>3292</v>
      </c>
      <c r="T195" s="147" t="s">
        <v>3279</v>
      </c>
      <c r="U195" s="147" t="s">
        <v>3186</v>
      </c>
      <c r="V195" s="147"/>
      <c r="W195" s="147"/>
      <c r="X195" s="147" t="s">
        <v>106</v>
      </c>
      <c r="Y195" s="147" t="s">
        <v>3187</v>
      </c>
      <c r="Z195" s="147" t="s">
        <v>1671</v>
      </c>
      <c r="AA195" s="147" t="s">
        <v>1766</v>
      </c>
    </row>
    <row r="196" spans="1:27" x14ac:dyDescent="0.25">
      <c r="A196" s="145" t="s">
        <v>1759</v>
      </c>
      <c r="B196" s="146" t="s">
        <v>1665</v>
      </c>
      <c r="C196" s="146">
        <v>2</v>
      </c>
      <c r="D196" s="147">
        <v>4000</v>
      </c>
      <c r="E196" s="147">
        <v>2000</v>
      </c>
      <c r="F196" s="147" t="s">
        <v>1666</v>
      </c>
      <c r="G196" s="147" t="s">
        <v>3321</v>
      </c>
      <c r="H196" s="147" t="s">
        <v>3322</v>
      </c>
      <c r="I196" s="159"/>
      <c r="J196" s="147" t="s">
        <v>3323</v>
      </c>
      <c r="K196" s="147" t="s">
        <v>3324</v>
      </c>
      <c r="L196" s="159"/>
      <c r="M196" s="147"/>
      <c r="N196" s="147"/>
      <c r="O196" s="159"/>
      <c r="P196" s="147"/>
      <c r="Q196" s="147"/>
      <c r="R196" s="159"/>
      <c r="S196" s="147" t="s">
        <v>3292</v>
      </c>
      <c r="T196" s="147" t="s">
        <v>3279</v>
      </c>
      <c r="U196" s="147" t="s">
        <v>3190</v>
      </c>
      <c r="V196" s="147"/>
      <c r="W196" s="147"/>
      <c r="X196" s="147" t="s">
        <v>106</v>
      </c>
      <c r="Y196" s="147" t="s">
        <v>3191</v>
      </c>
      <c r="Z196" s="147" t="s">
        <v>1672</v>
      </c>
      <c r="AA196" s="147" t="s">
        <v>1767</v>
      </c>
    </row>
    <row r="197" spans="1:27" x14ac:dyDescent="0.25">
      <c r="A197" s="156" t="s">
        <v>1759</v>
      </c>
      <c r="B197" s="157" t="s">
        <v>1665</v>
      </c>
      <c r="C197" s="157">
        <v>2</v>
      </c>
      <c r="D197" s="153">
        <v>5000</v>
      </c>
      <c r="E197" s="153">
        <v>2000</v>
      </c>
      <c r="F197" s="153" t="s">
        <v>1666</v>
      </c>
      <c r="G197" s="153"/>
      <c r="H197" s="153"/>
      <c r="I197" s="153"/>
      <c r="J197" s="153"/>
      <c r="K197" s="153"/>
      <c r="L197" s="153"/>
      <c r="M197" s="153" t="s">
        <v>2125</v>
      </c>
      <c r="N197" s="153" t="s">
        <v>2125</v>
      </c>
      <c r="O197" s="153"/>
      <c r="P197" s="153"/>
      <c r="Q197" s="153"/>
      <c r="R197" s="153"/>
      <c r="S197" s="153" t="s">
        <v>2125</v>
      </c>
      <c r="T197" s="153" t="s">
        <v>2125</v>
      </c>
      <c r="U197" s="153"/>
      <c r="V197" s="153"/>
      <c r="W197" s="153"/>
      <c r="X197" s="153"/>
      <c r="Y197" s="153"/>
      <c r="Z197" s="153" t="str">
        <f>"RP-"&amp;Grackle_LED_Map[[#This Row],[Lamp Type]]&amp;"-"&amp;Grackle_LED_Map[[#This Row],[Lamp Length]]&amp;"FT-"&amp;Grackle_LED_Map[[#This Row],[number of led lamps in kit]]&amp;"L-8"&amp;LEFT(Grackle_LED_Map[[#This Row],[CCT]],2)&amp;"-E1-"&amp;Grackle_LED_Map[[#This Row],[Case]]&amp;"-G2"</f>
        <v>RP-G24Q-26HFT-2L-850-E1-KN-G2</v>
      </c>
      <c r="AA197" s="153" t="str">
        <f>"RP-"&amp;Grackle_LED_Map[[#This Row],[Lamp Type]]&amp;"-"&amp;Grackle_LED_Map[[#This Row],[Lamp Length]]&amp;"FT-"&amp;Grackle_LED_Map[[#This Row],[number of led lamps in kit]]&amp;"L-8"&amp;LEFT(Grackle_LED_Map[[#This Row],[CCT]],2)&amp;"-3W-"&amp;Grackle_LED_Map[[#This Row],[Case]]&amp;"-G2"</f>
        <v>RP-G24Q-26HFT-2L-850-3W-KN-G2</v>
      </c>
    </row>
    <row r="198" spans="1:27" x14ac:dyDescent="0.25">
      <c r="A198" s="145" t="s">
        <v>1759</v>
      </c>
      <c r="B198" s="146" t="s">
        <v>1697</v>
      </c>
      <c r="C198" s="146">
        <v>1</v>
      </c>
      <c r="D198" s="147">
        <v>3000</v>
      </c>
      <c r="E198" s="147">
        <v>1200</v>
      </c>
      <c r="F198" s="147" t="s">
        <v>1666</v>
      </c>
      <c r="G198" s="147" t="s">
        <v>3325</v>
      </c>
      <c r="H198" s="147" t="s">
        <v>3326</v>
      </c>
      <c r="I198" s="159"/>
      <c r="J198" s="147" t="s">
        <v>3327</v>
      </c>
      <c r="K198" s="147" t="s">
        <v>3328</v>
      </c>
      <c r="L198" s="159"/>
      <c r="M198" s="147" t="s">
        <v>2125</v>
      </c>
      <c r="N198" s="147" t="s">
        <v>2125</v>
      </c>
      <c r="O198" s="159"/>
      <c r="P198" s="147"/>
      <c r="Q198" s="147"/>
      <c r="R198" s="159"/>
      <c r="S198" s="147" t="s">
        <v>3292</v>
      </c>
      <c r="T198" s="147" t="s">
        <v>3279</v>
      </c>
      <c r="U198" s="147" t="s">
        <v>3329</v>
      </c>
      <c r="V198" s="147"/>
      <c r="W198" s="147"/>
      <c r="X198" s="147" t="s">
        <v>113</v>
      </c>
      <c r="Y198" s="147" t="s">
        <v>3203</v>
      </c>
      <c r="Z198" s="147" t="s">
        <v>1699</v>
      </c>
      <c r="AA198" s="147" t="s">
        <v>1790</v>
      </c>
    </row>
    <row r="199" spans="1:27" x14ac:dyDescent="0.25">
      <c r="A199" s="145" t="s">
        <v>1759</v>
      </c>
      <c r="B199" s="146" t="s">
        <v>1697</v>
      </c>
      <c r="C199" s="146">
        <v>1</v>
      </c>
      <c r="D199" s="147">
        <v>3500</v>
      </c>
      <c r="E199" s="147">
        <v>1200</v>
      </c>
      <c r="F199" s="147" t="s">
        <v>1666</v>
      </c>
      <c r="G199" s="147" t="s">
        <v>3330</v>
      </c>
      <c r="H199" s="147" t="s">
        <v>3331</v>
      </c>
      <c r="I199" s="159"/>
      <c r="J199" s="147" t="s">
        <v>3332</v>
      </c>
      <c r="K199" s="147" t="s">
        <v>3333</v>
      </c>
      <c r="L199" s="159"/>
      <c r="M199" s="147" t="s">
        <v>2125</v>
      </c>
      <c r="N199" s="147" t="s">
        <v>2125</v>
      </c>
      <c r="O199" s="159"/>
      <c r="P199" s="147"/>
      <c r="Q199" s="147"/>
      <c r="R199" s="159"/>
      <c r="S199" s="147" t="s">
        <v>3292</v>
      </c>
      <c r="T199" s="147" t="s">
        <v>3279</v>
      </c>
      <c r="U199" s="147" t="s">
        <v>3334</v>
      </c>
      <c r="V199" s="147"/>
      <c r="W199" s="147"/>
      <c r="X199" s="147" t="s">
        <v>113</v>
      </c>
      <c r="Y199" s="147" t="s">
        <v>3209</v>
      </c>
      <c r="Z199" s="147" t="s">
        <v>1701</v>
      </c>
      <c r="AA199" s="147" t="s">
        <v>1792</v>
      </c>
    </row>
    <row r="200" spans="1:27" x14ac:dyDescent="0.25">
      <c r="A200" s="145" t="s">
        <v>1759</v>
      </c>
      <c r="B200" s="146" t="s">
        <v>1697</v>
      </c>
      <c r="C200" s="146">
        <v>1</v>
      </c>
      <c r="D200" s="147">
        <v>4000</v>
      </c>
      <c r="E200" s="147">
        <v>1200</v>
      </c>
      <c r="F200" s="147" t="s">
        <v>1666</v>
      </c>
      <c r="G200" s="147" t="s">
        <v>3335</v>
      </c>
      <c r="H200" s="147" t="s">
        <v>3336</v>
      </c>
      <c r="I200" s="159"/>
      <c r="J200" s="147" t="s">
        <v>3337</v>
      </c>
      <c r="K200" s="147" t="s">
        <v>3338</v>
      </c>
      <c r="L200" s="159"/>
      <c r="M200" s="147" t="s">
        <v>2125</v>
      </c>
      <c r="N200" s="147" t="s">
        <v>2125</v>
      </c>
      <c r="O200" s="159"/>
      <c r="P200" s="147"/>
      <c r="Q200" s="147"/>
      <c r="R200" s="159"/>
      <c r="S200" s="147" t="s">
        <v>3292</v>
      </c>
      <c r="T200" s="147" t="s">
        <v>3279</v>
      </c>
      <c r="U200" s="147" t="s">
        <v>3339</v>
      </c>
      <c r="V200" s="147"/>
      <c r="W200" s="147"/>
      <c r="X200" s="147" t="s">
        <v>113</v>
      </c>
      <c r="Y200" s="147" t="s">
        <v>3215</v>
      </c>
      <c r="Z200" s="147" t="s">
        <v>1703</v>
      </c>
      <c r="AA200" s="147" t="s">
        <v>1794</v>
      </c>
    </row>
    <row r="201" spans="1:27" x14ac:dyDescent="0.25">
      <c r="A201" s="156" t="s">
        <v>1759</v>
      </c>
      <c r="B201" s="157" t="s">
        <v>1697</v>
      </c>
      <c r="C201" s="157">
        <v>1</v>
      </c>
      <c r="D201" s="153">
        <v>5000</v>
      </c>
      <c r="E201" s="153"/>
      <c r="F201" s="153" t="s">
        <v>1666</v>
      </c>
      <c r="G201" s="153"/>
      <c r="H201" s="153"/>
      <c r="I201" s="153"/>
      <c r="J201" s="153"/>
      <c r="K201" s="153"/>
      <c r="L201" s="153"/>
      <c r="M201" s="153" t="s">
        <v>2125</v>
      </c>
      <c r="N201" s="153" t="s">
        <v>2125</v>
      </c>
      <c r="O201" s="153"/>
      <c r="P201" s="153"/>
      <c r="Q201" s="153"/>
      <c r="R201" s="153"/>
      <c r="S201" s="153" t="s">
        <v>2125</v>
      </c>
      <c r="T201" s="153" t="s">
        <v>2125</v>
      </c>
      <c r="U201" s="153"/>
      <c r="V201" s="153"/>
      <c r="W201" s="153"/>
      <c r="X201" s="153"/>
      <c r="Y201" s="153"/>
      <c r="Z201" s="153" t="str">
        <f>"RP-"&amp;Grackle_LED_Map[[#This Row],[Lamp Type]]&amp;"-"&amp;Grackle_LED_Map[[#This Row],[Lamp Length]]&amp;"FT-"&amp;Grackle_LED_Map[[#This Row],[number of led lamps in kit]]&amp;"L-8"&amp;LEFT(Grackle_LED_Map[[#This Row],[CCT]],2)&amp;"-E1-"&amp;Grackle_LED_Map[[#This Row],[Case]]&amp;"-G2"</f>
        <v>RP-G24Q-RFT-1L-850-E1-KN-G2</v>
      </c>
      <c r="AA201" s="153" t="str">
        <f>"RP-"&amp;Grackle_LED_Map[[#This Row],[Lamp Type]]&amp;"-"&amp;Grackle_LED_Map[[#This Row],[Lamp Length]]&amp;"FT-"&amp;Grackle_LED_Map[[#This Row],[number of led lamps in kit]]&amp;"L-8"&amp;LEFT(Grackle_LED_Map[[#This Row],[CCT]],2)&amp;"-3W-"&amp;Grackle_LED_Map[[#This Row],[Case]]&amp;"-G2"</f>
        <v>RP-G24Q-RFT-1L-850-3W-KN-G2</v>
      </c>
    </row>
    <row r="202" spans="1:27" x14ac:dyDescent="0.25">
      <c r="A202" s="156" t="s">
        <v>1759</v>
      </c>
      <c r="B202" s="157" t="s">
        <v>3216</v>
      </c>
      <c r="C202" s="157">
        <v>1</v>
      </c>
      <c r="D202" s="153">
        <v>3000</v>
      </c>
      <c r="E202" s="153"/>
      <c r="F202" s="153" t="s">
        <v>1666</v>
      </c>
      <c r="G202" s="153"/>
      <c r="H202" s="153"/>
      <c r="I202" s="153"/>
      <c r="J202" s="153"/>
      <c r="K202" s="153"/>
      <c r="L202" s="153"/>
      <c r="M202" s="153"/>
      <c r="N202" s="153"/>
      <c r="O202" s="153"/>
      <c r="P202" s="153"/>
      <c r="Q202" s="153"/>
      <c r="R202" s="153"/>
      <c r="S202" s="153"/>
      <c r="T202" s="153"/>
      <c r="U202" s="153"/>
      <c r="V202" s="153"/>
      <c r="W202" s="153"/>
      <c r="X202" s="153"/>
      <c r="Y202" s="153"/>
      <c r="Z202" s="153" t="s">
        <v>3217</v>
      </c>
      <c r="AA202" s="153" t="s">
        <v>3217</v>
      </c>
    </row>
    <row r="203" spans="1:27" x14ac:dyDescent="0.25">
      <c r="A203" s="156" t="s">
        <v>1759</v>
      </c>
      <c r="B203" s="157" t="s">
        <v>3216</v>
      </c>
      <c r="C203" s="157">
        <v>1</v>
      </c>
      <c r="D203" s="153">
        <v>3500</v>
      </c>
      <c r="E203" s="153"/>
      <c r="F203" s="153" t="s">
        <v>1666</v>
      </c>
      <c r="G203" s="153"/>
      <c r="H203" s="153"/>
      <c r="I203" s="153"/>
      <c r="J203" s="153"/>
      <c r="K203" s="153"/>
      <c r="L203" s="153"/>
      <c r="M203" s="153"/>
      <c r="N203" s="153"/>
      <c r="O203" s="153"/>
      <c r="P203" s="153"/>
      <c r="Q203" s="153"/>
      <c r="R203" s="153"/>
      <c r="S203" s="153"/>
      <c r="T203" s="153"/>
      <c r="U203" s="153"/>
      <c r="V203" s="153"/>
      <c r="W203" s="153"/>
      <c r="X203" s="153"/>
      <c r="Y203" s="153"/>
      <c r="Z203" s="153" t="s">
        <v>3217</v>
      </c>
      <c r="AA203" s="153" t="s">
        <v>3217</v>
      </c>
    </row>
    <row r="204" spans="1:27" x14ac:dyDescent="0.25">
      <c r="A204" s="156" t="s">
        <v>1759</v>
      </c>
      <c r="B204" s="157" t="s">
        <v>3216</v>
      </c>
      <c r="C204" s="157">
        <v>1</v>
      </c>
      <c r="D204" s="153">
        <v>4000</v>
      </c>
      <c r="E204" s="153"/>
      <c r="F204" s="153" t="s">
        <v>1666</v>
      </c>
      <c r="G204" s="153"/>
      <c r="H204" s="153"/>
      <c r="I204" s="153"/>
      <c r="J204" s="153"/>
      <c r="K204" s="153"/>
      <c r="L204" s="153"/>
      <c r="M204" s="153"/>
      <c r="N204" s="153"/>
      <c r="O204" s="153"/>
      <c r="P204" s="153"/>
      <c r="Q204" s="153"/>
      <c r="R204" s="153"/>
      <c r="S204" s="153"/>
      <c r="T204" s="153"/>
      <c r="U204" s="153"/>
      <c r="V204" s="153"/>
      <c r="W204" s="153"/>
      <c r="X204" s="153"/>
      <c r="Y204" s="153"/>
      <c r="Z204" s="153" t="s">
        <v>3217</v>
      </c>
      <c r="AA204" s="153" t="s">
        <v>3217</v>
      </c>
    </row>
    <row r="205" spans="1:27" x14ac:dyDescent="0.25">
      <c r="A205" s="156" t="s">
        <v>1759</v>
      </c>
      <c r="B205" s="157" t="s">
        <v>3216</v>
      </c>
      <c r="C205" s="157">
        <v>1</v>
      </c>
      <c r="D205" s="153">
        <v>5000</v>
      </c>
      <c r="E205" s="153"/>
      <c r="F205" s="153" t="s">
        <v>1666</v>
      </c>
      <c r="G205" s="153"/>
      <c r="H205" s="153"/>
      <c r="I205" s="153"/>
      <c r="J205" s="153"/>
      <c r="K205" s="153"/>
      <c r="L205" s="153"/>
      <c r="M205" s="153"/>
      <c r="N205" s="153"/>
      <c r="O205" s="153"/>
      <c r="P205" s="153"/>
      <c r="Q205" s="153"/>
      <c r="R205" s="153"/>
      <c r="S205" s="153"/>
      <c r="T205" s="153"/>
      <c r="U205" s="153"/>
      <c r="V205" s="153"/>
      <c r="W205" s="153"/>
      <c r="X205" s="153"/>
      <c r="Y205" s="153"/>
      <c r="Z205" s="153" t="str">
        <f>"RP-"&amp;Grackle_LED_Map[[#This Row],[Lamp Type]]&amp;"-"&amp;Grackle_LED_Map[[#This Row],[Lamp Length]]&amp;"FT-"&amp;Grackle_LED_Map[[#This Row],[number of led lamps in kit]]&amp;"L-8"&amp;LEFT(Grackle_LED_Map[[#This Row],[CCT]],2)&amp;"-E1-"&amp;Grackle_LED_Map[[#This Row],[Case]]&amp;"-G2"</f>
        <v>RP-G24Q-R WITH EXTENDERFT-1L-850-E1-KN-G2</v>
      </c>
      <c r="AA205" s="153" t="str">
        <f>"RP-"&amp;Grackle_LED_Map[[#This Row],[Lamp Type]]&amp;"-"&amp;Grackle_LED_Map[[#This Row],[Lamp Length]]&amp;"FT-"&amp;Grackle_LED_Map[[#This Row],[number of led lamps in kit]]&amp;"L-8"&amp;LEFT(Grackle_LED_Map[[#This Row],[CCT]],2)&amp;"-3W-"&amp;Grackle_LED_Map[[#This Row],[Case]]&amp;"-G2"</f>
        <v>RP-G24Q-R WITH EXTENDERFT-1L-850-3W-KN-G2</v>
      </c>
    </row>
    <row r="206" spans="1:27" x14ac:dyDescent="0.25">
      <c r="A206" s="145" t="s">
        <v>1759</v>
      </c>
      <c r="B206" s="146" t="s">
        <v>1704</v>
      </c>
      <c r="C206" s="146">
        <v>1</v>
      </c>
      <c r="D206" s="147">
        <v>3000</v>
      </c>
      <c r="E206" s="147">
        <v>1200</v>
      </c>
      <c r="F206" s="147" t="s">
        <v>1666</v>
      </c>
      <c r="G206" s="147" t="s">
        <v>3340</v>
      </c>
      <c r="H206" s="147" t="s">
        <v>3341</v>
      </c>
      <c r="I206" s="159"/>
      <c r="J206" s="147" t="s">
        <v>3342</v>
      </c>
      <c r="K206" s="147" t="s">
        <v>3343</v>
      </c>
      <c r="L206" s="159"/>
      <c r="M206" s="147"/>
      <c r="N206" s="147"/>
      <c r="O206" s="159"/>
      <c r="P206" s="147"/>
      <c r="Q206" s="147"/>
      <c r="R206" s="159"/>
      <c r="S206" s="147" t="s">
        <v>3292</v>
      </c>
      <c r="T206" s="147" t="s">
        <v>3279</v>
      </c>
      <c r="U206" s="147" t="s">
        <v>3329</v>
      </c>
      <c r="V206" s="147" t="s">
        <v>3222</v>
      </c>
      <c r="W206" s="147" t="s">
        <v>3222</v>
      </c>
      <c r="X206" s="147" t="s">
        <v>113</v>
      </c>
      <c r="Y206" s="147" t="s">
        <v>3203</v>
      </c>
      <c r="Z206" s="147" t="s">
        <v>1706</v>
      </c>
      <c r="AA206" s="147" t="s">
        <v>1796</v>
      </c>
    </row>
    <row r="207" spans="1:27" x14ac:dyDescent="0.25">
      <c r="A207" s="145" t="s">
        <v>1759</v>
      </c>
      <c r="B207" s="146" t="s">
        <v>1704</v>
      </c>
      <c r="C207" s="146">
        <v>1</v>
      </c>
      <c r="D207" s="147">
        <v>3500</v>
      </c>
      <c r="E207" s="147">
        <v>1200</v>
      </c>
      <c r="F207" s="147" t="s">
        <v>1666</v>
      </c>
      <c r="G207" s="147" t="s">
        <v>3344</v>
      </c>
      <c r="H207" s="147" t="s">
        <v>3345</v>
      </c>
      <c r="I207" s="159"/>
      <c r="J207" s="147" t="s">
        <v>3346</v>
      </c>
      <c r="K207" s="147" t="s">
        <v>3347</v>
      </c>
      <c r="L207" s="159"/>
      <c r="M207" s="147"/>
      <c r="N207" s="147"/>
      <c r="O207" s="159"/>
      <c r="P207" s="147"/>
      <c r="Q207" s="147"/>
      <c r="R207" s="159"/>
      <c r="S207" s="147" t="s">
        <v>3292</v>
      </c>
      <c r="T207" s="147" t="s">
        <v>3279</v>
      </c>
      <c r="U207" s="147" t="s">
        <v>3334</v>
      </c>
      <c r="V207" s="147" t="s">
        <v>3222</v>
      </c>
      <c r="W207" s="147" t="s">
        <v>3222</v>
      </c>
      <c r="X207" s="147" t="s">
        <v>113</v>
      </c>
      <c r="Y207" s="147" t="s">
        <v>3209</v>
      </c>
      <c r="Z207" s="147" t="s">
        <v>1708</v>
      </c>
      <c r="AA207" s="147" t="s">
        <v>1798</v>
      </c>
    </row>
    <row r="208" spans="1:27" x14ac:dyDescent="0.25">
      <c r="A208" s="145" t="s">
        <v>1759</v>
      </c>
      <c r="B208" s="146" t="s">
        <v>1704</v>
      </c>
      <c r="C208" s="146">
        <v>1</v>
      </c>
      <c r="D208" s="147">
        <v>4000</v>
      </c>
      <c r="E208" s="147">
        <v>1200</v>
      </c>
      <c r="F208" s="147" t="s">
        <v>1666</v>
      </c>
      <c r="G208" s="147" t="s">
        <v>3348</v>
      </c>
      <c r="H208" s="147" t="s">
        <v>3349</v>
      </c>
      <c r="I208" s="159"/>
      <c r="J208" s="147" t="s">
        <v>3350</v>
      </c>
      <c r="K208" s="147" t="s">
        <v>3351</v>
      </c>
      <c r="L208" s="159"/>
      <c r="M208" s="147"/>
      <c r="N208" s="147"/>
      <c r="O208" s="159"/>
      <c r="P208" s="147"/>
      <c r="Q208" s="147"/>
      <c r="R208" s="159"/>
      <c r="S208" s="147" t="s">
        <v>3292</v>
      </c>
      <c r="T208" s="147" t="s">
        <v>3279</v>
      </c>
      <c r="U208" s="147" t="s">
        <v>3339</v>
      </c>
      <c r="V208" s="147" t="s">
        <v>3222</v>
      </c>
      <c r="W208" s="147" t="s">
        <v>3222</v>
      </c>
      <c r="X208" s="147" t="s">
        <v>113</v>
      </c>
      <c r="Y208" s="147" t="s">
        <v>3215</v>
      </c>
      <c r="Z208" s="147" t="s">
        <v>1710</v>
      </c>
      <c r="AA208" s="147" t="s">
        <v>1800</v>
      </c>
    </row>
    <row r="209" spans="1:27" x14ac:dyDescent="0.25">
      <c r="A209" s="156" t="s">
        <v>1759</v>
      </c>
      <c r="B209" s="157" t="s">
        <v>1704</v>
      </c>
      <c r="C209" s="157">
        <v>1</v>
      </c>
      <c r="D209" s="153">
        <v>5000</v>
      </c>
      <c r="E209" s="153">
        <v>1200</v>
      </c>
      <c r="F209" s="153" t="s">
        <v>1666</v>
      </c>
      <c r="G209" s="153"/>
      <c r="H209" s="153"/>
      <c r="I209" s="153"/>
      <c r="J209" s="153"/>
      <c r="K209" s="153"/>
      <c r="L209" s="153"/>
      <c r="M209" s="153"/>
      <c r="N209" s="153"/>
      <c r="O209" s="153"/>
      <c r="P209" s="153"/>
      <c r="Q209" s="153"/>
      <c r="R209" s="153"/>
      <c r="S209" s="153"/>
      <c r="T209" s="153"/>
      <c r="U209" s="153"/>
      <c r="V209" s="153"/>
      <c r="W209" s="153"/>
      <c r="X209" s="153"/>
      <c r="Y209" s="153"/>
      <c r="Z209" s="153" t="str">
        <f>"RP-"&amp;Grackle_LED_Map[[#This Row],[Lamp Type]]&amp;"-"&amp;Grackle_LED_Map[[#This Row],[Lamp Length]]&amp;"FT-"&amp;Grackle_LED_Map[[#This Row],[number of led lamps in kit]]&amp;"L-8"&amp;LEFT(Grackle_LED_Map[[#This Row],[CCT]],2)&amp;"-E1-"&amp;Grackle_LED_Map[[#This Row],[Case]]&amp;"-G2"</f>
        <v>RP-G24Q-R+V2HFT-1L-850-E1-KN-G2</v>
      </c>
      <c r="AA209" s="153" t="str">
        <f>"RP-"&amp;Grackle_LED_Map[[#This Row],[Lamp Type]]&amp;"-"&amp;Grackle_LED_Map[[#This Row],[Lamp Length]]&amp;"FT-"&amp;Grackle_LED_Map[[#This Row],[number of led lamps in kit]]&amp;"L-8"&amp;LEFT(Grackle_LED_Map[[#This Row],[CCT]],2)&amp;"-3W-"&amp;Grackle_LED_Map[[#This Row],[Case]]&amp;"-G2"</f>
        <v>RP-G24Q-R+V2HFT-1L-850-3W-KN-G2</v>
      </c>
    </row>
    <row r="210" spans="1:27" x14ac:dyDescent="0.25">
      <c r="A210" s="145" t="s">
        <v>1759</v>
      </c>
      <c r="B210" s="146" t="s">
        <v>1690</v>
      </c>
      <c r="C210" s="146">
        <v>1</v>
      </c>
      <c r="D210" s="147">
        <v>3000</v>
      </c>
      <c r="E210" s="147">
        <v>2700</v>
      </c>
      <c r="F210" s="147" t="s">
        <v>1666</v>
      </c>
      <c r="G210" s="147" t="s">
        <v>3352</v>
      </c>
      <c r="H210" s="147" t="s">
        <v>3353</v>
      </c>
      <c r="I210" s="159"/>
      <c r="J210" s="147" t="s">
        <v>3354</v>
      </c>
      <c r="K210" s="147" t="s">
        <v>3355</v>
      </c>
      <c r="L210" s="159"/>
      <c r="M210" s="147"/>
      <c r="N210" s="147"/>
      <c r="O210" s="159"/>
      <c r="P210" s="147"/>
      <c r="Q210" s="147"/>
      <c r="R210" s="159"/>
      <c r="S210" s="147" t="s">
        <v>3292</v>
      </c>
      <c r="T210" s="147" t="s">
        <v>3279</v>
      </c>
      <c r="U210" s="147" t="s">
        <v>3235</v>
      </c>
      <c r="V210" s="147" t="s">
        <v>3222</v>
      </c>
      <c r="W210" s="147" t="s">
        <v>3222</v>
      </c>
      <c r="X210" s="147" t="s">
        <v>1501</v>
      </c>
      <c r="Y210" s="147" t="s">
        <v>3236</v>
      </c>
      <c r="Z210" s="147" t="s">
        <v>1592</v>
      </c>
      <c r="AA210" s="147" t="s">
        <v>1595</v>
      </c>
    </row>
    <row r="211" spans="1:27" x14ac:dyDescent="0.25">
      <c r="A211" s="145" t="s">
        <v>1759</v>
      </c>
      <c r="B211" s="146" t="s">
        <v>1690</v>
      </c>
      <c r="C211" s="146">
        <v>1</v>
      </c>
      <c r="D211" s="147">
        <v>3500</v>
      </c>
      <c r="E211" s="147">
        <v>2700</v>
      </c>
      <c r="F211" s="147" t="s">
        <v>1666</v>
      </c>
      <c r="G211" s="147" t="s">
        <v>3356</v>
      </c>
      <c r="H211" s="147" t="s">
        <v>3357</v>
      </c>
      <c r="I211" s="159"/>
      <c r="J211" s="147" t="s">
        <v>3358</v>
      </c>
      <c r="K211" s="147" t="s">
        <v>3359</v>
      </c>
      <c r="L211" s="159"/>
      <c r="M211" s="147"/>
      <c r="N211" s="147"/>
      <c r="O211" s="159"/>
      <c r="P211" s="147"/>
      <c r="Q211" s="147"/>
      <c r="R211" s="159"/>
      <c r="S211" s="147" t="s">
        <v>3292</v>
      </c>
      <c r="T211" s="147" t="s">
        <v>3279</v>
      </c>
      <c r="U211" s="147" t="s">
        <v>3241</v>
      </c>
      <c r="V211" s="147" t="s">
        <v>3222</v>
      </c>
      <c r="W211" s="147" t="s">
        <v>3222</v>
      </c>
      <c r="X211" s="147" t="s">
        <v>1501</v>
      </c>
      <c r="Y211" s="147" t="s">
        <v>3242</v>
      </c>
      <c r="Z211" s="147" t="s">
        <v>1593</v>
      </c>
      <c r="AA211" s="147" t="s">
        <v>1596</v>
      </c>
    </row>
    <row r="212" spans="1:27" x14ac:dyDescent="0.25">
      <c r="A212" s="145" t="s">
        <v>1759</v>
      </c>
      <c r="B212" s="146" t="s">
        <v>1690</v>
      </c>
      <c r="C212" s="146">
        <v>1</v>
      </c>
      <c r="D212" s="147">
        <v>4000</v>
      </c>
      <c r="E212" s="147">
        <v>2700</v>
      </c>
      <c r="F212" s="147" t="s">
        <v>1666</v>
      </c>
      <c r="G212" s="147" t="s">
        <v>3360</v>
      </c>
      <c r="H212" s="147" t="s">
        <v>3361</v>
      </c>
      <c r="I212" s="159"/>
      <c r="J212" s="147" t="s">
        <v>3362</v>
      </c>
      <c r="K212" s="147" t="s">
        <v>3363</v>
      </c>
      <c r="L212" s="159"/>
      <c r="M212" s="147"/>
      <c r="N212" s="147"/>
      <c r="O212" s="159"/>
      <c r="P212" s="147"/>
      <c r="Q212" s="147"/>
      <c r="R212" s="159"/>
      <c r="S212" s="147" t="s">
        <v>3292</v>
      </c>
      <c r="T212" s="147" t="s">
        <v>3279</v>
      </c>
      <c r="U212" s="147" t="s">
        <v>3247</v>
      </c>
      <c r="V212" s="147" t="s">
        <v>3222</v>
      </c>
      <c r="W212" s="147" t="s">
        <v>3222</v>
      </c>
      <c r="X212" s="147" t="s">
        <v>1501</v>
      </c>
      <c r="Y212" s="147" t="s">
        <v>3248</v>
      </c>
      <c r="Z212" s="147" t="s">
        <v>1594</v>
      </c>
      <c r="AA212" s="147" t="s">
        <v>1597</v>
      </c>
    </row>
    <row r="213" spans="1:27" x14ac:dyDescent="0.25">
      <c r="A213" s="156" t="s">
        <v>1759</v>
      </c>
      <c r="B213" s="157" t="s">
        <v>1690</v>
      </c>
      <c r="C213" s="157">
        <v>1</v>
      </c>
      <c r="D213" s="153">
        <v>5000</v>
      </c>
      <c r="E213" s="153">
        <v>2700</v>
      </c>
      <c r="F213" s="153" t="s">
        <v>1666</v>
      </c>
      <c r="G213" s="153"/>
      <c r="H213" s="153"/>
      <c r="I213" s="153"/>
      <c r="J213" s="153"/>
      <c r="K213" s="153"/>
      <c r="L213" s="153"/>
      <c r="M213" s="153"/>
      <c r="N213" s="153"/>
      <c r="O213" s="153"/>
      <c r="P213" s="153"/>
      <c r="Q213" s="153"/>
      <c r="R213" s="153"/>
      <c r="S213" s="153"/>
      <c r="T213" s="153"/>
      <c r="U213" s="153"/>
      <c r="V213" s="153"/>
      <c r="W213" s="153"/>
      <c r="X213" s="153"/>
      <c r="Y213" s="153"/>
      <c r="Z213" s="153" t="str">
        <f>"RP-"&amp;Grackle_LED_Map[[#This Row],[Lamp Type]]&amp;"-"&amp;Grackle_LED_Map[[#This Row],[Lamp Length]]&amp;"FT-"&amp;Grackle_LED_Map[[#This Row],[number of led lamps in kit]]&amp;"L-8"&amp;LEFT(Grackle_LED_Map[[#This Row],[CCT]],2)&amp;"-E1-"&amp;Grackle_LED_Map[[#This Row],[Case]]&amp;"-G2"</f>
        <v>RP-G24Q-P+V2HFT-1L-850-E1-KN-G2</v>
      </c>
      <c r="AA213" s="153" t="str">
        <f>"RP-"&amp;Grackle_LED_Map[[#This Row],[Lamp Type]]&amp;"-"&amp;Grackle_LED_Map[[#This Row],[Lamp Length]]&amp;"FT-"&amp;Grackle_LED_Map[[#This Row],[number of led lamps in kit]]&amp;"L-8"&amp;LEFT(Grackle_LED_Map[[#This Row],[CCT]],2)&amp;"-3W-"&amp;Grackle_LED_Map[[#This Row],[Case]]&amp;"-G2"</f>
        <v>RP-G24Q-P+V2HFT-1L-850-3W-KN-G2</v>
      </c>
    </row>
    <row r="214" spans="1:27" x14ac:dyDescent="0.25">
      <c r="A214" s="145" t="s">
        <v>1759</v>
      </c>
      <c r="B214" s="146" t="s">
        <v>1690</v>
      </c>
      <c r="C214" s="146">
        <v>1</v>
      </c>
      <c r="D214" s="147">
        <v>3000</v>
      </c>
      <c r="E214" s="147">
        <v>2000</v>
      </c>
      <c r="F214" s="147" t="s">
        <v>1666</v>
      </c>
      <c r="G214" s="147" t="s">
        <v>3364</v>
      </c>
      <c r="H214" s="147" t="s">
        <v>3365</v>
      </c>
      <c r="I214" s="159"/>
      <c r="J214" s="147" t="s">
        <v>3366</v>
      </c>
      <c r="K214" s="147" t="s">
        <v>3367</v>
      </c>
      <c r="L214" s="159"/>
      <c r="M214" s="147"/>
      <c r="N214" s="147"/>
      <c r="O214" s="159"/>
      <c r="P214" s="147"/>
      <c r="Q214" s="147"/>
      <c r="R214" s="159"/>
      <c r="S214" s="147" t="s">
        <v>3292</v>
      </c>
      <c r="T214" s="147" t="s">
        <v>3279</v>
      </c>
      <c r="U214" s="147" t="s">
        <v>3235</v>
      </c>
      <c r="V214" s="147" t="s">
        <v>3222</v>
      </c>
      <c r="W214" s="147" t="s">
        <v>3222</v>
      </c>
      <c r="X214" s="147" t="s">
        <v>1501</v>
      </c>
      <c r="Y214" s="147" t="s">
        <v>3236</v>
      </c>
      <c r="Z214" s="147" t="s">
        <v>1692</v>
      </c>
      <c r="AA214" s="147" t="s">
        <v>1784</v>
      </c>
    </row>
    <row r="215" spans="1:27" x14ac:dyDescent="0.25">
      <c r="A215" s="145" t="s">
        <v>1759</v>
      </c>
      <c r="B215" s="146" t="s">
        <v>1690</v>
      </c>
      <c r="C215" s="146">
        <v>1</v>
      </c>
      <c r="D215" s="147">
        <v>3500</v>
      </c>
      <c r="E215" s="147">
        <v>2000</v>
      </c>
      <c r="F215" s="147" t="s">
        <v>1666</v>
      </c>
      <c r="G215" s="147" t="s">
        <v>3368</v>
      </c>
      <c r="H215" s="147" t="s">
        <v>3369</v>
      </c>
      <c r="I215" s="159"/>
      <c r="J215" s="147" t="s">
        <v>3370</v>
      </c>
      <c r="K215" s="147" t="s">
        <v>3371</v>
      </c>
      <c r="L215" s="159"/>
      <c r="M215" s="147"/>
      <c r="N215" s="147"/>
      <c r="O215" s="159"/>
      <c r="P215" s="147"/>
      <c r="Q215" s="147"/>
      <c r="R215" s="159"/>
      <c r="S215" s="147" t="s">
        <v>3292</v>
      </c>
      <c r="T215" s="147" t="s">
        <v>3279</v>
      </c>
      <c r="U215" s="147" t="s">
        <v>3241</v>
      </c>
      <c r="V215" s="147" t="s">
        <v>3222</v>
      </c>
      <c r="W215" s="147" t="s">
        <v>3222</v>
      </c>
      <c r="X215" s="147" t="s">
        <v>1501</v>
      </c>
      <c r="Y215" s="147" t="s">
        <v>3242</v>
      </c>
      <c r="Z215" s="147" t="s">
        <v>1694</v>
      </c>
      <c r="AA215" s="147" t="s">
        <v>1786</v>
      </c>
    </row>
    <row r="216" spans="1:27" x14ac:dyDescent="0.25">
      <c r="A216" s="145" t="s">
        <v>1759</v>
      </c>
      <c r="B216" s="146" t="s">
        <v>1690</v>
      </c>
      <c r="C216" s="146">
        <v>1</v>
      </c>
      <c r="D216" s="147">
        <v>4000</v>
      </c>
      <c r="E216" s="147">
        <v>2000</v>
      </c>
      <c r="F216" s="147" t="s">
        <v>1666</v>
      </c>
      <c r="G216" s="147" t="s">
        <v>3372</v>
      </c>
      <c r="H216" s="147" t="s">
        <v>3373</v>
      </c>
      <c r="I216" s="159"/>
      <c r="J216" s="147" t="s">
        <v>3374</v>
      </c>
      <c r="K216" s="147" t="s">
        <v>3375</v>
      </c>
      <c r="L216" s="159"/>
      <c r="M216" s="147"/>
      <c r="N216" s="147"/>
      <c r="O216" s="159"/>
      <c r="P216" s="147"/>
      <c r="Q216" s="147"/>
      <c r="R216" s="159"/>
      <c r="S216" s="147" t="s">
        <v>3292</v>
      </c>
      <c r="T216" s="147" t="s">
        <v>3279</v>
      </c>
      <c r="U216" s="147" t="s">
        <v>3247</v>
      </c>
      <c r="V216" s="147" t="s">
        <v>3222</v>
      </c>
      <c r="W216" s="147" t="s">
        <v>3222</v>
      </c>
      <c r="X216" s="147" t="s">
        <v>1501</v>
      </c>
      <c r="Y216" s="147" t="s">
        <v>3248</v>
      </c>
      <c r="Z216" s="147" t="s">
        <v>1696</v>
      </c>
      <c r="AA216" s="147" t="s">
        <v>1788</v>
      </c>
    </row>
    <row r="217" spans="1:27" x14ac:dyDescent="0.25">
      <c r="A217" s="156" t="s">
        <v>1759</v>
      </c>
      <c r="B217" s="157" t="s">
        <v>1690</v>
      </c>
      <c r="C217" s="157">
        <v>1</v>
      </c>
      <c r="D217" s="153">
        <v>5000</v>
      </c>
      <c r="E217" s="153">
        <v>2000</v>
      </c>
      <c r="F217" s="153" t="s">
        <v>1666</v>
      </c>
      <c r="G217" s="153"/>
      <c r="H217" s="153"/>
      <c r="I217" s="153"/>
      <c r="J217" s="153"/>
      <c r="K217" s="153"/>
      <c r="L217" s="153"/>
      <c r="M217" s="153"/>
      <c r="N217" s="153"/>
      <c r="O217" s="153"/>
      <c r="P217" s="153"/>
      <c r="Q217" s="153"/>
      <c r="R217" s="153"/>
      <c r="S217" s="153"/>
      <c r="T217" s="153"/>
      <c r="U217" s="153"/>
      <c r="V217" s="153"/>
      <c r="W217" s="153"/>
      <c r="X217" s="153"/>
      <c r="Y217" s="153"/>
      <c r="Z217" s="153" t="str">
        <f>"RP-"&amp;Grackle_LED_Map[[#This Row],[Lamp Type]]&amp;"-"&amp;Grackle_LED_Map[[#This Row],[Lamp Length]]&amp;"FT-"&amp;Grackle_LED_Map[[#This Row],[number of led lamps in kit]]&amp;"L-8"&amp;LEFT(Grackle_LED_Map[[#This Row],[CCT]],2)&amp;"-E1-"&amp;Grackle_LED_Map[[#This Row],[Case]]&amp;"-G2"</f>
        <v>RP-G24Q-P+V2HFT-1L-850-E1-KN-G2</v>
      </c>
      <c r="AA217" s="153" t="str">
        <f>"RP-"&amp;Grackle_LED_Map[[#This Row],[Lamp Type]]&amp;"-"&amp;Grackle_LED_Map[[#This Row],[Lamp Length]]&amp;"FT-"&amp;Grackle_LED_Map[[#This Row],[number of led lamps in kit]]&amp;"L-8"&amp;LEFT(Grackle_LED_Map[[#This Row],[CCT]],2)&amp;"-3W-"&amp;Grackle_LED_Map[[#This Row],[Case]]&amp;"-G2"</f>
        <v>RP-G24Q-P+V2HFT-1L-850-3W-KN-G2</v>
      </c>
    </row>
    <row r="218" spans="1:27" x14ac:dyDescent="0.25">
      <c r="A218" s="145" t="s">
        <v>1759</v>
      </c>
      <c r="B218" s="146" t="s">
        <v>1683</v>
      </c>
      <c r="C218" s="146">
        <v>1</v>
      </c>
      <c r="D218" s="147">
        <v>3000</v>
      </c>
      <c r="E218" s="147">
        <v>2700</v>
      </c>
      <c r="F218" s="147" t="s">
        <v>1666</v>
      </c>
      <c r="G218" s="147" t="s">
        <v>3376</v>
      </c>
      <c r="H218" s="147" t="s">
        <v>3377</v>
      </c>
      <c r="I218" s="159"/>
      <c r="J218" s="147" t="s">
        <v>3378</v>
      </c>
      <c r="K218" s="147" t="s">
        <v>3379</v>
      </c>
      <c r="L218" s="159"/>
      <c r="M218" s="147" t="s">
        <v>2125</v>
      </c>
      <c r="N218" s="147" t="s">
        <v>2125</v>
      </c>
      <c r="O218" s="159"/>
      <c r="P218" s="147"/>
      <c r="Q218" s="147"/>
      <c r="R218" s="159"/>
      <c r="S218" s="147" t="s">
        <v>3292</v>
      </c>
      <c r="T218" s="147" t="s">
        <v>3279</v>
      </c>
      <c r="U218" s="147" t="s">
        <v>3235</v>
      </c>
      <c r="V218" s="147"/>
      <c r="W218" s="147"/>
      <c r="X218" s="147" t="s">
        <v>1501</v>
      </c>
      <c r="Y218" s="147" t="s">
        <v>3236</v>
      </c>
      <c r="Z218" s="147" t="s">
        <v>1685</v>
      </c>
      <c r="AA218" s="147" t="s">
        <v>1778</v>
      </c>
    </row>
    <row r="219" spans="1:27" x14ac:dyDescent="0.25">
      <c r="A219" s="145" t="s">
        <v>1759</v>
      </c>
      <c r="B219" s="146" t="s">
        <v>1683</v>
      </c>
      <c r="C219" s="146">
        <v>1</v>
      </c>
      <c r="D219" s="147">
        <v>3500</v>
      </c>
      <c r="E219" s="147">
        <v>2700</v>
      </c>
      <c r="F219" s="147" t="s">
        <v>1666</v>
      </c>
      <c r="G219" s="147" t="s">
        <v>3380</v>
      </c>
      <c r="H219" s="147" t="s">
        <v>3381</v>
      </c>
      <c r="I219" s="159"/>
      <c r="J219" s="147" t="s">
        <v>3382</v>
      </c>
      <c r="K219" s="147" t="s">
        <v>3383</v>
      </c>
      <c r="L219" s="159"/>
      <c r="M219" s="147" t="s">
        <v>2125</v>
      </c>
      <c r="N219" s="147" t="s">
        <v>2125</v>
      </c>
      <c r="O219" s="159"/>
      <c r="P219" s="147"/>
      <c r="Q219" s="147"/>
      <c r="R219" s="159"/>
      <c r="S219" s="147" t="s">
        <v>3292</v>
      </c>
      <c r="T219" s="147" t="s">
        <v>3279</v>
      </c>
      <c r="U219" s="147" t="s">
        <v>3241</v>
      </c>
      <c r="V219" s="147"/>
      <c r="W219" s="147"/>
      <c r="X219" s="147" t="s">
        <v>1501</v>
      </c>
      <c r="Y219" s="147" t="s">
        <v>3242</v>
      </c>
      <c r="Z219" s="147" t="s">
        <v>1687</v>
      </c>
      <c r="AA219" s="147" t="s">
        <v>1780</v>
      </c>
    </row>
    <row r="220" spans="1:27" x14ac:dyDescent="0.25">
      <c r="A220" s="145" t="s">
        <v>1759</v>
      </c>
      <c r="B220" s="146" t="s">
        <v>1683</v>
      </c>
      <c r="C220" s="146">
        <v>1</v>
      </c>
      <c r="D220" s="147">
        <v>4000</v>
      </c>
      <c r="E220" s="147">
        <v>2700</v>
      </c>
      <c r="F220" s="147" t="s">
        <v>1666</v>
      </c>
      <c r="G220" s="147" t="s">
        <v>3384</v>
      </c>
      <c r="H220" s="147" t="s">
        <v>3385</v>
      </c>
      <c r="I220" s="159"/>
      <c r="J220" s="147" t="s">
        <v>3386</v>
      </c>
      <c r="K220" s="147" t="s">
        <v>3387</v>
      </c>
      <c r="L220" s="159"/>
      <c r="M220" s="147" t="s">
        <v>2125</v>
      </c>
      <c r="N220" s="147" t="s">
        <v>2125</v>
      </c>
      <c r="O220" s="159"/>
      <c r="P220" s="147"/>
      <c r="Q220" s="147"/>
      <c r="R220" s="159"/>
      <c r="S220" s="147" t="s">
        <v>3292</v>
      </c>
      <c r="T220" s="147" t="s">
        <v>3279</v>
      </c>
      <c r="U220" s="147" t="s">
        <v>3247</v>
      </c>
      <c r="V220" s="147"/>
      <c r="W220" s="147"/>
      <c r="X220" s="147" t="s">
        <v>1501</v>
      </c>
      <c r="Y220" s="147" t="s">
        <v>3248</v>
      </c>
      <c r="Z220" s="147" t="s">
        <v>1689</v>
      </c>
      <c r="AA220" s="147" t="s">
        <v>1782</v>
      </c>
    </row>
    <row r="221" spans="1:27" x14ac:dyDescent="0.25">
      <c r="A221" s="156" t="s">
        <v>1759</v>
      </c>
      <c r="B221" s="157" t="s">
        <v>1683</v>
      </c>
      <c r="C221" s="157">
        <v>1</v>
      </c>
      <c r="D221" s="153">
        <v>5000</v>
      </c>
      <c r="E221" s="153"/>
      <c r="F221" s="153" t="s">
        <v>1666</v>
      </c>
      <c r="G221" s="153"/>
      <c r="H221" s="153"/>
      <c r="I221" s="153"/>
      <c r="J221" s="153"/>
      <c r="K221" s="153"/>
      <c r="L221" s="153"/>
      <c r="M221" s="153" t="s">
        <v>2125</v>
      </c>
      <c r="N221" s="153" t="s">
        <v>2125</v>
      </c>
      <c r="O221" s="153" t="s">
        <v>2125</v>
      </c>
      <c r="P221" s="153"/>
      <c r="Q221" s="153"/>
      <c r="R221" s="153" t="s">
        <v>2125</v>
      </c>
      <c r="S221" s="153"/>
      <c r="T221" s="153" t="s">
        <v>2125</v>
      </c>
      <c r="U221" s="153"/>
      <c r="V221" s="153"/>
      <c r="W221" s="153"/>
      <c r="X221" s="153"/>
      <c r="Y221" s="153"/>
      <c r="Z221" s="153" t="str">
        <f>"RP-"&amp;Grackle_LED_Map[[#This Row],[Lamp Type]]&amp;"-"&amp;Grackle_LED_Map[[#This Row],[Lamp Length]]&amp;"FT-"&amp;Grackle_LED_Map[[#This Row],[number of led lamps in kit]]&amp;"L-8"&amp;LEFT(Grackle_LED_Map[[#This Row],[CCT]],2)&amp;"-E1-"&amp;Grackle_LED_Map[[#This Row],[Case]]&amp;"-G2"</f>
        <v>RP-G24Q-PFT-1L-850-E1-KN-G2</v>
      </c>
      <c r="AA221" s="153" t="str">
        <f>"RP-"&amp;Grackle_LED_Map[[#This Row],[Lamp Type]]&amp;"-"&amp;Grackle_LED_Map[[#This Row],[Lamp Length]]&amp;"FT-"&amp;Grackle_LED_Map[[#This Row],[number of led lamps in kit]]&amp;"L-8"&amp;LEFT(Grackle_LED_Map[[#This Row],[CCT]],2)&amp;"-3W-"&amp;Grackle_LED_Map[[#This Row],[Case]]&amp;"-G2"</f>
        <v>RP-G24Q-PFT-1L-850-3W-KN-G2</v>
      </c>
    </row>
    <row r="222" spans="1:27" x14ac:dyDescent="0.25">
      <c r="A222" s="156" t="s">
        <v>1759</v>
      </c>
      <c r="B222" s="157" t="s">
        <v>3273</v>
      </c>
      <c r="C222" s="157">
        <v>1</v>
      </c>
      <c r="D222" s="153">
        <v>3000</v>
      </c>
      <c r="E222" s="153"/>
      <c r="F222" s="153" t="s">
        <v>1666</v>
      </c>
      <c r="G222" s="153"/>
      <c r="H222" s="153"/>
      <c r="I222" s="153"/>
      <c r="J222" s="153"/>
      <c r="K222" s="153"/>
      <c r="L222" s="153"/>
      <c r="M222" s="153"/>
      <c r="N222" s="153"/>
      <c r="O222" s="153" t="s">
        <v>2125</v>
      </c>
      <c r="P222" s="153"/>
      <c r="Q222" s="153"/>
      <c r="R222" s="153" t="s">
        <v>2125</v>
      </c>
      <c r="S222" s="153"/>
      <c r="T222" s="153"/>
      <c r="U222" s="153"/>
      <c r="V222" s="153"/>
      <c r="W222" s="153"/>
      <c r="X222" s="153"/>
      <c r="Y222" s="153"/>
      <c r="Z222" s="153" t="s">
        <v>3217</v>
      </c>
      <c r="AA222" s="153" t="s">
        <v>3217</v>
      </c>
    </row>
    <row r="223" spans="1:27" x14ac:dyDescent="0.25">
      <c r="A223" s="156" t="s">
        <v>1759</v>
      </c>
      <c r="B223" s="157" t="s">
        <v>3273</v>
      </c>
      <c r="C223" s="157">
        <v>1</v>
      </c>
      <c r="D223" s="153">
        <v>3500</v>
      </c>
      <c r="E223" s="153"/>
      <c r="F223" s="153" t="s">
        <v>1666</v>
      </c>
      <c r="G223" s="153"/>
      <c r="H223" s="153"/>
      <c r="I223" s="153"/>
      <c r="J223" s="153"/>
      <c r="K223" s="153"/>
      <c r="L223" s="153"/>
      <c r="M223" s="153"/>
      <c r="N223" s="153"/>
      <c r="O223" s="153" t="s">
        <v>2125</v>
      </c>
      <c r="P223" s="153"/>
      <c r="Q223" s="153"/>
      <c r="R223" s="153" t="s">
        <v>2125</v>
      </c>
      <c r="S223" s="153"/>
      <c r="T223" s="153"/>
      <c r="U223" s="153"/>
      <c r="V223" s="153"/>
      <c r="W223" s="153"/>
      <c r="X223" s="153"/>
      <c r="Y223" s="153"/>
      <c r="Z223" s="153" t="s">
        <v>3217</v>
      </c>
      <c r="AA223" s="153" t="s">
        <v>3217</v>
      </c>
    </row>
    <row r="224" spans="1:27" x14ac:dyDescent="0.25">
      <c r="A224" s="156" t="s">
        <v>1759</v>
      </c>
      <c r="B224" s="157" t="s">
        <v>3273</v>
      </c>
      <c r="C224" s="157">
        <v>1</v>
      </c>
      <c r="D224" s="153">
        <v>4000</v>
      </c>
      <c r="E224" s="153"/>
      <c r="F224" s="153" t="s">
        <v>1666</v>
      </c>
      <c r="G224" s="153"/>
      <c r="H224" s="153"/>
      <c r="I224" s="153"/>
      <c r="J224" s="153"/>
      <c r="K224" s="153"/>
      <c r="L224" s="153"/>
      <c r="M224" s="153"/>
      <c r="N224" s="153"/>
      <c r="O224" s="153" t="s">
        <v>2125</v>
      </c>
      <c r="P224" s="153"/>
      <c r="Q224" s="153"/>
      <c r="R224" s="153" t="s">
        <v>2125</v>
      </c>
      <c r="S224" s="153"/>
      <c r="T224" s="153"/>
      <c r="U224" s="153"/>
      <c r="V224" s="153"/>
      <c r="W224" s="153"/>
      <c r="X224" s="153"/>
      <c r="Y224" s="153"/>
      <c r="Z224" s="153" t="s">
        <v>3217</v>
      </c>
      <c r="AA224" s="153" t="s">
        <v>3217</v>
      </c>
    </row>
    <row r="225" spans="1:27" x14ac:dyDescent="0.25">
      <c r="A225" s="160" t="s">
        <v>1759</v>
      </c>
      <c r="B225" s="161" t="s">
        <v>3273</v>
      </c>
      <c r="C225" s="161">
        <v>1</v>
      </c>
      <c r="D225" s="162">
        <v>5000</v>
      </c>
      <c r="E225" s="162"/>
      <c r="F225" s="162" t="s">
        <v>1666</v>
      </c>
      <c r="G225" s="162"/>
      <c r="H225" s="162"/>
      <c r="I225" s="162"/>
      <c r="J225" s="162"/>
      <c r="K225" s="162"/>
      <c r="L225" s="162"/>
      <c r="M225" s="162"/>
      <c r="N225" s="162"/>
      <c r="O225" s="162" t="s">
        <v>2125</v>
      </c>
      <c r="P225" s="162"/>
      <c r="Q225" s="162"/>
      <c r="R225" s="162" t="s">
        <v>2125</v>
      </c>
      <c r="S225" s="162"/>
      <c r="T225" s="162"/>
      <c r="U225" s="162"/>
      <c r="V225" s="162"/>
      <c r="W225" s="162"/>
      <c r="X225" s="162"/>
      <c r="Y225" s="162"/>
      <c r="Z225" s="162" t="str">
        <f>"RP-"&amp;Grackle_LED_Map[[#This Row],[Lamp Type]]&amp;"-"&amp;Grackle_LED_Map[[#This Row],[Lamp Length]]&amp;"FT-"&amp;Grackle_LED_Map[[#This Row],[number of led lamps in kit]]&amp;"L-8"&amp;LEFT(Grackle_LED_Map[[#This Row],[CCT]],2)&amp;"-E1-"&amp;Grackle_LED_Map[[#This Row],[Case]]&amp;"-G2"</f>
        <v>RP-G24Q-P WITH EXTENDERFT-1L-850-E1-KN-G2</v>
      </c>
      <c r="AA225" s="162" t="str">
        <f>"RP-"&amp;Grackle_LED_Map[[#This Row],[Lamp Type]]&amp;"-"&amp;Grackle_LED_Map[[#This Row],[Lamp Length]]&amp;"FT-"&amp;Grackle_LED_Map[[#This Row],[number of led lamps in kit]]&amp;"L-8"&amp;LEFT(Grackle_LED_Map[[#This Row],[CCT]],2)&amp;"-3W-"&amp;Grackle_LED_Map[[#This Row],[Case]]&amp;"-G2"</f>
        <v>RP-G24Q-P WITH EXTENDERFT-1L-850-3W-KN-G2</v>
      </c>
    </row>
    <row r="231" spans="1:27" x14ac:dyDescent="0.25">
      <c r="H231" s="1">
        <f>COUNTA(Grackle_LED_Map[[Case EcoSystem Kits SKU]:[Single 3W kits with BMF]])</f>
        <v>960</v>
      </c>
    </row>
  </sheetData>
  <mergeCells count="6">
    <mergeCell ref="S4:T4"/>
    <mergeCell ref="K2:L2"/>
    <mergeCell ref="G4:I4"/>
    <mergeCell ref="J4:L4"/>
    <mergeCell ref="M4:O4"/>
    <mergeCell ref="P4:R4"/>
  </mergeCells>
  <hyperlinks>
    <hyperlink ref="A1" location="'monster sheet'!A1" display="go back home" xr:uid="{C411B6E7-3A73-49E4-86E7-8CBF705E845C}"/>
  </hyperlinks>
  <pageMargins left="0.7" right="0.7" top="0.75" bottom="0.75" header="0.3" footer="0.3"/>
  <pageSetup orientation="portrait" r:id="rId1"/>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FAB2E-EF37-4FC5-9BBD-23C2763C4FAF}">
  <sheetPr codeName="Sheet31"/>
  <dimension ref="A1:P1003"/>
  <sheetViews>
    <sheetView topLeftCell="A24" workbookViewId="0">
      <selection activeCell="B33" sqref="B33"/>
    </sheetView>
  </sheetViews>
  <sheetFormatPr defaultRowHeight="15" x14ac:dyDescent="0.25"/>
  <cols>
    <col min="1" max="1" width="23.85546875" customWidth="1"/>
    <col min="2" max="2" width="75.7109375" customWidth="1"/>
    <col min="3" max="3" width="17.7109375" customWidth="1"/>
    <col min="4" max="4" width="10.42578125" bestFit="1" customWidth="1"/>
    <col min="7" max="7" width="3.42578125" customWidth="1"/>
    <col min="8" max="8" width="14.42578125" customWidth="1"/>
    <col min="9" max="9" width="2.5703125" customWidth="1"/>
    <col min="10" max="10" width="10" customWidth="1"/>
    <col min="11" max="11" width="3.28515625" customWidth="1"/>
    <col min="12" max="12" width="15" customWidth="1"/>
    <col min="13" max="13" width="3" customWidth="1"/>
    <col min="14" max="14" width="20.42578125" bestFit="1" customWidth="1"/>
    <col min="16" max="16" width="19.140625" bestFit="1" customWidth="1"/>
  </cols>
  <sheetData>
    <row r="1" spans="1:16" x14ac:dyDescent="0.25">
      <c r="A1" t="s">
        <v>1465</v>
      </c>
      <c r="B1" s="2" t="s">
        <v>210</v>
      </c>
      <c r="F1" t="s">
        <v>15</v>
      </c>
      <c r="H1" t="s">
        <v>44</v>
      </c>
      <c r="J1" t="s">
        <v>45</v>
      </c>
      <c r="L1" t="s">
        <v>1466</v>
      </c>
      <c r="N1" t="s">
        <v>1467</v>
      </c>
      <c r="P1" s="3" t="s">
        <v>1468</v>
      </c>
    </row>
    <row r="2" spans="1:16" x14ac:dyDescent="0.25">
      <c r="A2" t="s">
        <v>1469</v>
      </c>
      <c r="B2" s="166" t="str" cm="1">
        <f t="array" ref="B2">IF(COUNTA(Grainger_Model_List)=Grainger_Ballast_Model,IF(ISNUMBER(Selected_Model),INDEX(Master_Reference[],Selected_Model,1),TRIM(Selected_Model)),VLOOKUP(INDEX(Grainger_Model_List,Grainger_Ballast_Model),Grainger_Ballast_Lookup[],2,FALSE))</f>
        <v>EC3DT4MWKU2</v>
      </c>
      <c r="F2" t="s">
        <v>18</v>
      </c>
      <c r="H2" t="s">
        <v>1405</v>
      </c>
      <c r="J2" s="2">
        <v>120</v>
      </c>
      <c r="L2" t="s">
        <v>1470</v>
      </c>
      <c r="N2" t="s">
        <v>1471</v>
      </c>
      <c r="P2" t="str" cm="1">
        <f t="array" ref="P2:P1003">_xlfn._xlws.SORT(Master_Reference[Model Number])</f>
        <v>2W-T418-120-2</v>
      </c>
    </row>
    <row r="3" spans="1:16" x14ac:dyDescent="0.25">
      <c r="A3" t="s">
        <v>3399</v>
      </c>
      <c r="B3" s="166" t="b">
        <f>NOT(ISNA(VLOOKUP(Ballast_Model,Master_Reference[],MATCH("Lamp Type",Master_Reference[#Headers],0),FALSE)))</f>
        <v>1</v>
      </c>
      <c r="F3" t="s">
        <v>19</v>
      </c>
      <c r="H3" t="s">
        <v>50</v>
      </c>
      <c r="J3" s="2">
        <v>277</v>
      </c>
      <c r="L3" t="s">
        <v>51</v>
      </c>
      <c r="N3" t="s">
        <v>1473</v>
      </c>
      <c r="P3" t="str">
        <v>2W-T418-120-2N</v>
      </c>
    </row>
    <row r="4" spans="1:16" x14ac:dyDescent="0.25">
      <c r="A4" t="s">
        <v>1472</v>
      </c>
      <c r="B4" s="2">
        <v>85</v>
      </c>
      <c r="F4" t="s">
        <v>20</v>
      </c>
      <c r="H4" t="s">
        <v>1474</v>
      </c>
      <c r="J4" t="s">
        <v>1474</v>
      </c>
      <c r="L4" t="s">
        <v>1474</v>
      </c>
      <c r="N4" t="s">
        <v>1475</v>
      </c>
      <c r="P4" t="str">
        <v>2W-T418-120-2-S</v>
      </c>
    </row>
    <row r="5" spans="1:16" x14ac:dyDescent="0.25">
      <c r="A5" t="s">
        <v>2124</v>
      </c>
      <c r="B5" s="2">
        <f>VLOOKUP(CFlex_Model,Lutron_CFlex_Lookup[],MATCH("Kits per Case",Lutron_CFlex_Lookup[#Headers],0),FALSE)</f>
        <v>12</v>
      </c>
      <c r="F5" t="s">
        <v>2244</v>
      </c>
      <c r="J5" t="s">
        <v>1477</v>
      </c>
      <c r="L5" t="s">
        <v>1477</v>
      </c>
      <c r="N5" t="s">
        <v>1478</v>
      </c>
      <c r="P5" t="str">
        <v>2W-T426-120-1</v>
      </c>
    </row>
    <row r="6" spans="1:16" x14ac:dyDescent="0.25">
      <c r="A6" t="s">
        <v>1846</v>
      </c>
      <c r="B6" s="2" t="str">
        <f>_xlfn.IFNA(IF(HasMultipleControl,ControlMethod,IF(VLOOKUP(Ballast_Model,Master_Reference[],MATCH("Control 3W",Master_Reference[#Headers],0),FALSE),"3-wire","EcoSystem")),"")</f>
        <v>EcoSystem</v>
      </c>
      <c r="N6" t="s">
        <v>1483</v>
      </c>
      <c r="P6" t="str">
        <v>2W-T426-120-1N</v>
      </c>
    </row>
    <row r="7" spans="1:16" x14ac:dyDescent="0.25">
      <c r="A7" t="s">
        <v>2277</v>
      </c>
      <c r="B7" s="2" t="str">
        <f>_xlfn.IFNA(SUBSTITUTE(SUBSTITUTE(SUBSTITUTE(VLOOKUP(Ballast_Model,Master_Reference[],MATCH(ControlType&amp;" C-Flex Kit Base",Master_Reference[#Headers],0),FALSE),"xx",LEFT(LampCCT,2)),"ww",CFLWattage),"m",LEFT(CFLMounting),1),"")</f>
        <v>RP-G24Q-226V-2L-835-E1-KN-G2</v>
      </c>
      <c r="N7" t="s">
        <v>1485</v>
      </c>
      <c r="P7" t="str">
        <v>2W-T426-120-1-S</v>
      </c>
    </row>
    <row r="8" spans="1:16" x14ac:dyDescent="0.25">
      <c r="A8" t="s">
        <v>2252</v>
      </c>
      <c r="B8" s="2" t="str">
        <f>_xlfn.IFNA(SUBSTITUTE(VLOOKUP(SUBSTITUTE(SUBSTITUTE(SUBSTITUTE(VLOOKUP(Ballast_Model,Master_Reference[],MATCH(ControlType&amp;" C-Flex Kit Base",Master_Reference[#Headers],0),FALSE),"xx",LEFT(LampCCT,2)),"ww",CFLWattage),"m",LEFT(CFLMounting),1),Lutron_CFlex_Lookup[],MATCH("Lutron Kit PN"&amp;IF(SensorOnBallast," with BMF",""),Lutron_CFlex_Lookup[#Headers],0),FALSE),"q",IF(PackagingOption="Individual",1,CaseQty)),"")</f>
        <v>ELDVCF-2C35-12</v>
      </c>
      <c r="N8" t="s">
        <v>1486</v>
      </c>
      <c r="P8" t="str">
        <v>2W-T426-120-1SN</v>
      </c>
    </row>
    <row r="9" spans="1:16" x14ac:dyDescent="0.25">
      <c r="A9" t="s">
        <v>2245</v>
      </c>
      <c r="B9" s="2" t="b">
        <f>_xlfn.IFNA(IF(HasSensorSupport,SensorOnBallastSelect,FALSE),"")</f>
        <v>0</v>
      </c>
      <c r="N9" t="s">
        <v>1474</v>
      </c>
      <c r="P9" t="str">
        <v>2W-T426-120-2</v>
      </c>
    </row>
    <row r="10" spans="1:16" x14ac:dyDescent="0.25">
      <c r="A10" s="93" t="s">
        <v>2304</v>
      </c>
      <c r="B10" s="2" t="str">
        <f>_xlfn.IFNA(IF(HasMultipleControl,G_ControlMethod,IF(VLOOKUP(G_Ballast_Model,Master_Reference[],MATCH("Control 3W",Master_Reference[#Headers],0),FALSE),"3-wire","EcoSystem")),"")</f>
        <v>3-Wire</v>
      </c>
      <c r="P10" t="str">
        <v>2W-T426-120-2N</v>
      </c>
    </row>
    <row r="11" spans="1:16" x14ac:dyDescent="0.25">
      <c r="A11" s="93" t="s">
        <v>2303</v>
      </c>
      <c r="B11" s="2" t="str">
        <f>_xlfn.IFNA(SUBSTITUTE(VLOOKUP(SUBSTITUTE(SUBSTITUTE(SUBSTITUTE(VLOOKUP(G_Ballast_Model,Master_Reference[],MATCH(G_ControlType&amp;" C-Flex Kit Base",Master_Reference[#Headers],0),FALSE),"xx",LEFT(G_LampCCT,2)),"ww",G_CFLWattage),"m",LEFT(G_CFLMounting),1),Lutron_CFlex_Lookup[],MATCH("Lutron Kit PN"&amp;IF(G_SensorOnBallast," with BMF",""),Lutron_CFlex_Lookup[#Headers],0),FALSE),"q",IF(G_PackagingOption="Individual",1,CaseQty)),"")</f>
        <v>3LDPCA-1C35-12</v>
      </c>
      <c r="P11" t="str">
        <v>2W-T426-120-2-S</v>
      </c>
    </row>
    <row r="12" spans="1:16" x14ac:dyDescent="0.25">
      <c r="A12" s="93" t="s">
        <v>2302</v>
      </c>
      <c r="B12" s="2" t="b">
        <f>_xlfn.IFNA(IF(HasSensorSupport,G_SensorOnBallastSelect,FALSE),"")</f>
        <v>0</v>
      </c>
      <c r="P12" t="str">
        <v>2W-T426-120-2SN</v>
      </c>
    </row>
    <row r="13" spans="1:16" x14ac:dyDescent="0.25">
      <c r="A13" s="3" t="s">
        <v>1476</v>
      </c>
      <c r="P13" t="str">
        <v>2W-T432-120-1</v>
      </c>
    </row>
    <row r="14" spans="1:16" x14ac:dyDescent="0.25">
      <c r="A14" t="s">
        <v>1479</v>
      </c>
      <c r="B14" t="s">
        <v>1480</v>
      </c>
      <c r="C14" t="s">
        <v>1481</v>
      </c>
      <c r="D14" t="s">
        <v>1482</v>
      </c>
      <c r="P14" t="str">
        <v>2W-T432-120-1N</v>
      </c>
    </row>
    <row r="15" spans="1:16" ht="30" x14ac:dyDescent="0.25">
      <c r="A15" t="s">
        <v>1484</v>
      </c>
      <c r="B15" s="10" t="s">
        <v>2253</v>
      </c>
      <c r="C15" s="10" t="b">
        <f>_xlfn.IFNA(NOT(OR(_xlfn.XLOOKUP(Ballast_Model,Master_Reference[Model Number],Master_Reference[[C-Flex Eco Kit]:[Lutron 3W Kit]]))),TRUE)</f>
        <v>0</v>
      </c>
      <c r="P15" t="str">
        <v>2W-T432-120-1-S</v>
      </c>
    </row>
    <row r="16" spans="1:16" ht="45" x14ac:dyDescent="0.25">
      <c r="A16" t="str">
        <f>Master_Reference[[#Headers],[Sensor Support]]</f>
        <v>Sensor Support</v>
      </c>
      <c r="B16" s="10" t="s">
        <v>3400</v>
      </c>
      <c r="C16" s="10" t="b">
        <f>AND(NOT(NoMatches),IF(_xlfn.IFNA(VLOOKUP(Ballast_Model,Master_Reference[],MATCH(Table_Notes[[#This Row],[Note Type]],Master_Reference[#Headers],0),FALSE),FALSE)=TRUE,TRUE,FALSE))</f>
        <v>0</v>
      </c>
      <c r="P16" t="str">
        <v>2W-T432-120-1SN</v>
      </c>
    </row>
    <row r="17" spans="1:16" ht="60" x14ac:dyDescent="0.25">
      <c r="A17" t="str">
        <f>Master_Reference[[#Headers],[Non Standard Output]]</f>
        <v>Non Standard Output</v>
      </c>
      <c r="B17" s="10" t="s">
        <v>1487</v>
      </c>
      <c r="C17" s="10" t="b">
        <f>AND(NOT(NoMatches),IF(VLOOKUP(Ballast_Model,Master_Reference[],MATCH(Table_Notes[[#This Row],[Note Type]],Master_Reference[#Headers],0),FALSE)=TRUE,TRUE,FALSE))</f>
        <v>0</v>
      </c>
      <c r="P17" t="str">
        <v>2W-T432-120-2</v>
      </c>
    </row>
    <row r="18" spans="1:16" ht="45" x14ac:dyDescent="0.25">
      <c r="A18" t="str">
        <f>Master_Reference[[#Headers],[BAA Complaint]]</f>
        <v>BAA Complaint</v>
      </c>
      <c r="B18" s="10" t="s">
        <v>2284</v>
      </c>
      <c r="C18" s="10" t="b">
        <f>IF(VLOOKUP(Ballast_Model,Master_Reference[],MATCH(Table_Notes[[#This Row],[Note Type]],Master_Reference[#Headers],0),FALSE)=TRUE,TRUE,FALSE)</f>
        <v>0</v>
      </c>
      <c r="P18" t="str">
        <v>2W-T432-120-2N</v>
      </c>
    </row>
    <row r="19" spans="1:16" ht="45" x14ac:dyDescent="0.25">
      <c r="A19" t="str">
        <f>Master_Reference[[#Headers],[Case Size Difference]]</f>
        <v>Case Size Difference</v>
      </c>
      <c r="B19" s="10" t="s">
        <v>1488</v>
      </c>
      <c r="C19" s="10" t="b">
        <f>AND(NOT(NoMatches),IF(VLOOKUP(Ballast_Model,Master_Reference[],MATCH(Table_Notes[[#This Row],[Note Type]],Master_Reference[#Headers],0),FALSE)=TRUE,TRUE,FALSE))</f>
        <v>0</v>
      </c>
      <c r="P19" t="str">
        <v>2W-T432-120-2-S</v>
      </c>
    </row>
    <row r="20" spans="1:16" ht="60" x14ac:dyDescent="0.25">
      <c r="A20" t="s">
        <v>1489</v>
      </c>
      <c r="B20" s="10" t="s">
        <v>3389</v>
      </c>
      <c r="C20" s="10" t="b">
        <f>AND(NOT(NoMatches),IF(_xlfn.IFNA(VLOOKUP(Ballast_Model,Master_Reference[],11,FALSE)="MW",FALSE),TRUE,FALSE))</f>
        <v>1</v>
      </c>
      <c r="P20" t="str">
        <v>2W-T432-120-2SN</v>
      </c>
    </row>
    <row r="21" spans="1:16" ht="45" x14ac:dyDescent="0.25">
      <c r="A21" t="s">
        <v>1490</v>
      </c>
      <c r="B21" s="10" t="s">
        <v>3395</v>
      </c>
      <c r="C21" s="10" t="b">
        <f>AND(NOT(NoMatches),IF(_xlfn.IFNA(VLOOKUP(Ballast_Model,Master_Reference[],MATCH("Lamp Type",Master_Reference[#Headers],0),FALSE)="T4",FALSE),TRUE,FALSE))</f>
        <v>1</v>
      </c>
      <c r="P21" t="str">
        <v>2W-T817-120-2</v>
      </c>
    </row>
    <row r="22" spans="1:16" ht="30" x14ac:dyDescent="0.25">
      <c r="A22" t="s">
        <v>1491</v>
      </c>
      <c r="B22" s="10" t="s">
        <v>2278</v>
      </c>
      <c r="C22" s="10" t="b">
        <f>_xlfn.IFNA(AND(NOT(NoMatches),VLOOKUP(Ballast_Model,Master_Reference[],MATCH("Control 3W",Master_Reference[#Headers],0),FALSE),VLOOKUP(Ballast_Model,Master_Reference[],MATCH("Control Eco",Master_Reference[#Headers],0),FALSE)),FALSE)</f>
        <v>1</v>
      </c>
      <c r="P22" t="str">
        <v>2W-T825-120-1</v>
      </c>
    </row>
    <row r="23" spans="1:16" ht="30" x14ac:dyDescent="0.25">
      <c r="A23" t="s">
        <v>1492</v>
      </c>
      <c r="B23" s="10" t="s">
        <v>1493</v>
      </c>
      <c r="C23" s="10" t="b">
        <f>AND(NOT(NoMatches),IF(VLOOKUP(Ballast_Model,Master_Reference[],MATCH("Lamp Wattage",Master_Reference[#Headers],0),FALSE)=18,TRUE,FALSE))</f>
        <v>0</v>
      </c>
      <c r="P23" t="str">
        <v>2W-T825-120-2</v>
      </c>
    </row>
    <row r="24" spans="1:16" ht="45" x14ac:dyDescent="0.25">
      <c r="A24" t="s">
        <v>1494</v>
      </c>
      <c r="B24" s="10" t="s">
        <v>1495</v>
      </c>
      <c r="C24" s="10" t="b">
        <f>AND(NOT(NoMatches),VLOOKUP(Ballast_Model,Master_Reference[],MATCH("Lamp Type",Master_Reference[#Headers],0),FALSE)="T8",VLOOKUP(Ballast_Model,Master_Reference[],MATCH("Lamp Wattage",Master_Reference[#Headers],0),FALSE)=32)</f>
        <v>0</v>
      </c>
      <c r="P24" t="str">
        <v>2W-T832-120-1</v>
      </c>
    </row>
    <row r="25" spans="1:16" ht="45" x14ac:dyDescent="0.25">
      <c r="A25" t="s">
        <v>1604</v>
      </c>
      <c r="B25" s="10" t="s">
        <v>1660</v>
      </c>
      <c r="C25" s="10" t="b">
        <f>AND(NoMatches,IF(VLOOKUP(Ballast_Model,Master_Reference[],MATCH("Lamp Qty",Master_Reference[#Headers],0),FALSE)=3,TRUE,FALSE),IF(VLOOKUP(Ballast_Model,Master_Reference[],MATCH("Control 0-10",Master_Reference[#Headers],0),FALSE)=TRUE,FALSE,TRUE),LEN(VLOOKUP(Ballast_Model,Master_Reference[],MATCH("Country",Master_Reference[#Headers],0),FALSE))=0)</f>
        <v>0</v>
      </c>
      <c r="P25" t="str">
        <v>2W-T832-120-1N</v>
      </c>
    </row>
    <row r="26" spans="1:16" ht="45" x14ac:dyDescent="0.25">
      <c r="A26" t="s">
        <v>2246</v>
      </c>
      <c r="B26" s="10" t="s">
        <v>3390</v>
      </c>
      <c r="C26" s="10" t="b">
        <f>IF(AND(VLOOKUP(Ballast_Model,Master_Reference[],MATCH("Lamp Length",Master_Reference[#Headers],0),FALSE)="60""",NOT(IsInternationalBallast)),TRUE,FALSE)</f>
        <v>0</v>
      </c>
      <c r="P26" t="str">
        <v>2W-T832-120-2</v>
      </c>
    </row>
    <row r="27" spans="1:16" ht="60" x14ac:dyDescent="0.25">
      <c r="A27" t="s">
        <v>2247</v>
      </c>
      <c r="B27" s="10" t="s">
        <v>2282</v>
      </c>
      <c r="C27" s="10" t="b">
        <f>IF(VLOOKUP(Ballast_Model,Master_Reference[],MATCH("Control 2W",Master_Reference[#Headers],0),FALSE)=TRUE,TRUE,FALSE)</f>
        <v>0</v>
      </c>
      <c r="P27" t="str">
        <v>2W-T832-120-2N</v>
      </c>
    </row>
    <row r="28" spans="1:16" ht="45" x14ac:dyDescent="0.25">
      <c r="A28" t="s">
        <v>2248</v>
      </c>
      <c r="B28" s="10" t="s">
        <v>2249</v>
      </c>
      <c r="C28" s="10" t="b">
        <f>IF(VLOOKUP(Ballast_Model,Master_Reference[],MATCH("Country",Master_Reference[#Headers],0),FALSE)="",FALSE,TRUE)</f>
        <v>0</v>
      </c>
      <c r="P28" t="str">
        <v>E3T514C1201</v>
      </c>
    </row>
    <row r="29" spans="1:16" ht="45" x14ac:dyDescent="0.25">
      <c r="A29" t="s">
        <v>2250</v>
      </c>
      <c r="B29" s="10" t="s">
        <v>2251</v>
      </c>
      <c r="C29" s="10" t="b">
        <f>IF(AND(VLOOKUP(Ballast_Model,Master_Reference[],MATCH("Lamp Type",Master_Reference[#Headers],0),FALSE)="BIAX",VLOOKUP(Ballast_Model,Master_Reference[],MATCH("Lamp Length",Master_Reference[#Headers],0),FALSE)="16""",NOT(IsInternationalBallast)),TRUE,FALSE)</f>
        <v>0</v>
      </c>
      <c r="P29" t="str">
        <v>E3T514C1202</v>
      </c>
    </row>
    <row r="30" spans="1:16" ht="60" x14ac:dyDescent="0.25">
      <c r="A30" t="s">
        <v>2254</v>
      </c>
      <c r="B30" s="10" t="s">
        <v>3391</v>
      </c>
      <c r="C30" s="10" t="b">
        <f>IF(AND(VLOOKUP(Ballast_Model,Master_Reference[],MATCH("Lamp Type",Master_Reference[#Headers],0),FALSE)="T12",NOT(IsInternationalBallast)),TRUE,FALSE)</f>
        <v>0</v>
      </c>
      <c r="P30" t="str">
        <v>E3T514C2771</v>
      </c>
    </row>
    <row r="31" spans="1:16" ht="60" x14ac:dyDescent="0.25">
      <c r="A31" t="s">
        <v>2280</v>
      </c>
      <c r="B31" s="10" t="s">
        <v>3388</v>
      </c>
      <c r="C31" s="10" t="b">
        <f>IF((VLOOKUP(Ballast_Model,Master_Reference[],MATCH("Voltage",Master_Reference[#Headers],0),FALSE)=347),TRUE,FALSE)</f>
        <v>0</v>
      </c>
      <c r="P31" t="str">
        <v>E3T514C2772</v>
      </c>
    </row>
    <row r="32" spans="1:16" ht="60" x14ac:dyDescent="0.25">
      <c r="A32" t="s">
        <v>2281</v>
      </c>
      <c r="B32" s="10" t="s">
        <v>2283</v>
      </c>
      <c r="C32" s="10" t="b">
        <f>IF(VLOOKUP(Ballast_Model,Master_Reference[],MATCH("Control 0-10",Master_Reference[#Headers],0),FALSE)=TRUE,TRUE,FALSE)</f>
        <v>0</v>
      </c>
      <c r="P32" t="str">
        <v>E3T521C1201</v>
      </c>
    </row>
    <row r="33" spans="1:16" x14ac:dyDescent="0.25">
      <c r="A33" t="s">
        <v>3401</v>
      </c>
      <c r="B33" s="170" t="s">
        <v>3402</v>
      </c>
      <c r="C33" s="10" t="b">
        <f>OR(IFERROR(FIND("R",RecommendedModel),FALSE),IFERROR(FIND("P",RecommendedModel),FALSE))</f>
        <v>0</v>
      </c>
      <c r="P33" t="str">
        <v>E3T521C1202</v>
      </c>
    </row>
    <row r="34" spans="1:16" x14ac:dyDescent="0.25">
      <c r="P34" t="str">
        <v>E3T521C2771</v>
      </c>
    </row>
    <row r="35" spans="1:16" x14ac:dyDescent="0.25">
      <c r="A35" t="str" cm="1">
        <f t="array" ref="A35:A37">_xlfn._xlws.FILTER(Table_Notes[Note Text],TRUE=Table_Notes[Applies])</f>
        <v>The selected ballast is capable of controlling 26W or 32W bulbs.  Based on the installed bulbs, choose the appropriate wattage in the "CFL Wattage" drop-down to properly match the original light output.  Note that 2-lamp, 32W or 42W, Vertical kits are not available.</v>
      </c>
      <c r="P35" t="str">
        <v>E3T521C2772</v>
      </c>
    </row>
    <row r="36" spans="1:16" x14ac:dyDescent="0.25">
      <c r="A36" t="str">
        <v>The fixture where this ballast is installed may have lamps mounted vertically or horizontally.  Ensure the proper "CFL Mounting Direction" option is selected.  A mockup is suggested to confirm proper fit.</v>
      </c>
      <c r="P36" t="str">
        <v>E3T832C2772</v>
      </c>
    </row>
    <row r="37" spans="1:16" x14ac:dyDescent="0.25">
      <c r="A37" t="str">
        <v>This ballast is capable of different control types.  Choose the proper type based on the "Control Type" drop-down based on the control type being used on the job.</v>
      </c>
      <c r="P37" t="str">
        <v>EC3DT418KU1</v>
      </c>
    </row>
    <row r="38" spans="1:16" x14ac:dyDescent="0.25">
      <c r="P38" t="str">
        <v>EC3DT418KU1S</v>
      </c>
    </row>
    <row r="39" spans="1:16" x14ac:dyDescent="0.25">
      <c r="P39" t="str">
        <v>EC3DT418KU2</v>
      </c>
    </row>
    <row r="40" spans="1:16" x14ac:dyDescent="0.25">
      <c r="P40" t="str">
        <v>EC3DT418KU2S</v>
      </c>
    </row>
    <row r="41" spans="1:16" x14ac:dyDescent="0.25">
      <c r="P41" t="str">
        <v>EC3DT418KU2SN</v>
      </c>
    </row>
    <row r="42" spans="1:16" x14ac:dyDescent="0.25">
      <c r="P42" t="str">
        <v>EC3DT442KU1</v>
      </c>
    </row>
    <row r="43" spans="1:16" x14ac:dyDescent="0.25">
      <c r="P43" t="str">
        <v>EC3DT442KU1N</v>
      </c>
    </row>
    <row r="44" spans="1:16" x14ac:dyDescent="0.25">
      <c r="P44" t="str">
        <v>EC3DT442KU1S</v>
      </c>
    </row>
    <row r="45" spans="1:16" x14ac:dyDescent="0.25">
      <c r="P45" t="str">
        <v>EC3DT442KU1SC80</v>
      </c>
    </row>
    <row r="46" spans="1:16" x14ac:dyDescent="0.25">
      <c r="P46" t="str">
        <v>EC3DT442KU1SN</v>
      </c>
    </row>
    <row r="47" spans="1:16" x14ac:dyDescent="0.25">
      <c r="P47" t="str">
        <v>EC3DT442KU2</v>
      </c>
    </row>
    <row r="48" spans="1:16" x14ac:dyDescent="0.25">
      <c r="P48" t="str">
        <v>EC3DT442KU2N</v>
      </c>
    </row>
    <row r="49" spans="16:16" x14ac:dyDescent="0.25">
      <c r="P49" t="str">
        <v>EC3DT442KU2S</v>
      </c>
    </row>
    <row r="50" spans="16:16" x14ac:dyDescent="0.25">
      <c r="P50" t="str">
        <v>EC3DT442KU2SC80</v>
      </c>
    </row>
    <row r="51" spans="16:16" x14ac:dyDescent="0.25">
      <c r="P51" t="str">
        <v>EC3DT442KU2SN</v>
      </c>
    </row>
    <row r="52" spans="16:16" x14ac:dyDescent="0.25">
      <c r="P52" t="str">
        <v>EC3DT4MWKU1</v>
      </c>
    </row>
    <row r="53" spans="16:16" x14ac:dyDescent="0.25">
      <c r="P53" t="str">
        <v>EC3DT4MWKU1N</v>
      </c>
    </row>
    <row r="54" spans="16:16" x14ac:dyDescent="0.25">
      <c r="P54" t="str">
        <v>EC3DT4MWKU1S</v>
      </c>
    </row>
    <row r="55" spans="16:16" x14ac:dyDescent="0.25">
      <c r="P55" t="str">
        <v>EC3DT4MWKU1SC55</v>
      </c>
    </row>
    <row r="56" spans="16:16" x14ac:dyDescent="0.25">
      <c r="P56" t="str">
        <v>EC3DT4MWKU1SC78</v>
      </c>
    </row>
    <row r="57" spans="16:16" x14ac:dyDescent="0.25">
      <c r="P57" t="str">
        <v>EC3DT4MWKU1SC80</v>
      </c>
    </row>
    <row r="58" spans="16:16" x14ac:dyDescent="0.25">
      <c r="P58" t="str">
        <v>EC3DT4MWKU1SC85</v>
      </c>
    </row>
    <row r="59" spans="16:16" x14ac:dyDescent="0.25">
      <c r="P59" t="str">
        <v>EC3DT4MWKU1SN</v>
      </c>
    </row>
    <row r="60" spans="16:16" x14ac:dyDescent="0.25">
      <c r="P60" t="str">
        <v>EC3DT4MWKU2</v>
      </c>
    </row>
    <row r="61" spans="16:16" x14ac:dyDescent="0.25">
      <c r="P61" t="str">
        <v>EC3DT4MWKU2N</v>
      </c>
    </row>
    <row r="62" spans="16:16" x14ac:dyDescent="0.25">
      <c r="P62" t="str">
        <v>EC3DT4MWKU2S</v>
      </c>
    </row>
    <row r="63" spans="16:16" x14ac:dyDescent="0.25">
      <c r="P63" t="str">
        <v>EC3DT4MWKU2SN</v>
      </c>
    </row>
    <row r="64" spans="16:16" x14ac:dyDescent="0.25">
      <c r="P64" t="str">
        <v>EC3T536GU110</v>
      </c>
    </row>
    <row r="65" spans="16:16" x14ac:dyDescent="0.25">
      <c r="P65" t="str">
        <v>EC3T536GU210</v>
      </c>
    </row>
    <row r="66" spans="16:16" x14ac:dyDescent="0.25">
      <c r="P66" t="str">
        <v>EC3T540GU110</v>
      </c>
    </row>
    <row r="67" spans="16:16" x14ac:dyDescent="0.25">
      <c r="P67" t="str">
        <v>EC3T540GU210</v>
      </c>
    </row>
    <row r="68" spans="16:16" x14ac:dyDescent="0.25">
      <c r="P68" t="str">
        <v>EC3T540GU210N</v>
      </c>
    </row>
    <row r="69" spans="16:16" x14ac:dyDescent="0.25">
      <c r="P69" t="str">
        <v>EC3T540GU310</v>
      </c>
    </row>
    <row r="70" spans="16:16" x14ac:dyDescent="0.25">
      <c r="P70" t="str">
        <v>EC3T550GU110</v>
      </c>
    </row>
    <row r="71" spans="16:16" x14ac:dyDescent="0.25">
      <c r="P71" t="str">
        <v>EC3T550GU210</v>
      </c>
    </row>
    <row r="72" spans="16:16" x14ac:dyDescent="0.25">
      <c r="P72" t="str">
        <v>EC3T817CU110</v>
      </c>
    </row>
    <row r="73" spans="16:16" x14ac:dyDescent="0.25">
      <c r="P73" t="str">
        <v>EC3T817CU210</v>
      </c>
    </row>
    <row r="74" spans="16:16" x14ac:dyDescent="0.25">
      <c r="P74" t="str">
        <v>EC3T817GU110</v>
      </c>
    </row>
    <row r="75" spans="16:16" x14ac:dyDescent="0.25">
      <c r="P75" t="str">
        <v>EC3T817GU210</v>
      </c>
    </row>
    <row r="76" spans="16:16" x14ac:dyDescent="0.25">
      <c r="P76" t="str">
        <v>EC3T817GU210N</v>
      </c>
    </row>
    <row r="77" spans="16:16" x14ac:dyDescent="0.25">
      <c r="P77" t="str">
        <v>EC3T817GU310</v>
      </c>
    </row>
    <row r="78" spans="16:16" x14ac:dyDescent="0.25">
      <c r="P78" t="str">
        <v>EC3T825CU110</v>
      </c>
    </row>
    <row r="79" spans="16:16" x14ac:dyDescent="0.25">
      <c r="P79" t="str">
        <v>EC3T825CU210</v>
      </c>
    </row>
    <row r="80" spans="16:16" x14ac:dyDescent="0.25">
      <c r="P80" t="str">
        <v>EC3T825GU110</v>
      </c>
    </row>
    <row r="81" spans="16:16" x14ac:dyDescent="0.25">
      <c r="P81" t="str">
        <v>EC3T832CU110</v>
      </c>
    </row>
    <row r="82" spans="16:16" x14ac:dyDescent="0.25">
      <c r="P82" t="str">
        <v>EC3T832CU117</v>
      </c>
    </row>
    <row r="83" spans="16:16" x14ac:dyDescent="0.25">
      <c r="P83" t="str">
        <v>EC3T832CU210</v>
      </c>
    </row>
    <row r="84" spans="16:16" x14ac:dyDescent="0.25">
      <c r="P84" t="str">
        <v>EC3T832CU217</v>
      </c>
    </row>
    <row r="85" spans="16:16" x14ac:dyDescent="0.25">
      <c r="P85" t="str">
        <v>EC3T832GU110</v>
      </c>
    </row>
    <row r="86" spans="16:16" x14ac:dyDescent="0.25">
      <c r="P86" t="str">
        <v>EC3T832GU110N</v>
      </c>
    </row>
    <row r="87" spans="16:16" x14ac:dyDescent="0.25">
      <c r="P87" t="str">
        <v>EC3T832GU117</v>
      </c>
    </row>
    <row r="88" spans="16:16" x14ac:dyDescent="0.25">
      <c r="P88" t="str">
        <v>EC3T832GU210</v>
      </c>
    </row>
    <row r="89" spans="16:16" x14ac:dyDescent="0.25">
      <c r="P89" t="str">
        <v>EC3T832GU210N</v>
      </c>
    </row>
    <row r="90" spans="16:16" x14ac:dyDescent="0.25">
      <c r="P90" t="str">
        <v>EC3T832GU217</v>
      </c>
    </row>
    <row r="91" spans="16:16" x14ac:dyDescent="0.25">
      <c r="P91" t="str">
        <v>EC3T832GU310</v>
      </c>
    </row>
    <row r="92" spans="16:16" x14ac:dyDescent="0.25">
      <c r="P92" t="str">
        <v>EC3T832GU310N</v>
      </c>
    </row>
    <row r="93" spans="16:16" x14ac:dyDescent="0.25">
      <c r="P93" t="str">
        <v>EC3T832GU317</v>
      </c>
    </row>
    <row r="94" spans="16:16" x14ac:dyDescent="0.25">
      <c r="P94" t="str">
        <v>EC5NST528CU110R</v>
      </c>
    </row>
    <row r="95" spans="16:16" x14ac:dyDescent="0.25">
      <c r="P95" t="str">
        <v>EC5NST528CU210R</v>
      </c>
    </row>
    <row r="96" spans="16:16" x14ac:dyDescent="0.25">
      <c r="P96" t="str">
        <v>EC5NST554CU110R</v>
      </c>
    </row>
    <row r="97" spans="16:16" x14ac:dyDescent="0.25">
      <c r="P97" t="str">
        <v>EC5NST554CU210R</v>
      </c>
    </row>
    <row r="98" spans="16:16" x14ac:dyDescent="0.25">
      <c r="P98" t="str">
        <v>EC5NST832CU1C85R</v>
      </c>
    </row>
    <row r="99" spans="16:16" x14ac:dyDescent="0.25">
      <c r="P99" t="str">
        <v>EC5NST832CU2C85R</v>
      </c>
    </row>
    <row r="100" spans="16:16" x14ac:dyDescent="0.25">
      <c r="P100" t="str">
        <v>EC5T514J1201</v>
      </c>
    </row>
    <row r="101" spans="16:16" x14ac:dyDescent="0.25">
      <c r="P101" t="str">
        <v>EC5T514J1202</v>
      </c>
    </row>
    <row r="102" spans="16:16" x14ac:dyDescent="0.25">
      <c r="P102" t="str">
        <v>EC5T514J2771</v>
      </c>
    </row>
    <row r="103" spans="16:16" x14ac:dyDescent="0.25">
      <c r="P103" t="str">
        <v>EC5T514J2772</v>
      </c>
    </row>
    <row r="104" spans="16:16" x14ac:dyDescent="0.25">
      <c r="P104" t="str">
        <v>EC5T514JUNV1</v>
      </c>
    </row>
    <row r="105" spans="16:16" x14ac:dyDescent="0.25">
      <c r="P105" t="str">
        <v>EC5T514JUNV1C85</v>
      </c>
    </row>
    <row r="106" spans="16:16" x14ac:dyDescent="0.25">
      <c r="P106" t="str">
        <v>EC5T514JUNV1N</v>
      </c>
    </row>
    <row r="107" spans="16:16" x14ac:dyDescent="0.25">
      <c r="P107" t="str">
        <v>EC5T514JUNV2</v>
      </c>
    </row>
    <row r="108" spans="16:16" x14ac:dyDescent="0.25">
      <c r="P108" t="str">
        <v>EC5T514JUNV2C88</v>
      </c>
    </row>
    <row r="109" spans="16:16" x14ac:dyDescent="0.25">
      <c r="P109" t="str">
        <v>EC5T514JUNV2N</v>
      </c>
    </row>
    <row r="110" spans="16:16" x14ac:dyDescent="0.25">
      <c r="P110" t="str">
        <v>EC5T521J1201</v>
      </c>
    </row>
    <row r="111" spans="16:16" x14ac:dyDescent="0.25">
      <c r="P111" t="str">
        <v>EC5T521J1202</v>
      </c>
    </row>
    <row r="112" spans="16:16" x14ac:dyDescent="0.25">
      <c r="P112" t="str">
        <v>EC5T521J2771</v>
      </c>
    </row>
    <row r="113" spans="16:16" x14ac:dyDescent="0.25">
      <c r="P113" t="str">
        <v>EC5T521J2772</v>
      </c>
    </row>
    <row r="114" spans="16:16" x14ac:dyDescent="0.25">
      <c r="P114" t="str">
        <v>EC5T521JUNV1</v>
      </c>
    </row>
    <row r="115" spans="16:16" x14ac:dyDescent="0.25">
      <c r="P115" t="str">
        <v>EC5T521JUNV1C85</v>
      </c>
    </row>
    <row r="116" spans="16:16" x14ac:dyDescent="0.25">
      <c r="P116" t="str">
        <v>EC5T521JUNV1C88</v>
      </c>
    </row>
    <row r="117" spans="16:16" x14ac:dyDescent="0.25">
      <c r="P117" t="str">
        <v>EC5T521JUNV1N</v>
      </c>
    </row>
    <row r="118" spans="16:16" x14ac:dyDescent="0.25">
      <c r="P118" t="str">
        <v>EC5T521JUNV2</v>
      </c>
    </row>
    <row r="119" spans="16:16" x14ac:dyDescent="0.25">
      <c r="P119" t="str">
        <v>EC5T521JUNV2C85</v>
      </c>
    </row>
    <row r="120" spans="16:16" x14ac:dyDescent="0.25">
      <c r="P120" t="str">
        <v>EC5T521JUNV2C88</v>
      </c>
    </row>
    <row r="121" spans="16:16" x14ac:dyDescent="0.25">
      <c r="P121" t="str">
        <v>EC5T521JUNV2N</v>
      </c>
    </row>
    <row r="122" spans="16:16" x14ac:dyDescent="0.25">
      <c r="P122" t="str">
        <v>EC5T524J1201</v>
      </c>
    </row>
    <row r="123" spans="16:16" x14ac:dyDescent="0.25">
      <c r="P123" t="str">
        <v>EC5T524J1202</v>
      </c>
    </row>
    <row r="124" spans="16:16" x14ac:dyDescent="0.25">
      <c r="P124" t="str">
        <v>EC5T524J2771</v>
      </c>
    </row>
    <row r="125" spans="16:16" x14ac:dyDescent="0.25">
      <c r="P125" t="str">
        <v>EC5T524J2772</v>
      </c>
    </row>
    <row r="126" spans="16:16" x14ac:dyDescent="0.25">
      <c r="P126" t="str">
        <v>EC5T524J2772N</v>
      </c>
    </row>
    <row r="127" spans="16:16" x14ac:dyDescent="0.25">
      <c r="P127" t="str">
        <v>EC5T524JUNV1</v>
      </c>
    </row>
    <row r="128" spans="16:16" x14ac:dyDescent="0.25">
      <c r="P128" t="str">
        <v>EC5T524JUNV1C88</v>
      </c>
    </row>
    <row r="129" spans="16:16" x14ac:dyDescent="0.25">
      <c r="P129" t="str">
        <v>EC5T524JUNV1N</v>
      </c>
    </row>
    <row r="130" spans="16:16" x14ac:dyDescent="0.25">
      <c r="P130" t="str">
        <v>EC5T524JUNV2</v>
      </c>
    </row>
    <row r="131" spans="16:16" x14ac:dyDescent="0.25">
      <c r="P131" t="str">
        <v>EC5T524JUNV2C88</v>
      </c>
    </row>
    <row r="132" spans="16:16" x14ac:dyDescent="0.25">
      <c r="P132" t="str">
        <v>EC5T524JUNV2N</v>
      </c>
    </row>
    <row r="133" spans="16:16" x14ac:dyDescent="0.25">
      <c r="P133" t="str">
        <v>EC5T528J1201</v>
      </c>
    </row>
    <row r="134" spans="16:16" x14ac:dyDescent="0.25">
      <c r="P134" t="str">
        <v>EC5T528J1202</v>
      </c>
    </row>
    <row r="135" spans="16:16" x14ac:dyDescent="0.25">
      <c r="P135" t="str">
        <v>EC5T528J1202</v>
      </c>
    </row>
    <row r="136" spans="16:16" x14ac:dyDescent="0.25">
      <c r="P136" t="str">
        <v>EC5T528J1202N</v>
      </c>
    </row>
    <row r="137" spans="16:16" x14ac:dyDescent="0.25">
      <c r="P137" t="str">
        <v>EC5T528J2771</v>
      </c>
    </row>
    <row r="138" spans="16:16" x14ac:dyDescent="0.25">
      <c r="P138" t="str">
        <v>EC5T528J2771C85</v>
      </c>
    </row>
    <row r="139" spans="16:16" x14ac:dyDescent="0.25">
      <c r="P139" t="str">
        <v>EC5T528J2772</v>
      </c>
    </row>
    <row r="140" spans="16:16" x14ac:dyDescent="0.25">
      <c r="P140" t="str">
        <v>EC5T528JUNV1</v>
      </c>
    </row>
    <row r="141" spans="16:16" x14ac:dyDescent="0.25">
      <c r="P141" t="str">
        <v>EC5T528JUNV1C85</v>
      </c>
    </row>
    <row r="142" spans="16:16" x14ac:dyDescent="0.25">
      <c r="P142" t="str">
        <v>EC5T528JUNV1C88</v>
      </c>
    </row>
    <row r="143" spans="16:16" x14ac:dyDescent="0.25">
      <c r="P143" t="str">
        <v>EC5T528JUNV1N</v>
      </c>
    </row>
    <row r="144" spans="16:16" x14ac:dyDescent="0.25">
      <c r="P144" t="str">
        <v>EC5T528JUNV2</v>
      </c>
    </row>
    <row r="145" spans="16:16" x14ac:dyDescent="0.25">
      <c r="P145" t="str">
        <v>EC5T528JUNV2C60</v>
      </c>
    </row>
    <row r="146" spans="16:16" x14ac:dyDescent="0.25">
      <c r="P146" t="str">
        <v>EC5T528JUNV2C70</v>
      </c>
    </row>
    <row r="147" spans="16:16" x14ac:dyDescent="0.25">
      <c r="P147" t="str">
        <v>EC5T528JUNV2C83</v>
      </c>
    </row>
    <row r="148" spans="16:16" x14ac:dyDescent="0.25">
      <c r="P148" t="str">
        <v>EC5T528JUNV2C85</v>
      </c>
    </row>
    <row r="149" spans="16:16" x14ac:dyDescent="0.25">
      <c r="P149" t="str">
        <v>EC5T528JUNV2C88</v>
      </c>
    </row>
    <row r="150" spans="16:16" x14ac:dyDescent="0.25">
      <c r="P150" t="str">
        <v>EC5T528JUNV2C93</v>
      </c>
    </row>
    <row r="151" spans="16:16" x14ac:dyDescent="0.25">
      <c r="P151" t="str">
        <v>EC5T528JUNV2N</v>
      </c>
    </row>
    <row r="152" spans="16:16" x14ac:dyDescent="0.25">
      <c r="P152" t="str">
        <v>EC5T535JUNV1</v>
      </c>
    </row>
    <row r="153" spans="16:16" x14ac:dyDescent="0.25">
      <c r="P153" t="str">
        <v>EC5T535JUNV1C50</v>
      </c>
    </row>
    <row r="154" spans="16:16" x14ac:dyDescent="0.25">
      <c r="P154" t="str">
        <v>EC5T535JUNV1C70</v>
      </c>
    </row>
    <row r="155" spans="16:16" x14ac:dyDescent="0.25">
      <c r="P155" t="str">
        <v>EC5T535JUNV1C88</v>
      </c>
    </row>
    <row r="156" spans="16:16" x14ac:dyDescent="0.25">
      <c r="P156" t="str">
        <v>EC5T535JUNV1N</v>
      </c>
    </row>
    <row r="157" spans="16:16" x14ac:dyDescent="0.25">
      <c r="P157" t="str">
        <v>EC5T536JUNV1</v>
      </c>
    </row>
    <row r="158" spans="16:16" x14ac:dyDescent="0.25">
      <c r="P158" t="str">
        <v>EC5T536JUNV2</v>
      </c>
    </row>
    <row r="159" spans="16:16" x14ac:dyDescent="0.25">
      <c r="P159" t="str">
        <v>EC5T536JUNV2N</v>
      </c>
    </row>
    <row r="160" spans="16:16" x14ac:dyDescent="0.25">
      <c r="P160" t="str">
        <v>EC5T539J1201</v>
      </c>
    </row>
    <row r="161" spans="16:16" x14ac:dyDescent="0.25">
      <c r="P161" t="str">
        <v>EC5T539J1202</v>
      </c>
    </row>
    <row r="162" spans="16:16" x14ac:dyDescent="0.25">
      <c r="P162" t="str">
        <v>EC5T539J2771</v>
      </c>
    </row>
    <row r="163" spans="16:16" x14ac:dyDescent="0.25">
      <c r="P163" t="str">
        <v>EC5T539J2772</v>
      </c>
    </row>
    <row r="164" spans="16:16" x14ac:dyDescent="0.25">
      <c r="P164" t="str">
        <v>EC5T539JUNV1</v>
      </c>
    </row>
    <row r="165" spans="16:16" x14ac:dyDescent="0.25">
      <c r="P165" t="str">
        <v>EC5T539JUNV1N</v>
      </c>
    </row>
    <row r="166" spans="16:16" x14ac:dyDescent="0.25">
      <c r="P166" t="str">
        <v>EC5T539JUNV2</v>
      </c>
    </row>
    <row r="167" spans="16:16" x14ac:dyDescent="0.25">
      <c r="P167" t="str">
        <v>EC5T539JUNV2C88</v>
      </c>
    </row>
    <row r="168" spans="16:16" x14ac:dyDescent="0.25">
      <c r="P168" t="str">
        <v>EC5T539JUNV2N</v>
      </c>
    </row>
    <row r="169" spans="16:16" x14ac:dyDescent="0.25">
      <c r="P169" t="str">
        <v>EC5T540GUNV3L</v>
      </c>
    </row>
    <row r="170" spans="16:16" x14ac:dyDescent="0.25">
      <c r="P170" t="str">
        <v>EC5T540JUNV1</v>
      </c>
    </row>
    <row r="171" spans="16:16" x14ac:dyDescent="0.25">
      <c r="P171" t="str">
        <v>EC5T540JUNV1C70</v>
      </c>
    </row>
    <row r="172" spans="16:16" x14ac:dyDescent="0.25">
      <c r="P172" t="str">
        <v>EC5T540JUNV1N</v>
      </c>
    </row>
    <row r="173" spans="16:16" x14ac:dyDescent="0.25">
      <c r="P173" t="str">
        <v>EC5T540JUNV2</v>
      </c>
    </row>
    <row r="174" spans="16:16" x14ac:dyDescent="0.25">
      <c r="P174" t="str">
        <v>EC5T540JUNV2C66</v>
      </c>
    </row>
    <row r="175" spans="16:16" x14ac:dyDescent="0.25">
      <c r="P175" t="str">
        <v>EC5T540JUNV2C70</v>
      </c>
    </row>
    <row r="176" spans="16:16" x14ac:dyDescent="0.25">
      <c r="P176" t="str">
        <v>EC5T540JUNV2C75</v>
      </c>
    </row>
    <row r="177" spans="16:16" x14ac:dyDescent="0.25">
      <c r="P177" t="str">
        <v>EC5T540JUNV2N</v>
      </c>
    </row>
    <row r="178" spans="16:16" x14ac:dyDescent="0.25">
      <c r="P178" t="str">
        <v>EC5T540RWJUNV1</v>
      </c>
    </row>
    <row r="179" spans="16:16" x14ac:dyDescent="0.25">
      <c r="P179" t="str">
        <v>EC5T540RWJUNV2</v>
      </c>
    </row>
    <row r="180" spans="16:16" x14ac:dyDescent="0.25">
      <c r="P180" t="str">
        <v>EC5T550JUNV1</v>
      </c>
    </row>
    <row r="181" spans="16:16" x14ac:dyDescent="0.25">
      <c r="P181" t="str">
        <v>EC5T550JUNV2</v>
      </c>
    </row>
    <row r="182" spans="16:16" x14ac:dyDescent="0.25">
      <c r="P182" t="str">
        <v>EC5T554J1201</v>
      </c>
    </row>
    <row r="183" spans="16:16" x14ac:dyDescent="0.25">
      <c r="P183" t="str">
        <v>EC5T554J1202</v>
      </c>
    </row>
    <row r="184" spans="16:16" x14ac:dyDescent="0.25">
      <c r="P184" t="str">
        <v>EC5T554J2771</v>
      </c>
    </row>
    <row r="185" spans="16:16" x14ac:dyDescent="0.25">
      <c r="P185" t="str">
        <v>EC5T554J2772</v>
      </c>
    </row>
    <row r="186" spans="16:16" x14ac:dyDescent="0.25">
      <c r="P186" t="str">
        <v>EC5T554JUNV1</v>
      </c>
    </row>
    <row r="187" spans="16:16" x14ac:dyDescent="0.25">
      <c r="P187" t="str">
        <v>EC5T554JUNV1C50</v>
      </c>
    </row>
    <row r="188" spans="16:16" x14ac:dyDescent="0.25">
      <c r="P188" t="str">
        <v>EC5T554JUNV1C68</v>
      </c>
    </row>
    <row r="189" spans="16:16" x14ac:dyDescent="0.25">
      <c r="P189" t="str">
        <v>EC5T554JUNV1C88</v>
      </c>
    </row>
    <row r="190" spans="16:16" x14ac:dyDescent="0.25">
      <c r="P190" t="str">
        <v>EC5T554JUNV1N</v>
      </c>
    </row>
    <row r="191" spans="16:16" x14ac:dyDescent="0.25">
      <c r="P191" t="str">
        <v>EC5T554JUNV2</v>
      </c>
    </row>
    <row r="192" spans="16:16" x14ac:dyDescent="0.25">
      <c r="P192" t="str">
        <v>EC5T554JUNV2C68</v>
      </c>
    </row>
    <row r="193" spans="16:16" x14ac:dyDescent="0.25">
      <c r="P193" t="str">
        <v>EC5T554JUNV2C70</v>
      </c>
    </row>
    <row r="194" spans="16:16" x14ac:dyDescent="0.25">
      <c r="P194" t="str">
        <v>EC5T554JUNV2C80</v>
      </c>
    </row>
    <row r="195" spans="16:16" x14ac:dyDescent="0.25">
      <c r="P195" t="str">
        <v>EC5T554JUNV2C88</v>
      </c>
    </row>
    <row r="196" spans="16:16" x14ac:dyDescent="0.25">
      <c r="P196" t="str">
        <v>EC5T554JUNV2C93</v>
      </c>
    </row>
    <row r="197" spans="16:16" x14ac:dyDescent="0.25">
      <c r="P197" t="str">
        <v>EC5T554JUNV2N</v>
      </c>
    </row>
    <row r="198" spans="16:16" x14ac:dyDescent="0.25">
      <c r="P198" t="str">
        <v>EC5T555J2202</v>
      </c>
    </row>
    <row r="199" spans="16:16" x14ac:dyDescent="0.25">
      <c r="P199" t="str">
        <v>EC5T555JUNV1</v>
      </c>
    </row>
    <row r="200" spans="16:16" x14ac:dyDescent="0.25">
      <c r="P200" t="str">
        <v>EC5T555JUNV1N</v>
      </c>
    </row>
    <row r="201" spans="16:16" x14ac:dyDescent="0.25">
      <c r="P201" t="str">
        <v>EC5T555JUNV2</v>
      </c>
    </row>
    <row r="202" spans="16:16" x14ac:dyDescent="0.25">
      <c r="P202" t="str">
        <v>EC5T555JUNV2N</v>
      </c>
    </row>
    <row r="203" spans="16:16" x14ac:dyDescent="0.25">
      <c r="P203" t="str">
        <v>EC5T817J1201</v>
      </c>
    </row>
    <row r="204" spans="16:16" x14ac:dyDescent="0.25">
      <c r="P204" t="str">
        <v>EC5T817J1202</v>
      </c>
    </row>
    <row r="205" spans="16:16" x14ac:dyDescent="0.25">
      <c r="P205" t="str">
        <v>EC5T817J2771</v>
      </c>
    </row>
    <row r="206" spans="16:16" x14ac:dyDescent="0.25">
      <c r="P206" t="str">
        <v>EC5T817J2772</v>
      </c>
    </row>
    <row r="207" spans="16:16" x14ac:dyDescent="0.25">
      <c r="P207" t="str">
        <v>EC5T817JUNV1</v>
      </c>
    </row>
    <row r="208" spans="16:16" x14ac:dyDescent="0.25">
      <c r="P208" t="str">
        <v>EC5T817JUNV1C71</v>
      </c>
    </row>
    <row r="209" spans="16:16" x14ac:dyDescent="0.25">
      <c r="P209" t="str">
        <v>EC5T817JUNV1N</v>
      </c>
    </row>
    <row r="210" spans="16:16" x14ac:dyDescent="0.25">
      <c r="P210" t="str">
        <v>EC5T817JUNV2</v>
      </c>
    </row>
    <row r="211" spans="16:16" x14ac:dyDescent="0.25">
      <c r="P211" t="str">
        <v>EC5T817JUNV2C71</v>
      </c>
    </row>
    <row r="212" spans="16:16" x14ac:dyDescent="0.25">
      <c r="P212" t="str">
        <v>EC5T817JUNV2N</v>
      </c>
    </row>
    <row r="213" spans="16:16" x14ac:dyDescent="0.25">
      <c r="P213" t="str">
        <v>EC5T825J1201</v>
      </c>
    </row>
    <row r="214" spans="16:16" x14ac:dyDescent="0.25">
      <c r="P214" t="str">
        <v>EC5T825J1202</v>
      </c>
    </row>
    <row r="215" spans="16:16" x14ac:dyDescent="0.25">
      <c r="P215" t="str">
        <v>EC5T825J2771</v>
      </c>
    </row>
    <row r="216" spans="16:16" x14ac:dyDescent="0.25">
      <c r="P216" t="str">
        <v>EC5T825J2772</v>
      </c>
    </row>
    <row r="217" spans="16:16" x14ac:dyDescent="0.25">
      <c r="P217" t="str">
        <v>EC5T825JUNV1</v>
      </c>
    </row>
    <row r="218" spans="16:16" x14ac:dyDescent="0.25">
      <c r="P218" t="str">
        <v>EC5T825JUNV1C71</v>
      </c>
    </row>
    <row r="219" spans="16:16" x14ac:dyDescent="0.25">
      <c r="P219" t="str">
        <v>EC5T825JUNV1N</v>
      </c>
    </row>
    <row r="220" spans="16:16" x14ac:dyDescent="0.25">
      <c r="P220" t="str">
        <v>EC5T825JUNV2</v>
      </c>
    </row>
    <row r="221" spans="16:16" x14ac:dyDescent="0.25">
      <c r="P221" t="str">
        <v>EC5T825JUNV2C71</v>
      </c>
    </row>
    <row r="222" spans="16:16" x14ac:dyDescent="0.25">
      <c r="P222" t="str">
        <v>EC5T825JUNV2N</v>
      </c>
    </row>
    <row r="223" spans="16:16" x14ac:dyDescent="0.25">
      <c r="P223" t="str">
        <v>EC5T832G1202L</v>
      </c>
    </row>
    <row r="224" spans="16:16" x14ac:dyDescent="0.25">
      <c r="P224" t="str">
        <v>EC5T832G1203L</v>
      </c>
    </row>
    <row r="225" spans="16:16" x14ac:dyDescent="0.25">
      <c r="P225" t="str">
        <v>EC5T832G2772L</v>
      </c>
    </row>
    <row r="226" spans="16:16" x14ac:dyDescent="0.25">
      <c r="P226" t="str">
        <v>EC5T832G2772LC01</v>
      </c>
    </row>
    <row r="227" spans="16:16" x14ac:dyDescent="0.25">
      <c r="P227" t="str">
        <v>EC5T832G2772LN</v>
      </c>
    </row>
    <row r="228" spans="16:16" x14ac:dyDescent="0.25">
      <c r="P228" t="str">
        <v>EC5T832G2773L</v>
      </c>
    </row>
    <row r="229" spans="16:16" x14ac:dyDescent="0.25">
      <c r="P229" t="str">
        <v>EC5T832G2773LC01</v>
      </c>
    </row>
    <row r="230" spans="16:16" x14ac:dyDescent="0.25">
      <c r="P230" t="str">
        <v>EC5T832GUNV2</v>
      </c>
    </row>
    <row r="231" spans="16:16" x14ac:dyDescent="0.25">
      <c r="P231" t="str">
        <v>EC5T832GUNV2C64</v>
      </c>
    </row>
    <row r="232" spans="16:16" x14ac:dyDescent="0.25">
      <c r="P232" t="str">
        <v>EC5T832GUNV2C71</v>
      </c>
    </row>
    <row r="233" spans="16:16" x14ac:dyDescent="0.25">
      <c r="P233" t="str">
        <v>EC5T832GUNV2L</v>
      </c>
    </row>
    <row r="234" spans="16:16" x14ac:dyDescent="0.25">
      <c r="P234" t="str">
        <v>EC5T832GUNV2LC55</v>
      </c>
    </row>
    <row r="235" spans="16:16" x14ac:dyDescent="0.25">
      <c r="P235" t="str">
        <v>EC5T832GUNV2LC71</v>
      </c>
    </row>
    <row r="236" spans="16:16" x14ac:dyDescent="0.25">
      <c r="P236" t="str">
        <v>EC5T832GUNV2LC74</v>
      </c>
    </row>
    <row r="237" spans="16:16" x14ac:dyDescent="0.25">
      <c r="P237" t="str">
        <v>EC5T832GUNV317L</v>
      </c>
    </row>
    <row r="238" spans="16:16" x14ac:dyDescent="0.25">
      <c r="P238" t="str">
        <v>EC5T832GUNV3L</v>
      </c>
    </row>
    <row r="239" spans="16:16" x14ac:dyDescent="0.25">
      <c r="P239" t="str">
        <v>EC5T832GUNV3LC80</v>
      </c>
    </row>
    <row r="240" spans="16:16" x14ac:dyDescent="0.25">
      <c r="P240" t="str">
        <v>EC5T832GUNV3LC95</v>
      </c>
    </row>
    <row r="241" spans="16:16" x14ac:dyDescent="0.25">
      <c r="P241" t="str">
        <v>EC5T832J1201</v>
      </c>
    </row>
    <row r="242" spans="16:16" x14ac:dyDescent="0.25">
      <c r="P242" t="str">
        <v>EC5T832J1201TN</v>
      </c>
    </row>
    <row r="243" spans="16:16" x14ac:dyDescent="0.25">
      <c r="P243" t="str">
        <v>EC5T832J1202</v>
      </c>
    </row>
    <row r="244" spans="16:16" x14ac:dyDescent="0.25">
      <c r="P244" t="str">
        <v>EC5T832J1202TN</v>
      </c>
    </row>
    <row r="245" spans="16:16" x14ac:dyDescent="0.25">
      <c r="P245" t="str">
        <v>EC5T832J2771</v>
      </c>
    </row>
    <row r="246" spans="16:16" x14ac:dyDescent="0.25">
      <c r="P246" t="str">
        <v>EC5T832J2772</v>
      </c>
    </row>
    <row r="247" spans="16:16" x14ac:dyDescent="0.25">
      <c r="P247" t="str">
        <v>EC5T832J2772C01</v>
      </c>
    </row>
    <row r="248" spans="16:16" x14ac:dyDescent="0.25">
      <c r="P248" t="str">
        <v>EC5T832JUNV1</v>
      </c>
    </row>
    <row r="249" spans="16:16" x14ac:dyDescent="0.25">
      <c r="P249" t="str">
        <v>EC5T832JUNV1C52</v>
      </c>
    </row>
    <row r="250" spans="16:16" x14ac:dyDescent="0.25">
      <c r="P250" t="str">
        <v>EC5T832JUNV1C71</v>
      </c>
    </row>
    <row r="251" spans="16:16" x14ac:dyDescent="0.25">
      <c r="P251" t="str">
        <v>EC5T832JUNV1N</v>
      </c>
    </row>
    <row r="252" spans="16:16" x14ac:dyDescent="0.25">
      <c r="P252" t="str">
        <v>EC5T832JUNV2</v>
      </c>
    </row>
    <row r="253" spans="16:16" x14ac:dyDescent="0.25">
      <c r="P253" t="str">
        <v>EC5T832JUNV2C52</v>
      </c>
    </row>
    <row r="254" spans="16:16" x14ac:dyDescent="0.25">
      <c r="P254" t="str">
        <v>EC5T832JUNV2C59</v>
      </c>
    </row>
    <row r="255" spans="16:16" x14ac:dyDescent="0.25">
      <c r="P255" t="str">
        <v>EC5T832JUNV2C71</v>
      </c>
    </row>
    <row r="256" spans="16:16" x14ac:dyDescent="0.25">
      <c r="P256" t="str">
        <v>EC5T832JUNV2N</v>
      </c>
    </row>
    <row r="257" spans="16:16" x14ac:dyDescent="0.25">
      <c r="P257" t="str">
        <v>EC5T8RWGUNV3L</v>
      </c>
    </row>
    <row r="258" spans="16:16" x14ac:dyDescent="0.25">
      <c r="P258" t="str">
        <v>EC5T8RWJUNV1</v>
      </c>
    </row>
    <row r="259" spans="16:16" x14ac:dyDescent="0.25">
      <c r="P259" t="str">
        <v>EC5T8RWJUNV2</v>
      </c>
    </row>
    <row r="260" spans="16:16" x14ac:dyDescent="0.25">
      <c r="P260" t="str">
        <v>ECDT521C3472</v>
      </c>
    </row>
    <row r="261" spans="16:16" x14ac:dyDescent="0.25">
      <c r="P261" t="str">
        <v>ECDT554C3471</v>
      </c>
    </row>
    <row r="262" spans="16:16" x14ac:dyDescent="0.25">
      <c r="P262" t="str">
        <v>ECDT554C3472</v>
      </c>
    </row>
    <row r="263" spans="16:16" x14ac:dyDescent="0.25">
      <c r="P263" t="str">
        <v>ECO-T524-120-1</v>
      </c>
    </row>
    <row r="264" spans="16:16" x14ac:dyDescent="0.25">
      <c r="P264" t="str">
        <v>ECO-T524-120-2</v>
      </c>
    </row>
    <row r="265" spans="16:16" x14ac:dyDescent="0.25">
      <c r="P265" t="str">
        <v>ECO-T524-277-1</v>
      </c>
    </row>
    <row r="266" spans="16:16" x14ac:dyDescent="0.25">
      <c r="P266" t="str">
        <v>ECO-T524-277-2</v>
      </c>
    </row>
    <row r="267" spans="16:16" x14ac:dyDescent="0.25">
      <c r="P267" t="str">
        <v>ECO-T528-120-1</v>
      </c>
    </row>
    <row r="268" spans="16:16" x14ac:dyDescent="0.25">
      <c r="P268" t="str">
        <v>ECO-T528-120-1N</v>
      </c>
    </row>
    <row r="269" spans="16:16" x14ac:dyDescent="0.25">
      <c r="P269" t="str">
        <v>ECO-T528-120-2</v>
      </c>
    </row>
    <row r="270" spans="16:16" x14ac:dyDescent="0.25">
      <c r="P270" t="str">
        <v>ECO-T528-120-2N</v>
      </c>
    </row>
    <row r="271" spans="16:16" x14ac:dyDescent="0.25">
      <c r="P271" t="str">
        <v>ECO-T528-277-1</v>
      </c>
    </row>
    <row r="272" spans="16:16" x14ac:dyDescent="0.25">
      <c r="P272" t="str">
        <v>ECO-T528-277-2</v>
      </c>
    </row>
    <row r="273" spans="16:16" x14ac:dyDescent="0.25">
      <c r="P273" t="str">
        <v>ECO-T536-240-2</v>
      </c>
    </row>
    <row r="274" spans="16:16" x14ac:dyDescent="0.25">
      <c r="P274" t="str">
        <v>ECO-T539-120-1</v>
      </c>
    </row>
    <row r="275" spans="16:16" x14ac:dyDescent="0.25">
      <c r="P275" t="str">
        <v>ECO-T539-120-1N</v>
      </c>
    </row>
    <row r="276" spans="16:16" x14ac:dyDescent="0.25">
      <c r="P276" t="str">
        <v>ECO-T539-120-2</v>
      </c>
    </row>
    <row r="277" spans="16:16" x14ac:dyDescent="0.25">
      <c r="P277" t="str">
        <v>ECO-T539-120-2N</v>
      </c>
    </row>
    <row r="278" spans="16:16" x14ac:dyDescent="0.25">
      <c r="P278" t="str">
        <v>ECO-T539-120-3</v>
      </c>
    </row>
    <row r="279" spans="16:16" x14ac:dyDescent="0.25">
      <c r="P279" t="str">
        <v>ECO-T539-277-1</v>
      </c>
    </row>
    <row r="280" spans="16:16" x14ac:dyDescent="0.25">
      <c r="P280" t="str">
        <v>ECO-T539-277-2</v>
      </c>
    </row>
    <row r="281" spans="16:16" x14ac:dyDescent="0.25">
      <c r="P281" t="str">
        <v>ECO-T539-277-3</v>
      </c>
    </row>
    <row r="282" spans="16:16" x14ac:dyDescent="0.25">
      <c r="P282" t="str">
        <v>ECO-T540-120-1</v>
      </c>
    </row>
    <row r="283" spans="16:16" x14ac:dyDescent="0.25">
      <c r="P283" t="str">
        <v>ECO-T540-120-1N</v>
      </c>
    </row>
    <row r="284" spans="16:16" x14ac:dyDescent="0.25">
      <c r="P284" t="str">
        <v>ECO-T540-120-2</v>
      </c>
    </row>
    <row r="285" spans="16:16" x14ac:dyDescent="0.25">
      <c r="P285" t="str">
        <v>ECO-T540-120-2N</v>
      </c>
    </row>
    <row r="286" spans="16:16" x14ac:dyDescent="0.25">
      <c r="P286" t="str">
        <v>ECO-T540-120-3</v>
      </c>
    </row>
    <row r="287" spans="16:16" x14ac:dyDescent="0.25">
      <c r="P287" t="str">
        <v>ECO-T540-277-1</v>
      </c>
    </row>
    <row r="288" spans="16:16" x14ac:dyDescent="0.25">
      <c r="P288" t="str">
        <v>ECO-T540-277-2</v>
      </c>
    </row>
    <row r="289" spans="16:16" x14ac:dyDescent="0.25">
      <c r="P289" t="str">
        <v>ECO-T540-277-3</v>
      </c>
    </row>
    <row r="290" spans="16:16" x14ac:dyDescent="0.25">
      <c r="P290" t="str">
        <v>ECO-T550-120-1</v>
      </c>
    </row>
    <row r="291" spans="16:16" x14ac:dyDescent="0.25">
      <c r="P291" t="str">
        <v>ECO-T550-120-1N</v>
      </c>
    </row>
    <row r="292" spans="16:16" x14ac:dyDescent="0.25">
      <c r="P292" t="str">
        <v>ECO-T550-120-2</v>
      </c>
    </row>
    <row r="293" spans="16:16" x14ac:dyDescent="0.25">
      <c r="P293" t="str">
        <v>ECO-T550-120-2N</v>
      </c>
    </row>
    <row r="294" spans="16:16" x14ac:dyDescent="0.25">
      <c r="P294" t="str">
        <v>ECO-T550-277-1</v>
      </c>
    </row>
    <row r="295" spans="16:16" x14ac:dyDescent="0.25">
      <c r="P295" t="str">
        <v>ECO-T550-277-2</v>
      </c>
    </row>
    <row r="296" spans="16:16" x14ac:dyDescent="0.25">
      <c r="P296" t="str">
        <v>ECO-T554-120-1</v>
      </c>
    </row>
    <row r="297" spans="16:16" x14ac:dyDescent="0.25">
      <c r="P297" t="str">
        <v>ECO-T554-120-1N</v>
      </c>
    </row>
    <row r="298" spans="16:16" x14ac:dyDescent="0.25">
      <c r="P298" t="str">
        <v>ECO-T554-120-2</v>
      </c>
    </row>
    <row r="299" spans="16:16" x14ac:dyDescent="0.25">
      <c r="P299" t="str">
        <v>ECO-T554-120-2-C</v>
      </c>
    </row>
    <row r="300" spans="16:16" x14ac:dyDescent="0.25">
      <c r="P300" t="str">
        <v>ECO-T554-120-2N</v>
      </c>
    </row>
    <row r="301" spans="16:16" x14ac:dyDescent="0.25">
      <c r="P301" t="str">
        <v>ECO-T554-277-1</v>
      </c>
    </row>
    <row r="302" spans="16:16" x14ac:dyDescent="0.25">
      <c r="P302" t="str">
        <v>ECO-T554-277-2</v>
      </c>
    </row>
    <row r="303" spans="16:16" x14ac:dyDescent="0.25">
      <c r="P303" t="str">
        <v>ECO-T5H39-120-1</v>
      </c>
    </row>
    <row r="304" spans="16:16" x14ac:dyDescent="0.25">
      <c r="P304" t="str">
        <v>ECO-T5H39-120-1N</v>
      </c>
    </row>
    <row r="305" spans="16:16" x14ac:dyDescent="0.25">
      <c r="P305" t="str">
        <v>ECO-T5H39-120-2</v>
      </c>
    </row>
    <row r="306" spans="16:16" x14ac:dyDescent="0.25">
      <c r="P306" t="str">
        <v>ECO-T5H39-120-2N</v>
      </c>
    </row>
    <row r="307" spans="16:16" x14ac:dyDescent="0.25">
      <c r="P307" t="str">
        <v>ECO-T5H39-277-1</v>
      </c>
    </row>
    <row r="308" spans="16:16" x14ac:dyDescent="0.25">
      <c r="P308" t="str">
        <v>ECO-T5H39-277-2</v>
      </c>
    </row>
    <row r="309" spans="16:16" x14ac:dyDescent="0.25">
      <c r="P309" t="str">
        <v>ECO-T817-120-1</v>
      </c>
    </row>
    <row r="310" spans="16:16" x14ac:dyDescent="0.25">
      <c r="P310" t="str">
        <v>ECO-T817-120-1N</v>
      </c>
    </row>
    <row r="311" spans="16:16" x14ac:dyDescent="0.25">
      <c r="P311" t="str">
        <v>ECO-T817-120-2</v>
      </c>
    </row>
    <row r="312" spans="16:16" x14ac:dyDescent="0.25">
      <c r="P312" t="str">
        <v>ECO-T817-120-2N</v>
      </c>
    </row>
    <row r="313" spans="16:16" x14ac:dyDescent="0.25">
      <c r="P313" t="str">
        <v>ECO-T817-120-3</v>
      </c>
    </row>
    <row r="314" spans="16:16" x14ac:dyDescent="0.25">
      <c r="P314" t="str">
        <v>ECO-T817-277-1</v>
      </c>
    </row>
    <row r="315" spans="16:16" x14ac:dyDescent="0.25">
      <c r="P315" t="str">
        <v>ECO-T817-277-2</v>
      </c>
    </row>
    <row r="316" spans="16:16" x14ac:dyDescent="0.25">
      <c r="P316" t="str">
        <v>ECO-T817-277-3</v>
      </c>
    </row>
    <row r="317" spans="16:16" x14ac:dyDescent="0.25">
      <c r="P317" t="str">
        <v>ECO-T818-240-1</v>
      </c>
    </row>
    <row r="318" spans="16:16" x14ac:dyDescent="0.25">
      <c r="P318" t="str">
        <v>ECO-T818-240-2</v>
      </c>
    </row>
    <row r="319" spans="16:16" x14ac:dyDescent="0.25">
      <c r="P319" t="str">
        <v>ECO-T825-120-1</v>
      </c>
    </row>
    <row r="320" spans="16:16" x14ac:dyDescent="0.25">
      <c r="P320" t="str">
        <v>ECO-T825-120-1N</v>
      </c>
    </row>
    <row r="321" spans="16:16" x14ac:dyDescent="0.25">
      <c r="P321" t="str">
        <v>ECO-T825-120-2</v>
      </c>
    </row>
    <row r="322" spans="16:16" x14ac:dyDescent="0.25">
      <c r="P322" t="str">
        <v>ECO-T825-120-2N</v>
      </c>
    </row>
    <row r="323" spans="16:16" x14ac:dyDescent="0.25">
      <c r="P323" t="str">
        <v>ECO-T825-277-1</v>
      </c>
    </row>
    <row r="324" spans="16:16" x14ac:dyDescent="0.25">
      <c r="P324" t="str">
        <v>ECO-T825-277-2</v>
      </c>
    </row>
    <row r="325" spans="16:16" x14ac:dyDescent="0.25">
      <c r="P325" t="str">
        <v>ECO-T832-120-1</v>
      </c>
    </row>
    <row r="326" spans="16:16" x14ac:dyDescent="0.25">
      <c r="P326" t="str">
        <v>ECO-T832-120-1-L</v>
      </c>
    </row>
    <row r="327" spans="16:16" x14ac:dyDescent="0.25">
      <c r="P327" t="str">
        <v>ECO-T832-120-1LN</v>
      </c>
    </row>
    <row r="328" spans="16:16" x14ac:dyDescent="0.25">
      <c r="P328" t="str">
        <v>ECO-T832-120-1-T</v>
      </c>
    </row>
    <row r="329" spans="16:16" x14ac:dyDescent="0.25">
      <c r="P329" t="str">
        <v>ECO-T832-120-1TN</v>
      </c>
    </row>
    <row r="330" spans="16:16" x14ac:dyDescent="0.25">
      <c r="P330" t="str">
        <v>ECO-T832-120-2</v>
      </c>
    </row>
    <row r="331" spans="16:16" x14ac:dyDescent="0.25">
      <c r="P331" t="str">
        <v>ECO-T832-120-2-L</v>
      </c>
    </row>
    <row r="332" spans="16:16" x14ac:dyDescent="0.25">
      <c r="P332" t="str">
        <v>ECO-T832-120-2LN</v>
      </c>
    </row>
    <row r="333" spans="16:16" x14ac:dyDescent="0.25">
      <c r="P333" t="str">
        <v>ECO-T832-120-2-T</v>
      </c>
    </row>
    <row r="334" spans="16:16" x14ac:dyDescent="0.25">
      <c r="P334" t="str">
        <v>ECO-T832-120-2TN</v>
      </c>
    </row>
    <row r="335" spans="16:16" x14ac:dyDescent="0.25">
      <c r="P335" t="str">
        <v>ECO-T832-120-3</v>
      </c>
    </row>
    <row r="336" spans="16:16" x14ac:dyDescent="0.25">
      <c r="P336" t="str">
        <v>ECO-T832-120-3N</v>
      </c>
    </row>
    <row r="337" spans="16:16" x14ac:dyDescent="0.25">
      <c r="P337" t="str">
        <v>ECO-T832-240-2</v>
      </c>
    </row>
    <row r="338" spans="16:16" x14ac:dyDescent="0.25">
      <c r="P338" t="str">
        <v>ECO-T832-277-1</v>
      </c>
    </row>
    <row r="339" spans="16:16" x14ac:dyDescent="0.25">
      <c r="P339" t="str">
        <v>ECO-T832-277-1-L</v>
      </c>
    </row>
    <row r="340" spans="16:16" x14ac:dyDescent="0.25">
      <c r="P340" t="str">
        <v>ECO-T832-277-1LN</v>
      </c>
    </row>
    <row r="341" spans="16:16" x14ac:dyDescent="0.25">
      <c r="P341" t="str">
        <v>ECO-T832-277-1-T</v>
      </c>
    </row>
    <row r="342" spans="16:16" x14ac:dyDescent="0.25">
      <c r="P342" t="str">
        <v>ECO-T832-277-1TN</v>
      </c>
    </row>
    <row r="343" spans="16:16" x14ac:dyDescent="0.25">
      <c r="P343" t="str">
        <v>ECO-T832-277-2</v>
      </c>
    </row>
    <row r="344" spans="16:16" x14ac:dyDescent="0.25">
      <c r="P344" t="str">
        <v>ECO-T832-277-2-L</v>
      </c>
    </row>
    <row r="345" spans="16:16" x14ac:dyDescent="0.25">
      <c r="P345" t="str">
        <v>ECO-T832-277-2LN</v>
      </c>
    </row>
    <row r="346" spans="16:16" x14ac:dyDescent="0.25">
      <c r="P346" t="str">
        <v>ECO-T832-277-2N</v>
      </c>
    </row>
    <row r="347" spans="16:16" x14ac:dyDescent="0.25">
      <c r="P347" t="str">
        <v>ECO-T832-277-2-T</v>
      </c>
    </row>
    <row r="348" spans="16:16" x14ac:dyDescent="0.25">
      <c r="P348" t="str">
        <v>ECO-T832-277-2TN</v>
      </c>
    </row>
    <row r="349" spans="16:16" x14ac:dyDescent="0.25">
      <c r="P349" t="str">
        <v>ECO-T832-277-3</v>
      </c>
    </row>
    <row r="350" spans="16:16" x14ac:dyDescent="0.25">
      <c r="P350" t="str">
        <v>ECO-T836-240-1</v>
      </c>
    </row>
    <row r="351" spans="16:16" x14ac:dyDescent="0.25">
      <c r="P351" t="str">
        <v>ECO-T836-240-2</v>
      </c>
    </row>
    <row r="352" spans="16:16" x14ac:dyDescent="0.25">
      <c r="P352" t="str">
        <v>ECO-T858-240-1</v>
      </c>
    </row>
    <row r="353" spans="16:16" x14ac:dyDescent="0.25">
      <c r="P353" t="str">
        <v>ECO-T858-240-2</v>
      </c>
    </row>
    <row r="354" spans="16:16" x14ac:dyDescent="0.25">
      <c r="P354" t="str">
        <v>EHDT513ME110</v>
      </c>
    </row>
    <row r="355" spans="16:16" x14ac:dyDescent="0.25">
      <c r="P355" t="str">
        <v>EHDT513ME1RW-B</v>
      </c>
    </row>
    <row r="356" spans="16:16" x14ac:dyDescent="0.25">
      <c r="P356" t="str">
        <v>EHDT513ME210</v>
      </c>
    </row>
    <row r="357" spans="16:16" x14ac:dyDescent="0.25">
      <c r="P357" t="str">
        <v>EHDT513ME2RW-B</v>
      </c>
    </row>
    <row r="358" spans="16:16" x14ac:dyDescent="0.25">
      <c r="P358" t="str">
        <v>EHDT513MU2RW</v>
      </c>
    </row>
    <row r="359" spans="16:16" x14ac:dyDescent="0.25">
      <c r="P359" t="str">
        <v>EHDT514ME110</v>
      </c>
    </row>
    <row r="360" spans="16:16" x14ac:dyDescent="0.25">
      <c r="P360" t="str">
        <v>EHDT514ME110-B</v>
      </c>
    </row>
    <row r="361" spans="16:16" x14ac:dyDescent="0.25">
      <c r="P361" t="str">
        <v>EHDT514ME110-C</v>
      </c>
    </row>
    <row r="362" spans="16:16" x14ac:dyDescent="0.25">
      <c r="P362" t="str">
        <v>EHDT514ME210</v>
      </c>
    </row>
    <row r="363" spans="16:16" x14ac:dyDescent="0.25">
      <c r="P363" t="str">
        <v>EHDT514ME210-B</v>
      </c>
    </row>
    <row r="364" spans="16:16" x14ac:dyDescent="0.25">
      <c r="P364" t="str">
        <v>EHDT514ME210-C</v>
      </c>
    </row>
    <row r="365" spans="16:16" x14ac:dyDescent="0.25">
      <c r="P365" t="str">
        <v>EHDT514ME210-R</v>
      </c>
    </row>
    <row r="366" spans="16:16" x14ac:dyDescent="0.25">
      <c r="P366" t="str">
        <v>EHDT514MU110</v>
      </c>
    </row>
    <row r="367" spans="16:16" x14ac:dyDescent="0.25">
      <c r="P367" t="str">
        <v>EHDT514MU110N</v>
      </c>
    </row>
    <row r="368" spans="16:16" x14ac:dyDescent="0.25">
      <c r="P368" t="str">
        <v>EHDT514MU1C50</v>
      </c>
    </row>
    <row r="369" spans="16:16" x14ac:dyDescent="0.25">
      <c r="P369" t="str">
        <v>EHDT514MU1C70</v>
      </c>
    </row>
    <row r="370" spans="16:16" x14ac:dyDescent="0.25">
      <c r="P370" t="str">
        <v>EHDT514MU1C85</v>
      </c>
    </row>
    <row r="371" spans="16:16" x14ac:dyDescent="0.25">
      <c r="P371" t="str">
        <v>EHDT514MU210</v>
      </c>
    </row>
    <row r="372" spans="16:16" x14ac:dyDescent="0.25">
      <c r="P372" t="str">
        <v>EHDT514MU210N</v>
      </c>
    </row>
    <row r="373" spans="16:16" x14ac:dyDescent="0.25">
      <c r="P373" t="str">
        <v>EHDT514MU2C70</v>
      </c>
    </row>
    <row r="374" spans="16:16" x14ac:dyDescent="0.25">
      <c r="P374" t="str">
        <v>EHDT521ME110</v>
      </c>
    </row>
    <row r="375" spans="16:16" x14ac:dyDescent="0.25">
      <c r="P375" t="str">
        <v>EHDT521ME210</v>
      </c>
    </row>
    <row r="376" spans="16:16" x14ac:dyDescent="0.25">
      <c r="P376" t="str">
        <v>EHDT521MU110</v>
      </c>
    </row>
    <row r="377" spans="16:16" x14ac:dyDescent="0.25">
      <c r="P377" t="str">
        <v>EHDT521MU110N</v>
      </c>
    </row>
    <row r="378" spans="16:16" x14ac:dyDescent="0.25">
      <c r="P378" t="str">
        <v>EHDT521MU1C50</v>
      </c>
    </row>
    <row r="379" spans="16:16" x14ac:dyDescent="0.25">
      <c r="P379" t="str">
        <v>EHDT521MU1C70</v>
      </c>
    </row>
    <row r="380" spans="16:16" x14ac:dyDescent="0.25">
      <c r="P380" t="str">
        <v>EHDT521MU1C85</v>
      </c>
    </row>
    <row r="381" spans="16:16" x14ac:dyDescent="0.25">
      <c r="P381" t="str">
        <v>EHDT521MU1C90</v>
      </c>
    </row>
    <row r="382" spans="16:16" x14ac:dyDescent="0.25">
      <c r="P382" t="str">
        <v>EHDT521MU210</v>
      </c>
    </row>
    <row r="383" spans="16:16" x14ac:dyDescent="0.25">
      <c r="P383" t="str">
        <v>EHDT521MU210N</v>
      </c>
    </row>
    <row r="384" spans="16:16" x14ac:dyDescent="0.25">
      <c r="P384" t="str">
        <v>EHDT521MU2C85</v>
      </c>
    </row>
    <row r="385" spans="16:16" x14ac:dyDescent="0.25">
      <c r="P385" t="str">
        <v>EHDT521MU2C90</v>
      </c>
    </row>
    <row r="386" spans="16:16" x14ac:dyDescent="0.25">
      <c r="P386" t="str">
        <v>EHDT524C347210</v>
      </c>
    </row>
    <row r="387" spans="16:16" x14ac:dyDescent="0.25">
      <c r="P387" t="str">
        <v>EHDT524ME110</v>
      </c>
    </row>
    <row r="388" spans="16:16" x14ac:dyDescent="0.25">
      <c r="P388" t="str">
        <v>EHDT524ME210</v>
      </c>
    </row>
    <row r="389" spans="16:16" x14ac:dyDescent="0.25">
      <c r="P389" t="str">
        <v>EHDT524ME210-B</v>
      </c>
    </row>
    <row r="390" spans="16:16" x14ac:dyDescent="0.25">
      <c r="P390" t="str">
        <v>EHDT524MU110</v>
      </c>
    </row>
    <row r="391" spans="16:16" x14ac:dyDescent="0.25">
      <c r="P391" t="str">
        <v>EHDT524MU110N</v>
      </c>
    </row>
    <row r="392" spans="16:16" x14ac:dyDescent="0.25">
      <c r="P392" t="str">
        <v>EHDT524MU1C88</v>
      </c>
    </row>
    <row r="393" spans="16:16" x14ac:dyDescent="0.25">
      <c r="P393" t="str">
        <v>EHDT524MU210</v>
      </c>
    </row>
    <row r="394" spans="16:16" x14ac:dyDescent="0.25">
      <c r="P394" t="str">
        <v>EHDT524MU210N</v>
      </c>
    </row>
    <row r="395" spans="16:16" x14ac:dyDescent="0.25">
      <c r="P395" t="str">
        <v>EHDT525ME1RW-B</v>
      </c>
    </row>
    <row r="396" spans="16:16" x14ac:dyDescent="0.25">
      <c r="P396" t="str">
        <v>EHDT525ME2RW-B</v>
      </c>
    </row>
    <row r="397" spans="16:16" x14ac:dyDescent="0.25">
      <c r="P397" t="str">
        <v>EHDT525MU1RWN</v>
      </c>
    </row>
    <row r="398" spans="16:16" x14ac:dyDescent="0.25">
      <c r="P398" t="str">
        <v>EHDT525MU2RW</v>
      </c>
    </row>
    <row r="399" spans="16:16" x14ac:dyDescent="0.25">
      <c r="P399" t="str">
        <v>EHDT525MU2RWN</v>
      </c>
    </row>
    <row r="400" spans="16:16" x14ac:dyDescent="0.25">
      <c r="P400" t="str">
        <v>EHDT528C347110</v>
      </c>
    </row>
    <row r="401" spans="16:16" x14ac:dyDescent="0.25">
      <c r="P401" t="str">
        <v>EHDT528C347210</v>
      </c>
    </row>
    <row r="402" spans="16:16" x14ac:dyDescent="0.25">
      <c r="P402" t="str">
        <v>EHDT528CU110</v>
      </c>
    </row>
    <row r="403" spans="16:16" x14ac:dyDescent="0.25">
      <c r="P403" t="str">
        <v>EHDT528CU110-</v>
      </c>
    </row>
    <row r="404" spans="16:16" x14ac:dyDescent="0.25">
      <c r="P404" t="str">
        <v>EHDT528CU210</v>
      </c>
    </row>
    <row r="405" spans="16:16" x14ac:dyDescent="0.25">
      <c r="P405" t="str">
        <v>EHDT528CU210-</v>
      </c>
    </row>
    <row r="406" spans="16:16" x14ac:dyDescent="0.25">
      <c r="P406" t="str">
        <v>EHDT528ME110</v>
      </c>
    </row>
    <row r="407" spans="16:16" x14ac:dyDescent="0.25">
      <c r="P407" t="str">
        <v>EHDT528ME110-B</v>
      </c>
    </row>
    <row r="408" spans="16:16" x14ac:dyDescent="0.25">
      <c r="P408" t="str">
        <v>EHDT528ME110-C</v>
      </c>
    </row>
    <row r="409" spans="16:16" x14ac:dyDescent="0.25">
      <c r="P409" t="str">
        <v>EHDT528ME210</v>
      </c>
    </row>
    <row r="410" spans="16:16" x14ac:dyDescent="0.25">
      <c r="P410" t="str">
        <v>EHDT528ME210-B</v>
      </c>
    </row>
    <row r="411" spans="16:16" x14ac:dyDescent="0.25">
      <c r="P411" t="str">
        <v>EHDT528ME210-C</v>
      </c>
    </row>
    <row r="412" spans="16:16" x14ac:dyDescent="0.25">
      <c r="P412" t="str">
        <v>EHDT528ME210-R</v>
      </c>
    </row>
    <row r="413" spans="16:16" x14ac:dyDescent="0.25">
      <c r="P413" t="str">
        <v>EHDT528MU110</v>
      </c>
    </row>
    <row r="414" spans="16:16" x14ac:dyDescent="0.25">
      <c r="P414" t="str">
        <v>EHDT528MU110N</v>
      </c>
    </row>
    <row r="415" spans="16:16" x14ac:dyDescent="0.25">
      <c r="P415" t="str">
        <v>EHDT528MU1C50</v>
      </c>
    </row>
    <row r="416" spans="16:16" x14ac:dyDescent="0.25">
      <c r="P416" t="str">
        <v>EHDT528MU1C70</v>
      </c>
    </row>
    <row r="417" spans="16:16" x14ac:dyDescent="0.25">
      <c r="P417" t="str">
        <v>EHDT528MU1C71</v>
      </c>
    </row>
    <row r="418" spans="16:16" x14ac:dyDescent="0.25">
      <c r="P418" t="str">
        <v>EHDT528MU1C77</v>
      </c>
    </row>
    <row r="419" spans="16:16" x14ac:dyDescent="0.25">
      <c r="P419" t="str">
        <v>EHDT528MU1C85</v>
      </c>
    </row>
    <row r="420" spans="16:16" x14ac:dyDescent="0.25">
      <c r="P420" t="str">
        <v>EHDT528MU1C88</v>
      </c>
    </row>
    <row r="421" spans="16:16" x14ac:dyDescent="0.25">
      <c r="P421" t="str">
        <v>EHDT528MU1C90</v>
      </c>
    </row>
    <row r="422" spans="16:16" x14ac:dyDescent="0.25">
      <c r="P422" t="str">
        <v>EHDT528MU210</v>
      </c>
    </row>
    <row r="423" spans="16:16" x14ac:dyDescent="0.25">
      <c r="P423" t="str">
        <v>EHDT528MU210N</v>
      </c>
    </row>
    <row r="424" spans="16:16" x14ac:dyDescent="0.25">
      <c r="P424" t="str">
        <v>EHDT528MU2C70</v>
      </c>
    </row>
    <row r="425" spans="16:16" x14ac:dyDescent="0.25">
      <c r="P425" t="str">
        <v>EHDT528MU2C85</v>
      </c>
    </row>
    <row r="426" spans="16:16" x14ac:dyDescent="0.25">
      <c r="P426" t="str">
        <v>EHDT528MU2C88</v>
      </c>
    </row>
    <row r="427" spans="16:16" x14ac:dyDescent="0.25">
      <c r="P427" t="str">
        <v>EHDT528MU2C90</v>
      </c>
    </row>
    <row r="428" spans="16:16" x14ac:dyDescent="0.25">
      <c r="P428" t="str">
        <v>EHDT539ME110</v>
      </c>
    </row>
    <row r="429" spans="16:16" x14ac:dyDescent="0.25">
      <c r="P429" t="str">
        <v>EHDT539ME210</v>
      </c>
    </row>
    <row r="430" spans="16:16" x14ac:dyDescent="0.25">
      <c r="P430" t="str">
        <v>EHDT539MU110</v>
      </c>
    </row>
    <row r="431" spans="16:16" x14ac:dyDescent="0.25">
      <c r="P431" t="str">
        <v>EHDT539MU110N</v>
      </c>
    </row>
    <row r="432" spans="16:16" x14ac:dyDescent="0.25">
      <c r="P432" t="str">
        <v>EHDT539MU1C90</v>
      </c>
    </row>
    <row r="433" spans="16:16" x14ac:dyDescent="0.25">
      <c r="P433" t="str">
        <v>EHDT539MU210</v>
      </c>
    </row>
    <row r="434" spans="16:16" x14ac:dyDescent="0.25">
      <c r="P434" t="str">
        <v>EHDT539MU210N</v>
      </c>
    </row>
    <row r="435" spans="16:16" x14ac:dyDescent="0.25">
      <c r="P435" t="str">
        <v>EHDT539MU2C80</v>
      </c>
    </row>
    <row r="436" spans="16:16" x14ac:dyDescent="0.25">
      <c r="P436" t="str">
        <v>EHDT539MU2C90</v>
      </c>
    </row>
    <row r="437" spans="16:16" x14ac:dyDescent="0.25">
      <c r="P437" t="str">
        <v>EHDT549ME1RW-B</v>
      </c>
    </row>
    <row r="438" spans="16:16" x14ac:dyDescent="0.25">
      <c r="P438" t="str">
        <v>EHDT549MU1RW</v>
      </c>
    </row>
    <row r="439" spans="16:16" x14ac:dyDescent="0.25">
      <c r="P439" t="str">
        <v>EHDT549MU1RWN</v>
      </c>
    </row>
    <row r="440" spans="16:16" x14ac:dyDescent="0.25">
      <c r="P440" t="str">
        <v>EHDT549MU2RW</v>
      </c>
    </row>
    <row r="441" spans="16:16" x14ac:dyDescent="0.25">
      <c r="P441" t="str">
        <v>EHDT549MU2RWN</v>
      </c>
    </row>
    <row r="442" spans="16:16" x14ac:dyDescent="0.25">
      <c r="P442" t="str">
        <v>EHDT554C347110</v>
      </c>
    </row>
    <row r="443" spans="16:16" x14ac:dyDescent="0.25">
      <c r="P443" t="str">
        <v>EHDT554C347210</v>
      </c>
    </row>
    <row r="444" spans="16:16" x14ac:dyDescent="0.25">
      <c r="P444" t="str">
        <v>EHDT554CU110</v>
      </c>
    </row>
    <row r="445" spans="16:16" x14ac:dyDescent="0.25">
      <c r="P445" t="str">
        <v>EHDT554CU110-</v>
      </c>
    </row>
    <row r="446" spans="16:16" x14ac:dyDescent="0.25">
      <c r="P446" t="str">
        <v>EHDT554CU1C80</v>
      </c>
    </row>
    <row r="447" spans="16:16" x14ac:dyDescent="0.25">
      <c r="P447" t="str">
        <v>EHDT554CU1C88</v>
      </c>
    </row>
    <row r="448" spans="16:16" x14ac:dyDescent="0.25">
      <c r="P448" t="str">
        <v>EHDT554CU210</v>
      </c>
    </row>
    <row r="449" spans="16:16" x14ac:dyDescent="0.25">
      <c r="P449" t="str">
        <v>EHDT554CU210-</v>
      </c>
    </row>
    <row r="450" spans="16:16" x14ac:dyDescent="0.25">
      <c r="P450" t="str">
        <v>EHDT554ME110</v>
      </c>
    </row>
    <row r="451" spans="16:16" x14ac:dyDescent="0.25">
      <c r="P451" t="str">
        <v>EHDT554ME110-B</v>
      </c>
    </row>
    <row r="452" spans="16:16" x14ac:dyDescent="0.25">
      <c r="P452" t="str">
        <v>EHDT554ME110-R</v>
      </c>
    </row>
    <row r="453" spans="16:16" x14ac:dyDescent="0.25">
      <c r="P453" t="str">
        <v>EHDT554ME210</v>
      </c>
    </row>
    <row r="454" spans="16:16" x14ac:dyDescent="0.25">
      <c r="P454" t="str">
        <v>EHDT554ME210-B</v>
      </c>
    </row>
    <row r="455" spans="16:16" x14ac:dyDescent="0.25">
      <c r="P455" t="str">
        <v>EHDT554ME210-C</v>
      </c>
    </row>
    <row r="456" spans="16:16" x14ac:dyDescent="0.25">
      <c r="P456" t="str">
        <v>EHDT554ME210-R</v>
      </c>
    </row>
    <row r="457" spans="16:16" x14ac:dyDescent="0.25">
      <c r="P457" t="str">
        <v>EHDT554MU110</v>
      </c>
    </row>
    <row r="458" spans="16:16" x14ac:dyDescent="0.25">
      <c r="P458" t="str">
        <v>EHDT554MU110N</v>
      </c>
    </row>
    <row r="459" spans="16:16" x14ac:dyDescent="0.25">
      <c r="P459" t="str">
        <v>EHDT554MU1C70</v>
      </c>
    </row>
    <row r="460" spans="16:16" x14ac:dyDescent="0.25">
      <c r="P460" t="str">
        <v>EHDT554MU1C80</v>
      </c>
    </row>
    <row r="461" spans="16:16" x14ac:dyDescent="0.25">
      <c r="P461" t="str">
        <v>EHDT554MU1C88</v>
      </c>
    </row>
    <row r="462" spans="16:16" x14ac:dyDescent="0.25">
      <c r="P462" t="str">
        <v>EHDT554MU1C93</v>
      </c>
    </row>
    <row r="463" spans="16:16" x14ac:dyDescent="0.25">
      <c r="P463" t="str">
        <v>EHDT554MU210</v>
      </c>
    </row>
    <row r="464" spans="16:16" x14ac:dyDescent="0.25">
      <c r="P464" t="str">
        <v>EHDT554MU210N</v>
      </c>
    </row>
    <row r="465" spans="16:16" x14ac:dyDescent="0.25">
      <c r="P465" t="str">
        <v>EHDT554MU2C70</v>
      </c>
    </row>
    <row r="466" spans="16:16" x14ac:dyDescent="0.25">
      <c r="P466" t="str">
        <v>EHDT554MU2C80</v>
      </c>
    </row>
    <row r="467" spans="16:16" x14ac:dyDescent="0.25">
      <c r="P467" t="str">
        <v>EHDT554MU2C88</v>
      </c>
    </row>
    <row r="468" spans="16:16" x14ac:dyDescent="0.25">
      <c r="P468" t="str">
        <v>EHDT554MU2C93</v>
      </c>
    </row>
    <row r="469" spans="16:16" x14ac:dyDescent="0.25">
      <c r="P469" t="str">
        <v>EHDT817MU110</v>
      </c>
    </row>
    <row r="470" spans="16:16" x14ac:dyDescent="0.25">
      <c r="P470" t="str">
        <v>EHDT817MU110N</v>
      </c>
    </row>
    <row r="471" spans="16:16" x14ac:dyDescent="0.25">
      <c r="P471" t="str">
        <v>EHDT817MU1C11</v>
      </c>
    </row>
    <row r="472" spans="16:16" x14ac:dyDescent="0.25">
      <c r="P472" t="str">
        <v>EHDT817MU1C80</v>
      </c>
    </row>
    <row r="473" spans="16:16" x14ac:dyDescent="0.25">
      <c r="P473" t="str">
        <v>EHDT817MU210</v>
      </c>
    </row>
    <row r="474" spans="16:16" x14ac:dyDescent="0.25">
      <c r="P474" t="str">
        <v>EHDT817MU210N</v>
      </c>
    </row>
    <row r="475" spans="16:16" x14ac:dyDescent="0.25">
      <c r="P475" t="str">
        <v>EHDT817MU2C80</v>
      </c>
    </row>
    <row r="476" spans="16:16" x14ac:dyDescent="0.25">
      <c r="P476" t="str">
        <v>EHDT825MU110</v>
      </c>
    </row>
    <row r="477" spans="16:16" x14ac:dyDescent="0.25">
      <c r="P477" t="str">
        <v>EHDT825MU1C11</v>
      </c>
    </row>
    <row r="478" spans="16:16" x14ac:dyDescent="0.25">
      <c r="P478" t="str">
        <v>EHDT825MU1C58</v>
      </c>
    </row>
    <row r="479" spans="16:16" x14ac:dyDescent="0.25">
      <c r="P479" t="str">
        <v>EHDT825MU1C72</v>
      </c>
    </row>
    <row r="480" spans="16:16" x14ac:dyDescent="0.25">
      <c r="P480" t="str">
        <v>EHDT825MU1C78</v>
      </c>
    </row>
    <row r="481" spans="16:16" x14ac:dyDescent="0.25">
      <c r="P481" t="str">
        <v>EHDT825MU1C80</v>
      </c>
    </row>
    <row r="482" spans="16:16" x14ac:dyDescent="0.25">
      <c r="P482" t="str">
        <v>EHDT825MU1C83</v>
      </c>
    </row>
    <row r="483" spans="16:16" x14ac:dyDescent="0.25">
      <c r="P483" t="str">
        <v>EHDT825MU1C88</v>
      </c>
    </row>
    <row r="484" spans="16:16" x14ac:dyDescent="0.25">
      <c r="P484" t="str">
        <v>EHDT825MU210</v>
      </c>
    </row>
    <row r="485" spans="16:16" x14ac:dyDescent="0.25">
      <c r="P485" t="str">
        <v>EHDT825MU210N</v>
      </c>
    </row>
    <row r="486" spans="16:16" x14ac:dyDescent="0.25">
      <c r="P486" t="str">
        <v>EHDT825MU2C11</v>
      </c>
    </row>
    <row r="487" spans="16:16" x14ac:dyDescent="0.25">
      <c r="P487" t="str">
        <v>EHDT825MU2C72</v>
      </c>
    </row>
    <row r="488" spans="16:16" x14ac:dyDescent="0.25">
      <c r="P488" t="str">
        <v>EHDT825MU2C78</v>
      </c>
    </row>
    <row r="489" spans="16:16" x14ac:dyDescent="0.25">
      <c r="P489" t="str">
        <v>EHDT825MU2C80</v>
      </c>
    </row>
    <row r="490" spans="16:16" x14ac:dyDescent="0.25">
      <c r="P490" t="str">
        <v>EHDT825MU2C88</v>
      </c>
    </row>
    <row r="491" spans="16:16" x14ac:dyDescent="0.25">
      <c r="P491" t="str">
        <v>EHDT828MU1RW</v>
      </c>
    </row>
    <row r="492" spans="16:16" x14ac:dyDescent="0.25">
      <c r="P492" t="str">
        <v>EHDT828MU2RW</v>
      </c>
    </row>
    <row r="493" spans="16:16" x14ac:dyDescent="0.25">
      <c r="P493" t="str">
        <v>EHDT832C347110</v>
      </c>
    </row>
    <row r="494" spans="16:16" x14ac:dyDescent="0.25">
      <c r="P494" t="str">
        <v>EHDT832C347117</v>
      </c>
    </row>
    <row r="495" spans="16:16" x14ac:dyDescent="0.25">
      <c r="P495" t="str">
        <v>EHDT832C347210</v>
      </c>
    </row>
    <row r="496" spans="16:16" x14ac:dyDescent="0.25">
      <c r="P496" t="str">
        <v>EHDT832C347217</v>
      </c>
    </row>
    <row r="497" spans="16:16" x14ac:dyDescent="0.25">
      <c r="P497" t="str">
        <v>EHDT832C3472C88</v>
      </c>
    </row>
    <row r="498" spans="16:16" x14ac:dyDescent="0.25">
      <c r="P498" t="str">
        <v>EHDT832CU110</v>
      </c>
    </row>
    <row r="499" spans="16:16" x14ac:dyDescent="0.25">
      <c r="P499" t="str">
        <v>EHDT832CU110-</v>
      </c>
    </row>
    <row r="500" spans="16:16" x14ac:dyDescent="0.25">
      <c r="P500" t="str">
        <v>EHDT832CU117</v>
      </c>
    </row>
    <row r="501" spans="16:16" x14ac:dyDescent="0.25">
      <c r="P501" t="str">
        <v>EHDT832CU117-</v>
      </c>
    </row>
    <row r="502" spans="16:16" x14ac:dyDescent="0.25">
      <c r="P502" t="str">
        <v>EHDT832CU1C71</v>
      </c>
    </row>
    <row r="503" spans="16:16" x14ac:dyDescent="0.25">
      <c r="P503" t="str">
        <v>EHDT832CU1C83</v>
      </c>
    </row>
    <row r="504" spans="16:16" x14ac:dyDescent="0.25">
      <c r="P504" t="str">
        <v>EHDT832CU1C85</v>
      </c>
    </row>
    <row r="505" spans="16:16" x14ac:dyDescent="0.25">
      <c r="P505" t="str">
        <v>EHDT832CU1C88</v>
      </c>
    </row>
    <row r="506" spans="16:16" x14ac:dyDescent="0.25">
      <c r="P506" t="str">
        <v>EHDT832CU210</v>
      </c>
    </row>
    <row r="507" spans="16:16" x14ac:dyDescent="0.25">
      <c r="P507" t="str">
        <v>EHDT832CU210-</v>
      </c>
    </row>
    <row r="508" spans="16:16" x14ac:dyDescent="0.25">
      <c r="P508" t="str">
        <v>EHDT832CU217</v>
      </c>
    </row>
    <row r="509" spans="16:16" x14ac:dyDescent="0.25">
      <c r="P509" t="str">
        <v>EHDT832CU217-</v>
      </c>
    </row>
    <row r="510" spans="16:16" x14ac:dyDescent="0.25">
      <c r="P510" t="str">
        <v>EHDT832CU2C15</v>
      </c>
    </row>
    <row r="511" spans="16:16" x14ac:dyDescent="0.25">
      <c r="P511" t="str">
        <v>EHDT832CU2C71</v>
      </c>
    </row>
    <row r="512" spans="16:16" x14ac:dyDescent="0.25">
      <c r="P512" t="str">
        <v>EHDT832CU2C83</v>
      </c>
    </row>
    <row r="513" spans="16:16" x14ac:dyDescent="0.25">
      <c r="P513" t="str">
        <v>EHDT832CU2C85</v>
      </c>
    </row>
    <row r="514" spans="16:16" x14ac:dyDescent="0.25">
      <c r="P514" t="str">
        <v>EHDT832CU2C88</v>
      </c>
    </row>
    <row r="515" spans="16:16" x14ac:dyDescent="0.25">
      <c r="P515" t="str">
        <v>EHDT832GU310</v>
      </c>
    </row>
    <row r="516" spans="16:16" x14ac:dyDescent="0.25">
      <c r="P516" t="str">
        <v>EHDT832GU317</v>
      </c>
    </row>
    <row r="517" spans="16:16" x14ac:dyDescent="0.25">
      <c r="P517" t="str">
        <v>EHDT832GU3C71</v>
      </c>
    </row>
    <row r="518" spans="16:16" x14ac:dyDescent="0.25">
      <c r="P518" t="str">
        <v>EHDT832GU3C80</v>
      </c>
    </row>
    <row r="519" spans="16:16" x14ac:dyDescent="0.25">
      <c r="P519" t="str">
        <v>EHDT832GU3C88</v>
      </c>
    </row>
    <row r="520" spans="16:16" x14ac:dyDescent="0.25">
      <c r="P520" t="str">
        <v>EHDT832ME110-B</v>
      </c>
    </row>
    <row r="521" spans="16:16" x14ac:dyDescent="0.25">
      <c r="P521" t="str">
        <v>EHDT832ME210-B</v>
      </c>
    </row>
    <row r="522" spans="16:16" x14ac:dyDescent="0.25">
      <c r="P522" t="str">
        <v>EHDT832MU110</v>
      </c>
    </row>
    <row r="523" spans="16:16" x14ac:dyDescent="0.25">
      <c r="P523" t="str">
        <v>EHDT832MU110N</v>
      </c>
    </row>
    <row r="524" spans="16:16" x14ac:dyDescent="0.25">
      <c r="P524" t="str">
        <v>EHDT832MU117</v>
      </c>
    </row>
    <row r="525" spans="16:16" x14ac:dyDescent="0.25">
      <c r="P525" t="str">
        <v>EHDT832MU1C11</v>
      </c>
    </row>
    <row r="526" spans="16:16" x14ac:dyDescent="0.25">
      <c r="P526" t="str">
        <v>EHDT832MU1C15</v>
      </c>
    </row>
    <row r="527" spans="16:16" x14ac:dyDescent="0.25">
      <c r="P527" t="str">
        <v>EHDT832MU1C50</v>
      </c>
    </row>
    <row r="528" spans="16:16" x14ac:dyDescent="0.25">
      <c r="P528" t="str">
        <v>EHDT832MU1C58</v>
      </c>
    </row>
    <row r="529" spans="16:16" x14ac:dyDescent="0.25">
      <c r="P529" t="str">
        <v>EHDT832MU1C70</v>
      </c>
    </row>
    <row r="530" spans="16:16" x14ac:dyDescent="0.25">
      <c r="P530" t="str">
        <v>EHDT832MU1C72</v>
      </c>
    </row>
    <row r="531" spans="16:16" x14ac:dyDescent="0.25">
      <c r="P531" t="str">
        <v>EHDT832MU1C78</v>
      </c>
    </row>
    <row r="532" spans="16:16" x14ac:dyDescent="0.25">
      <c r="P532" t="str">
        <v>EHDT832MU1C80</v>
      </c>
    </row>
    <row r="533" spans="16:16" x14ac:dyDescent="0.25">
      <c r="P533" t="str">
        <v>EHDT832MU1C88</v>
      </c>
    </row>
    <row r="534" spans="16:16" x14ac:dyDescent="0.25">
      <c r="P534" t="str">
        <v>EHDT832MU210</v>
      </c>
    </row>
    <row r="535" spans="16:16" x14ac:dyDescent="0.25">
      <c r="P535" t="str">
        <v>EHDT832MU210N</v>
      </c>
    </row>
    <row r="536" spans="16:16" x14ac:dyDescent="0.25">
      <c r="P536" t="str">
        <v>EHDT832MU217</v>
      </c>
    </row>
    <row r="537" spans="16:16" x14ac:dyDescent="0.25">
      <c r="P537" t="str">
        <v>EHDT832MU217N</v>
      </c>
    </row>
    <row r="538" spans="16:16" x14ac:dyDescent="0.25">
      <c r="P538" t="str">
        <v>EHDT832MU2C11</v>
      </c>
    </row>
    <row r="539" spans="16:16" x14ac:dyDescent="0.25">
      <c r="P539" t="str">
        <v>EHDT832MU2C15</v>
      </c>
    </row>
    <row r="540" spans="16:16" x14ac:dyDescent="0.25">
      <c r="P540" t="str">
        <v>EHDT832MU2C50</v>
      </c>
    </row>
    <row r="541" spans="16:16" x14ac:dyDescent="0.25">
      <c r="P541" t="str">
        <v>EHDT832MU2C70</v>
      </c>
    </row>
    <row r="542" spans="16:16" x14ac:dyDescent="0.25">
      <c r="P542" t="str">
        <v>EHDT832MU2C71</v>
      </c>
    </row>
    <row r="543" spans="16:16" x14ac:dyDescent="0.25">
      <c r="P543" t="str">
        <v>EHDT832MU2C72</v>
      </c>
    </row>
    <row r="544" spans="16:16" x14ac:dyDescent="0.25">
      <c r="P544" t="str">
        <v>EHDT832MU2C78</v>
      </c>
    </row>
    <row r="545" spans="16:16" x14ac:dyDescent="0.25">
      <c r="P545" t="str">
        <v>EHDT832MU2C80</v>
      </c>
    </row>
    <row r="546" spans="16:16" x14ac:dyDescent="0.25">
      <c r="P546" t="str">
        <v>EHDT832MU2C83</v>
      </c>
    </row>
    <row r="547" spans="16:16" x14ac:dyDescent="0.25">
      <c r="P547" t="str">
        <v>EHDT832MU2C85</v>
      </c>
    </row>
    <row r="548" spans="16:16" x14ac:dyDescent="0.25">
      <c r="P548" t="str">
        <v>EHDT832MU2C86</v>
      </c>
    </row>
    <row r="549" spans="16:16" x14ac:dyDescent="0.25">
      <c r="P549" t="str">
        <v>EHDT832MU2C88</v>
      </c>
    </row>
    <row r="550" spans="16:16" x14ac:dyDescent="0.25">
      <c r="P550" t="str">
        <v>EHDT836ME110</v>
      </c>
    </row>
    <row r="551" spans="16:16" x14ac:dyDescent="0.25">
      <c r="P551" t="str">
        <v>FCE-0626-240-1</v>
      </c>
    </row>
    <row r="552" spans="16:16" x14ac:dyDescent="0.25">
      <c r="P552" t="str">
        <v>FCE-0626-240-2</v>
      </c>
    </row>
    <row r="553" spans="16:16" x14ac:dyDescent="0.25">
      <c r="P553" t="str">
        <v>FCE-1226-240-1</v>
      </c>
    </row>
    <row r="554" spans="16:16" x14ac:dyDescent="0.25">
      <c r="P554" t="str">
        <v>FCE-1226-240-2</v>
      </c>
    </row>
    <row r="555" spans="16:16" x14ac:dyDescent="0.25">
      <c r="P555" t="str">
        <v>FCE-1526-240-1</v>
      </c>
    </row>
    <row r="556" spans="16:16" x14ac:dyDescent="0.25">
      <c r="P556" t="str">
        <v>FCE-1526-240-2</v>
      </c>
    </row>
    <row r="557" spans="16:16" x14ac:dyDescent="0.25">
      <c r="P557" t="str">
        <v>FCE-CF18-240-1</v>
      </c>
    </row>
    <row r="558" spans="16:16" x14ac:dyDescent="0.25">
      <c r="P558" t="str">
        <v>FCE-CF18-240-2</v>
      </c>
    </row>
    <row r="559" spans="16:16" x14ac:dyDescent="0.25">
      <c r="P559" t="str">
        <v>FCE-CF26-240-1</v>
      </c>
    </row>
    <row r="560" spans="16:16" x14ac:dyDescent="0.25">
      <c r="P560" t="str">
        <v>FCE-CF26-240-2</v>
      </c>
    </row>
    <row r="561" spans="16:16" x14ac:dyDescent="0.25">
      <c r="P561" t="str">
        <v>FCE-CFL36-240-1</v>
      </c>
    </row>
    <row r="562" spans="16:16" x14ac:dyDescent="0.25">
      <c r="P562" t="str">
        <v>FCE-CFL36-240-2</v>
      </c>
    </row>
    <row r="563" spans="16:16" x14ac:dyDescent="0.25">
      <c r="P563" t="str">
        <v>FDB-0626-240-2-E</v>
      </c>
    </row>
    <row r="564" spans="16:16" x14ac:dyDescent="0.25">
      <c r="P564" t="str">
        <v>FDB-1226-240-1-E</v>
      </c>
    </row>
    <row r="565" spans="16:16" x14ac:dyDescent="0.25">
      <c r="P565" t="str">
        <v>FDB-1226-240-2-E</v>
      </c>
    </row>
    <row r="566" spans="16:16" x14ac:dyDescent="0.25">
      <c r="P566" t="str">
        <v>FDB-1526-240-1-E</v>
      </c>
    </row>
    <row r="567" spans="16:16" x14ac:dyDescent="0.25">
      <c r="P567" t="str">
        <v>FDB-1526-240-2-E</v>
      </c>
    </row>
    <row r="568" spans="16:16" x14ac:dyDescent="0.25">
      <c r="P568" t="str">
        <v>FDB-1643-120-1</v>
      </c>
    </row>
    <row r="569" spans="16:16" x14ac:dyDescent="0.25">
      <c r="P569" t="str">
        <v>FDB-1643-120-2</v>
      </c>
    </row>
    <row r="570" spans="16:16" x14ac:dyDescent="0.25">
      <c r="P570" t="str">
        <v>FDB-1643-120-3</v>
      </c>
    </row>
    <row r="571" spans="16:16" x14ac:dyDescent="0.25">
      <c r="P571" t="str">
        <v>FDB-1643-277-1</v>
      </c>
    </row>
    <row r="572" spans="16:16" x14ac:dyDescent="0.25">
      <c r="P572" t="str">
        <v>FDB-1643-277-2</v>
      </c>
    </row>
    <row r="573" spans="16:16" x14ac:dyDescent="0.25">
      <c r="P573" t="str">
        <v>FDB-1643-277-3</v>
      </c>
    </row>
    <row r="574" spans="16:16" x14ac:dyDescent="0.25">
      <c r="P574" t="str">
        <v>FDB-1826-240-1-E</v>
      </c>
    </row>
    <row r="575" spans="16:16" x14ac:dyDescent="0.25">
      <c r="P575" t="str">
        <v>FDB-2227-120-1</v>
      </c>
    </row>
    <row r="576" spans="16:16" x14ac:dyDescent="0.25">
      <c r="P576" t="str">
        <v>FDB-2227-120-2</v>
      </c>
    </row>
    <row r="577" spans="16:16" x14ac:dyDescent="0.25">
      <c r="P577" t="str">
        <v>FDB-2227-120-3</v>
      </c>
    </row>
    <row r="578" spans="16:16" x14ac:dyDescent="0.25">
      <c r="P578" t="str">
        <v>FDB-2227-277-1</v>
      </c>
    </row>
    <row r="579" spans="16:16" x14ac:dyDescent="0.25">
      <c r="P579" t="str">
        <v>FDB-2227-277-2</v>
      </c>
    </row>
    <row r="580" spans="16:16" x14ac:dyDescent="0.25">
      <c r="P580" t="str">
        <v>FDB-2227-277-3</v>
      </c>
    </row>
    <row r="581" spans="16:16" x14ac:dyDescent="0.25">
      <c r="P581" t="str">
        <v>FDB-2243-120-1</v>
      </c>
    </row>
    <row r="582" spans="16:16" x14ac:dyDescent="0.25">
      <c r="P582" t="str">
        <v>FDB-2243-120-2</v>
      </c>
    </row>
    <row r="583" spans="16:16" x14ac:dyDescent="0.25">
      <c r="P583" t="str">
        <v>FDB-2243-277-1</v>
      </c>
    </row>
    <row r="584" spans="16:16" x14ac:dyDescent="0.25">
      <c r="P584" t="str">
        <v>FDB-2243-277-2</v>
      </c>
    </row>
    <row r="585" spans="16:16" x14ac:dyDescent="0.25">
      <c r="P585" t="str">
        <v>FDB-2427-120-1</v>
      </c>
    </row>
    <row r="586" spans="16:16" x14ac:dyDescent="0.25">
      <c r="P586" t="str">
        <v>FDB-2427-120-1N</v>
      </c>
    </row>
    <row r="587" spans="16:16" x14ac:dyDescent="0.25">
      <c r="P587" t="str">
        <v>FDB-2427-120-2</v>
      </c>
    </row>
    <row r="588" spans="16:16" x14ac:dyDescent="0.25">
      <c r="P588" t="str">
        <v>FDB-2427-120-2N</v>
      </c>
    </row>
    <row r="589" spans="16:16" x14ac:dyDescent="0.25">
      <c r="P589" t="str">
        <v>FDB-2427-120-3</v>
      </c>
    </row>
    <row r="590" spans="16:16" x14ac:dyDescent="0.25">
      <c r="P590" t="str">
        <v>FDB-2427-277-1</v>
      </c>
    </row>
    <row r="591" spans="16:16" x14ac:dyDescent="0.25">
      <c r="P591" t="str">
        <v>FDB-2427-277-2</v>
      </c>
    </row>
    <row r="592" spans="16:16" x14ac:dyDescent="0.25">
      <c r="P592" t="str">
        <v>FDB-2427-277-3</v>
      </c>
    </row>
    <row r="593" spans="16:16" x14ac:dyDescent="0.25">
      <c r="P593" t="str">
        <v>FDB-3627-120-1</v>
      </c>
    </row>
    <row r="594" spans="16:16" x14ac:dyDescent="0.25">
      <c r="P594" t="str">
        <v>FDB-3627-120-1N</v>
      </c>
    </row>
    <row r="595" spans="16:16" x14ac:dyDescent="0.25">
      <c r="P595" t="str">
        <v>FDB-3627-120-2</v>
      </c>
    </row>
    <row r="596" spans="16:16" x14ac:dyDescent="0.25">
      <c r="P596" t="str">
        <v>FDB-3627-120-2N</v>
      </c>
    </row>
    <row r="597" spans="16:16" x14ac:dyDescent="0.25">
      <c r="P597" t="str">
        <v>FDB-3627-120-3</v>
      </c>
    </row>
    <row r="598" spans="16:16" x14ac:dyDescent="0.25">
      <c r="P598" t="str">
        <v>FDB-3627-277-1</v>
      </c>
    </row>
    <row r="599" spans="16:16" x14ac:dyDescent="0.25">
      <c r="P599" t="str">
        <v>FDB-3627-277-2</v>
      </c>
    </row>
    <row r="600" spans="16:16" x14ac:dyDescent="0.25">
      <c r="P600" t="str">
        <v>FDB-3627-277-3</v>
      </c>
    </row>
    <row r="601" spans="16:16" x14ac:dyDescent="0.25">
      <c r="P601" t="str">
        <v>FDB-3643-120-1</v>
      </c>
    </row>
    <row r="602" spans="16:16" x14ac:dyDescent="0.25">
      <c r="P602" t="str">
        <v>FDB-3643-120-2</v>
      </c>
    </row>
    <row r="603" spans="16:16" x14ac:dyDescent="0.25">
      <c r="P603" t="str">
        <v>FDB-3643-277-1</v>
      </c>
    </row>
    <row r="604" spans="16:16" x14ac:dyDescent="0.25">
      <c r="P604" t="str">
        <v>FDB-3643-277-2</v>
      </c>
    </row>
    <row r="605" spans="16:16" x14ac:dyDescent="0.25">
      <c r="P605" t="str">
        <v>FDB-3680-120-1</v>
      </c>
    </row>
    <row r="606" spans="16:16" x14ac:dyDescent="0.25">
      <c r="P606" t="str">
        <v>FDB-4826-100-1</v>
      </c>
    </row>
    <row r="607" spans="16:16" x14ac:dyDescent="0.25">
      <c r="P607" t="str">
        <v>FDB-4826-100-2</v>
      </c>
    </row>
    <row r="608" spans="16:16" x14ac:dyDescent="0.25">
      <c r="P608" t="str">
        <v>FDB-4826-200-1</v>
      </c>
    </row>
    <row r="609" spans="16:16" x14ac:dyDescent="0.25">
      <c r="P609" t="str">
        <v>FDB-4826-200-2</v>
      </c>
    </row>
    <row r="610" spans="16:16" x14ac:dyDescent="0.25">
      <c r="P610" t="str">
        <v>FDB-4827-120-1</v>
      </c>
    </row>
    <row r="611" spans="16:16" x14ac:dyDescent="0.25">
      <c r="P611" t="str">
        <v>FDB-4827-120-1N</v>
      </c>
    </row>
    <row r="612" spans="16:16" x14ac:dyDescent="0.25">
      <c r="P612" t="str">
        <v>FDB-4827-120-2</v>
      </c>
    </row>
    <row r="613" spans="16:16" x14ac:dyDescent="0.25">
      <c r="P613" t="str">
        <v>FDB-4827-120-2N</v>
      </c>
    </row>
    <row r="614" spans="16:16" x14ac:dyDescent="0.25">
      <c r="P614" t="str">
        <v>FDB-4827-120-3</v>
      </c>
    </row>
    <row r="615" spans="16:16" x14ac:dyDescent="0.25">
      <c r="P615" t="str">
        <v>FDB-4827-120-3N</v>
      </c>
    </row>
    <row r="616" spans="16:16" x14ac:dyDescent="0.25">
      <c r="P616" t="str">
        <v>FDB-4827-240-1</v>
      </c>
    </row>
    <row r="617" spans="16:16" x14ac:dyDescent="0.25">
      <c r="P617" t="str">
        <v>FDB-4827-240-2</v>
      </c>
    </row>
    <row r="618" spans="16:16" x14ac:dyDescent="0.25">
      <c r="P618" t="str">
        <v>FDB-4827-277-1</v>
      </c>
    </row>
    <row r="619" spans="16:16" x14ac:dyDescent="0.25">
      <c r="P619" t="str">
        <v>FDB-4827-277-2</v>
      </c>
    </row>
    <row r="620" spans="16:16" x14ac:dyDescent="0.25">
      <c r="P620" t="str">
        <v>FDB-4827-277-3</v>
      </c>
    </row>
    <row r="621" spans="16:16" x14ac:dyDescent="0.25">
      <c r="P621" t="str">
        <v>FDB-4843-100-1</v>
      </c>
    </row>
    <row r="622" spans="16:16" x14ac:dyDescent="0.25">
      <c r="P622" t="str">
        <v>FDB-4843-100-2</v>
      </c>
    </row>
    <row r="623" spans="16:16" x14ac:dyDescent="0.25">
      <c r="P623" t="str">
        <v>FDB-4843-120-1</v>
      </c>
    </row>
    <row r="624" spans="16:16" x14ac:dyDescent="0.25">
      <c r="P624" t="str">
        <v>FDB-4843-120-2</v>
      </c>
    </row>
    <row r="625" spans="16:16" x14ac:dyDescent="0.25">
      <c r="P625" t="str">
        <v>FDB-4843-200-1</v>
      </c>
    </row>
    <row r="626" spans="16:16" x14ac:dyDescent="0.25">
      <c r="P626" t="str">
        <v>FDB-4843-200-2</v>
      </c>
    </row>
    <row r="627" spans="16:16" x14ac:dyDescent="0.25">
      <c r="P627" t="str">
        <v>FDB-4843-277-1</v>
      </c>
    </row>
    <row r="628" spans="16:16" x14ac:dyDescent="0.25">
      <c r="P628" t="str">
        <v>FDB-4843-277-2</v>
      </c>
    </row>
    <row r="629" spans="16:16" x14ac:dyDescent="0.25">
      <c r="P629" t="str">
        <v>FDB-4880-120-1</v>
      </c>
    </row>
    <row r="630" spans="16:16" x14ac:dyDescent="0.25">
      <c r="P630" t="str">
        <v>FDB-6027-120-1</v>
      </c>
    </row>
    <row r="631" spans="16:16" x14ac:dyDescent="0.25">
      <c r="P631" t="str">
        <v>FDB-6027-120-2</v>
      </c>
    </row>
    <row r="632" spans="16:16" x14ac:dyDescent="0.25">
      <c r="P632" t="str">
        <v>FDB-6027-277-1</v>
      </c>
    </row>
    <row r="633" spans="16:16" x14ac:dyDescent="0.25">
      <c r="P633" t="str">
        <v>FDB-6027-277-2</v>
      </c>
    </row>
    <row r="634" spans="16:16" x14ac:dyDescent="0.25">
      <c r="P634" t="str">
        <v>FDB-7280-120-1</v>
      </c>
    </row>
    <row r="635" spans="16:16" x14ac:dyDescent="0.25">
      <c r="P635" t="str">
        <v>FDB-8480-120-1</v>
      </c>
    </row>
    <row r="636" spans="16:16" x14ac:dyDescent="0.25">
      <c r="P636" t="str">
        <v>FDB-9680-120-1</v>
      </c>
    </row>
    <row r="637" spans="16:16" x14ac:dyDescent="0.25">
      <c r="P637" t="str">
        <v>FDB-CF18-120-1-B</v>
      </c>
    </row>
    <row r="638" spans="16:16" x14ac:dyDescent="0.25">
      <c r="P638" t="str">
        <v>FDB-CF18-120-1-E</v>
      </c>
    </row>
    <row r="639" spans="16:16" x14ac:dyDescent="0.25">
      <c r="P639" t="str">
        <v>FDB-CF18-120-2-B</v>
      </c>
    </row>
    <row r="640" spans="16:16" x14ac:dyDescent="0.25">
      <c r="P640" t="str">
        <v>FDB-CF18-120-2-E</v>
      </c>
    </row>
    <row r="641" spans="16:16" x14ac:dyDescent="0.25">
      <c r="P641" t="str">
        <v>FDB-CF18-240-1-E</v>
      </c>
    </row>
    <row r="642" spans="16:16" x14ac:dyDescent="0.25">
      <c r="P642" t="str">
        <v>FDB-CF18-277-1-B</v>
      </c>
    </row>
    <row r="643" spans="16:16" x14ac:dyDescent="0.25">
      <c r="P643" t="str">
        <v>FDB-CF18-277-1-E</v>
      </c>
    </row>
    <row r="644" spans="16:16" x14ac:dyDescent="0.25">
      <c r="P644" t="str">
        <v>FDB-CF18-277-2-B</v>
      </c>
    </row>
    <row r="645" spans="16:16" x14ac:dyDescent="0.25">
      <c r="P645" t="str">
        <v>FDB-CF18-277-2-E</v>
      </c>
    </row>
    <row r="646" spans="16:16" x14ac:dyDescent="0.25">
      <c r="P646" t="str">
        <v>FDB-CF26-120-1-B</v>
      </c>
    </row>
    <row r="647" spans="16:16" x14ac:dyDescent="0.25">
      <c r="P647" t="str">
        <v>FDB-CF26-120-1-E</v>
      </c>
    </row>
    <row r="648" spans="16:16" x14ac:dyDescent="0.25">
      <c r="P648" t="str">
        <v>FDB-CF26-120-2-B</v>
      </c>
    </row>
    <row r="649" spans="16:16" x14ac:dyDescent="0.25">
      <c r="P649" t="str">
        <v>FDB-CF26-120-2-E</v>
      </c>
    </row>
    <row r="650" spans="16:16" x14ac:dyDescent="0.25">
      <c r="P650" t="str">
        <v>FDB-CF26-240-1-E</v>
      </c>
    </row>
    <row r="651" spans="16:16" x14ac:dyDescent="0.25">
      <c r="P651" t="str">
        <v>FDB-CF26-240-2-E</v>
      </c>
    </row>
    <row r="652" spans="16:16" x14ac:dyDescent="0.25">
      <c r="P652" t="str">
        <v>FDB-CF26-277-1-B</v>
      </c>
    </row>
    <row r="653" spans="16:16" x14ac:dyDescent="0.25">
      <c r="P653" t="str">
        <v>FDB-CF26-277-1-E</v>
      </c>
    </row>
    <row r="654" spans="16:16" x14ac:dyDescent="0.25">
      <c r="P654" t="str">
        <v>FDB-CF26-277-2-B</v>
      </c>
    </row>
    <row r="655" spans="16:16" x14ac:dyDescent="0.25">
      <c r="P655" t="str">
        <v>FDB-CF26-277-2-E</v>
      </c>
    </row>
    <row r="656" spans="16:16" x14ac:dyDescent="0.25">
      <c r="P656" t="str">
        <v>FDB-CFL36-240-1E</v>
      </c>
    </row>
    <row r="657" spans="16:16" x14ac:dyDescent="0.25">
      <c r="P657" t="str">
        <v>FDB-CFL36-240-2E</v>
      </c>
    </row>
    <row r="658" spans="16:16" x14ac:dyDescent="0.25">
      <c r="P658" t="str">
        <v>FDB-CT32-120-1-B</v>
      </c>
    </row>
    <row r="659" spans="16:16" x14ac:dyDescent="0.25">
      <c r="P659" t="str">
        <v>FDB-CT32-120-1-E</v>
      </c>
    </row>
    <row r="660" spans="16:16" x14ac:dyDescent="0.25">
      <c r="P660" t="str">
        <v>FDB-CT32-277-1-B</v>
      </c>
    </row>
    <row r="661" spans="16:16" x14ac:dyDescent="0.25">
      <c r="P661" t="str">
        <v>FDB-CT32-277-1-E</v>
      </c>
    </row>
    <row r="662" spans="16:16" x14ac:dyDescent="0.25">
      <c r="P662" t="str">
        <v>FDB-CT42-120-1-B</v>
      </c>
    </row>
    <row r="663" spans="16:16" x14ac:dyDescent="0.25">
      <c r="P663" t="str">
        <v>FDB-CT42-120-1-E</v>
      </c>
    </row>
    <row r="664" spans="16:16" x14ac:dyDescent="0.25">
      <c r="P664" t="str">
        <v>FDB-CT42-277-1-B</v>
      </c>
    </row>
    <row r="665" spans="16:16" x14ac:dyDescent="0.25">
      <c r="P665" t="str">
        <v>FDB-CT42-277-1-E</v>
      </c>
    </row>
    <row r="666" spans="16:16" x14ac:dyDescent="0.25">
      <c r="P666" t="str">
        <v>FDB-T418-120-1</v>
      </c>
    </row>
    <row r="667" spans="16:16" x14ac:dyDescent="0.25">
      <c r="P667" t="str">
        <v>FDB-T418-120-1-S</v>
      </c>
    </row>
    <row r="668" spans="16:16" x14ac:dyDescent="0.25">
      <c r="P668" t="str">
        <v>FDB-T418-120-1SN</v>
      </c>
    </row>
    <row r="669" spans="16:16" x14ac:dyDescent="0.25">
      <c r="P669" t="str">
        <v>FDB-T418-120-2</v>
      </c>
    </row>
    <row r="670" spans="16:16" x14ac:dyDescent="0.25">
      <c r="P670" t="str">
        <v>FDB-T418-120-2N</v>
      </c>
    </row>
    <row r="671" spans="16:16" x14ac:dyDescent="0.25">
      <c r="P671" t="str">
        <v>FDB-T418-120-2-S</v>
      </c>
    </row>
    <row r="672" spans="16:16" x14ac:dyDescent="0.25">
      <c r="P672" t="str">
        <v>FDB-T418-120-2SN</v>
      </c>
    </row>
    <row r="673" spans="16:16" x14ac:dyDescent="0.25">
      <c r="P673" t="str">
        <v>FDB-T418-240-1-S</v>
      </c>
    </row>
    <row r="674" spans="16:16" x14ac:dyDescent="0.25">
      <c r="P674" t="str">
        <v>FDBT4182401SME</v>
      </c>
    </row>
    <row r="675" spans="16:16" x14ac:dyDescent="0.25">
      <c r="P675" t="str">
        <v>FDB-T418-277-1</v>
      </c>
    </row>
    <row r="676" spans="16:16" x14ac:dyDescent="0.25">
      <c r="P676" t="str">
        <v>FDB-T418-277-1-S</v>
      </c>
    </row>
    <row r="677" spans="16:16" x14ac:dyDescent="0.25">
      <c r="P677" t="str">
        <v>FDB-T418-277-2</v>
      </c>
    </row>
    <row r="678" spans="16:16" x14ac:dyDescent="0.25">
      <c r="P678" t="str">
        <v>FDB-T418-277-2-S</v>
      </c>
    </row>
    <row r="679" spans="16:16" x14ac:dyDescent="0.25">
      <c r="P679" t="str">
        <v>FDB-T426-120-1</v>
      </c>
    </row>
    <row r="680" spans="16:16" x14ac:dyDescent="0.25">
      <c r="P680" t="str">
        <v>FDB-T426-120-1N</v>
      </c>
    </row>
    <row r="681" spans="16:16" x14ac:dyDescent="0.25">
      <c r="P681" t="str">
        <v>FDB-T426-120-1-S</v>
      </c>
    </row>
    <row r="682" spans="16:16" x14ac:dyDescent="0.25">
      <c r="P682" t="str">
        <v>FDB-T426-120-1SN</v>
      </c>
    </row>
    <row r="683" spans="16:16" x14ac:dyDescent="0.25">
      <c r="P683" t="str">
        <v>FDB-T426-120-2</v>
      </c>
    </row>
    <row r="684" spans="16:16" x14ac:dyDescent="0.25">
      <c r="P684" t="str">
        <v>FDB-T426-120-2N</v>
      </c>
    </row>
    <row r="685" spans="16:16" x14ac:dyDescent="0.25">
      <c r="P685" t="str">
        <v>FDB-T426-120-2-S</v>
      </c>
    </row>
    <row r="686" spans="16:16" x14ac:dyDescent="0.25">
      <c r="P686" t="str">
        <v>FDB-T426-120-2SN</v>
      </c>
    </row>
    <row r="687" spans="16:16" x14ac:dyDescent="0.25">
      <c r="P687" t="str">
        <v>FDB-T426-220-2</v>
      </c>
    </row>
    <row r="688" spans="16:16" x14ac:dyDescent="0.25">
      <c r="P688" t="str">
        <v>FDB-T426-277-1</v>
      </c>
    </row>
    <row r="689" spans="16:16" x14ac:dyDescent="0.25">
      <c r="P689" t="str">
        <v>FDB-T426-277-1-S</v>
      </c>
    </row>
    <row r="690" spans="16:16" x14ac:dyDescent="0.25">
      <c r="P690" t="str">
        <v>FDB-T426-277-2</v>
      </c>
    </row>
    <row r="691" spans="16:16" x14ac:dyDescent="0.25">
      <c r="P691" t="str">
        <v>FDB-T426-277-2N</v>
      </c>
    </row>
    <row r="692" spans="16:16" x14ac:dyDescent="0.25">
      <c r="P692" t="str">
        <v>FDB-T426-277-2-S</v>
      </c>
    </row>
    <row r="693" spans="16:16" x14ac:dyDescent="0.25">
      <c r="P693" t="str">
        <v>FDB-T432-100-1</v>
      </c>
    </row>
    <row r="694" spans="16:16" x14ac:dyDescent="0.25">
      <c r="P694" t="str">
        <v>FDB-T432-120-1</v>
      </c>
    </row>
    <row r="695" spans="16:16" x14ac:dyDescent="0.25">
      <c r="P695" t="str">
        <v>FDB-T432-120-1N</v>
      </c>
    </row>
    <row r="696" spans="16:16" x14ac:dyDescent="0.25">
      <c r="P696" t="str">
        <v>FDB-T432-120-1-S</v>
      </c>
    </row>
    <row r="697" spans="16:16" x14ac:dyDescent="0.25">
      <c r="P697" t="str">
        <v>FDB-T432-120-1SN</v>
      </c>
    </row>
    <row r="698" spans="16:16" x14ac:dyDescent="0.25">
      <c r="P698" t="str">
        <v>FDB-T432-120-2</v>
      </c>
    </row>
    <row r="699" spans="16:16" x14ac:dyDescent="0.25">
      <c r="P699" t="str">
        <v>FDB-T432-120-2N</v>
      </c>
    </row>
    <row r="700" spans="16:16" x14ac:dyDescent="0.25">
      <c r="P700" t="str">
        <v>FDB-T432-120-2-S</v>
      </c>
    </row>
    <row r="701" spans="16:16" x14ac:dyDescent="0.25">
      <c r="P701" t="str">
        <v>FDB-T432-120-2SN</v>
      </c>
    </row>
    <row r="702" spans="16:16" x14ac:dyDescent="0.25">
      <c r="P702" t="str">
        <v>FDB-T432-277-1</v>
      </c>
    </row>
    <row r="703" spans="16:16" x14ac:dyDescent="0.25">
      <c r="P703" t="str">
        <v>FDB-T432-277-1-S</v>
      </c>
    </row>
    <row r="704" spans="16:16" x14ac:dyDescent="0.25">
      <c r="P704" t="str">
        <v>FDB-T432-277-2</v>
      </c>
    </row>
    <row r="705" spans="16:16" x14ac:dyDescent="0.25">
      <c r="P705" t="str">
        <v>FDB-T432-277-2-S</v>
      </c>
    </row>
    <row r="706" spans="16:16" x14ac:dyDescent="0.25">
      <c r="P706" t="str">
        <v>FDB-T442-120-1</v>
      </c>
    </row>
    <row r="707" spans="16:16" x14ac:dyDescent="0.25">
      <c r="P707" t="str">
        <v>FDB-T442-120-1N</v>
      </c>
    </row>
    <row r="708" spans="16:16" x14ac:dyDescent="0.25">
      <c r="P708" t="str">
        <v>FDB-T442-120-1-S</v>
      </c>
    </row>
    <row r="709" spans="16:16" x14ac:dyDescent="0.25">
      <c r="P709" t="str">
        <v>FDB-T442-120-1SN</v>
      </c>
    </row>
    <row r="710" spans="16:16" x14ac:dyDescent="0.25">
      <c r="P710" t="str">
        <v>FDB-T442-120-2</v>
      </c>
    </row>
    <row r="711" spans="16:16" x14ac:dyDescent="0.25">
      <c r="P711" t="str">
        <v>FDB-T442-120-2N</v>
      </c>
    </row>
    <row r="712" spans="16:16" x14ac:dyDescent="0.25">
      <c r="P712" t="str">
        <v>FDB-T442-120-2-S</v>
      </c>
    </row>
    <row r="713" spans="16:16" x14ac:dyDescent="0.25">
      <c r="P713" t="str">
        <v>FDB-T442-120-2SN</v>
      </c>
    </row>
    <row r="714" spans="16:16" x14ac:dyDescent="0.25">
      <c r="P714" t="str">
        <v>FDB-T442-277-1</v>
      </c>
    </row>
    <row r="715" spans="16:16" x14ac:dyDescent="0.25">
      <c r="P715" t="str">
        <v>FDB-T442-277-1-S</v>
      </c>
    </row>
    <row r="716" spans="16:16" x14ac:dyDescent="0.25">
      <c r="P716" t="str">
        <v>FDB-T442-277-2</v>
      </c>
    </row>
    <row r="717" spans="16:16" x14ac:dyDescent="0.25">
      <c r="P717" t="str">
        <v>FDB-T442-277-2-S</v>
      </c>
    </row>
    <row r="718" spans="16:16" x14ac:dyDescent="0.25">
      <c r="P718" t="str">
        <v>FDB-T524-120-1</v>
      </c>
    </row>
    <row r="719" spans="16:16" x14ac:dyDescent="0.25">
      <c r="P719" t="str">
        <v>FDB-T524-120-2</v>
      </c>
    </row>
    <row r="720" spans="16:16" x14ac:dyDescent="0.25">
      <c r="P720" t="str">
        <v>FDB-T524-277-1</v>
      </c>
    </row>
    <row r="721" spans="16:16" x14ac:dyDescent="0.25">
      <c r="P721" t="str">
        <v>FDB-T524-277-2</v>
      </c>
    </row>
    <row r="722" spans="16:16" x14ac:dyDescent="0.25">
      <c r="P722" t="str">
        <v>FDB-T539-120-1</v>
      </c>
    </row>
    <row r="723" spans="16:16" x14ac:dyDescent="0.25">
      <c r="P723" t="str">
        <v>FDB-T539-120-2</v>
      </c>
    </row>
    <row r="724" spans="16:16" x14ac:dyDescent="0.25">
      <c r="P724" t="str">
        <v>FDB-T539-277-1</v>
      </c>
    </row>
    <row r="725" spans="16:16" x14ac:dyDescent="0.25">
      <c r="P725" t="str">
        <v>FDB-T539-277-2</v>
      </c>
    </row>
    <row r="726" spans="16:16" x14ac:dyDescent="0.25">
      <c r="P726" t="str">
        <v>FDB-T554-120-1</v>
      </c>
    </row>
    <row r="727" spans="16:16" x14ac:dyDescent="0.25">
      <c r="P727" t="str">
        <v>FDB-T554-120-1N</v>
      </c>
    </row>
    <row r="728" spans="16:16" x14ac:dyDescent="0.25">
      <c r="P728" t="str">
        <v>FDB-T554-120-2</v>
      </c>
    </row>
    <row r="729" spans="16:16" x14ac:dyDescent="0.25">
      <c r="P729" t="str">
        <v>FDB-T554-120-2-C</v>
      </c>
    </row>
    <row r="730" spans="16:16" x14ac:dyDescent="0.25">
      <c r="P730" t="str">
        <v>FDB-T554-120-2N</v>
      </c>
    </row>
    <row r="731" spans="16:16" x14ac:dyDescent="0.25">
      <c r="P731" t="str">
        <v>FDB-T554-277-1</v>
      </c>
    </row>
    <row r="732" spans="16:16" x14ac:dyDescent="0.25">
      <c r="P732" t="str">
        <v>FDB-T554-277-2</v>
      </c>
    </row>
    <row r="733" spans="16:16" x14ac:dyDescent="0.25">
      <c r="P733" t="str">
        <v>FDB-T817-277-1</v>
      </c>
    </row>
    <row r="734" spans="16:16" x14ac:dyDescent="0.25">
      <c r="P734" t="str">
        <v>FDB-T832-120-1</v>
      </c>
    </row>
    <row r="735" spans="16:16" x14ac:dyDescent="0.25">
      <c r="P735" t="str">
        <v>FDB-T832-120-2</v>
      </c>
    </row>
    <row r="736" spans="16:16" x14ac:dyDescent="0.25">
      <c r="P736" t="str">
        <v>FDB-T832-277-2</v>
      </c>
    </row>
    <row r="737" spans="16:16" x14ac:dyDescent="0.25">
      <c r="P737" t="str">
        <v>FDB-T832-277-3</v>
      </c>
    </row>
    <row r="738" spans="16:16" x14ac:dyDescent="0.25">
      <c r="P738" t="str">
        <v>H3DT514CU110</v>
      </c>
    </row>
    <row r="739" spans="16:16" x14ac:dyDescent="0.25">
      <c r="P739" t="str">
        <v>H3DT514CU110N</v>
      </c>
    </row>
    <row r="740" spans="16:16" x14ac:dyDescent="0.25">
      <c r="P740" t="str">
        <v>H3DT514CU1C85</v>
      </c>
    </row>
    <row r="741" spans="16:16" x14ac:dyDescent="0.25">
      <c r="P741" t="str">
        <v>H3DT514CU1C90</v>
      </c>
    </row>
    <row r="742" spans="16:16" x14ac:dyDescent="0.25">
      <c r="P742" t="str">
        <v>H3DT514CU210</v>
      </c>
    </row>
    <row r="743" spans="16:16" x14ac:dyDescent="0.25">
      <c r="P743" t="str">
        <v>H3DT514CU210N</v>
      </c>
    </row>
    <row r="744" spans="16:16" x14ac:dyDescent="0.25">
      <c r="P744" t="str">
        <v>H3DT514CU2C90</v>
      </c>
    </row>
    <row r="745" spans="16:16" x14ac:dyDescent="0.25">
      <c r="P745" t="str">
        <v>H3DT514CUNV110</v>
      </c>
    </row>
    <row r="746" spans="16:16" x14ac:dyDescent="0.25">
      <c r="P746" t="str">
        <v>H3DT514CUNV1C95</v>
      </c>
    </row>
    <row r="747" spans="16:16" x14ac:dyDescent="0.25">
      <c r="P747" t="str">
        <v>H3DT514CUNV210</v>
      </c>
    </row>
    <row r="748" spans="16:16" x14ac:dyDescent="0.25">
      <c r="P748" t="str">
        <v>H3DT521CU110</v>
      </c>
    </row>
    <row r="749" spans="16:16" x14ac:dyDescent="0.25">
      <c r="P749" t="str">
        <v>H3DT521CU110N</v>
      </c>
    </row>
    <row r="750" spans="16:16" x14ac:dyDescent="0.25">
      <c r="P750" t="str">
        <v>H3DT521CU1C50</v>
      </c>
    </row>
    <row r="751" spans="16:16" x14ac:dyDescent="0.25">
      <c r="P751" t="str">
        <v>H3DT521CU1C60</v>
      </c>
    </row>
    <row r="752" spans="16:16" x14ac:dyDescent="0.25">
      <c r="P752" t="str">
        <v>H3DT521CU1C70</v>
      </c>
    </row>
    <row r="753" spans="16:16" x14ac:dyDescent="0.25">
      <c r="P753" t="str">
        <v>H3DT521CU1C85</v>
      </c>
    </row>
    <row r="754" spans="16:16" x14ac:dyDescent="0.25">
      <c r="P754" t="str">
        <v>H3DT521CU1C90</v>
      </c>
    </row>
    <row r="755" spans="16:16" x14ac:dyDescent="0.25">
      <c r="P755" t="str">
        <v>H3DT521CU210</v>
      </c>
    </row>
    <row r="756" spans="16:16" x14ac:dyDescent="0.25">
      <c r="P756" t="str">
        <v>H3DT521CU210N</v>
      </c>
    </row>
    <row r="757" spans="16:16" x14ac:dyDescent="0.25">
      <c r="P757" t="str">
        <v>H3DT521CU2C50</v>
      </c>
    </row>
    <row r="758" spans="16:16" x14ac:dyDescent="0.25">
      <c r="P758" t="str">
        <v>H3DT521CU2C85</v>
      </c>
    </row>
    <row r="759" spans="16:16" x14ac:dyDescent="0.25">
      <c r="P759" t="str">
        <v>H3DT521CU2C90</v>
      </c>
    </row>
    <row r="760" spans="16:16" x14ac:dyDescent="0.25">
      <c r="P760" t="str">
        <v>H3DT521CUNV110</v>
      </c>
    </row>
    <row r="761" spans="16:16" x14ac:dyDescent="0.25">
      <c r="P761" t="str">
        <v>H3DT521CUNV210</v>
      </c>
    </row>
    <row r="762" spans="16:16" x14ac:dyDescent="0.25">
      <c r="P762" t="str">
        <v>H3DT524CU110</v>
      </c>
    </row>
    <row r="763" spans="16:16" x14ac:dyDescent="0.25">
      <c r="P763" t="str">
        <v>H3DT524CU110N</v>
      </c>
    </row>
    <row r="764" spans="16:16" x14ac:dyDescent="0.25">
      <c r="P764" t="str">
        <v>H3DT524CU1C50</v>
      </c>
    </row>
    <row r="765" spans="16:16" x14ac:dyDescent="0.25">
      <c r="P765" t="str">
        <v>H3DT524CU210</v>
      </c>
    </row>
    <row r="766" spans="16:16" x14ac:dyDescent="0.25">
      <c r="P766" t="str">
        <v>H3DT524CU210N</v>
      </c>
    </row>
    <row r="767" spans="16:16" x14ac:dyDescent="0.25">
      <c r="P767" t="str">
        <v>H3DT524CU2C50</v>
      </c>
    </row>
    <row r="768" spans="16:16" x14ac:dyDescent="0.25">
      <c r="P768" t="str">
        <v>H3DT524CU2C80</v>
      </c>
    </row>
    <row r="769" spans="16:16" x14ac:dyDescent="0.25">
      <c r="P769" t="str">
        <v>H3DT528CU110</v>
      </c>
    </row>
    <row r="770" spans="16:16" x14ac:dyDescent="0.25">
      <c r="P770" t="str">
        <v>H3DT528CU110N</v>
      </c>
    </row>
    <row r="771" spans="16:16" x14ac:dyDescent="0.25">
      <c r="P771" t="str">
        <v>H3DT528CU1C50</v>
      </c>
    </row>
    <row r="772" spans="16:16" x14ac:dyDescent="0.25">
      <c r="P772" t="str">
        <v>H3DT528CU1C60</v>
      </c>
    </row>
    <row r="773" spans="16:16" x14ac:dyDescent="0.25">
      <c r="P773" t="str">
        <v>H3DT528CU1C70</v>
      </c>
    </row>
    <row r="774" spans="16:16" x14ac:dyDescent="0.25">
      <c r="P774" t="str">
        <v>H3DT528CU1C85</v>
      </c>
    </row>
    <row r="775" spans="16:16" x14ac:dyDescent="0.25">
      <c r="P775" t="str">
        <v>H3DT528CU1C90</v>
      </c>
    </row>
    <row r="776" spans="16:16" x14ac:dyDescent="0.25">
      <c r="P776" t="str">
        <v>H3DT528CU210</v>
      </c>
    </row>
    <row r="777" spans="16:16" x14ac:dyDescent="0.25">
      <c r="P777" t="str">
        <v>H3DT528CU210N</v>
      </c>
    </row>
    <row r="778" spans="16:16" x14ac:dyDescent="0.25">
      <c r="P778" t="str">
        <v>H3DT528CU2C50</v>
      </c>
    </row>
    <row r="779" spans="16:16" x14ac:dyDescent="0.25">
      <c r="P779" t="str">
        <v>H3DT528CU2C85</v>
      </c>
    </row>
    <row r="780" spans="16:16" x14ac:dyDescent="0.25">
      <c r="P780" t="str">
        <v>H3DT528CU2C90</v>
      </c>
    </row>
    <row r="781" spans="16:16" x14ac:dyDescent="0.25">
      <c r="P781" t="str">
        <v>H3DT528CUNV110</v>
      </c>
    </row>
    <row r="782" spans="16:16" x14ac:dyDescent="0.25">
      <c r="P782" t="str">
        <v>H3DT528CUNV1C95</v>
      </c>
    </row>
    <row r="783" spans="16:16" x14ac:dyDescent="0.25">
      <c r="P783" t="str">
        <v>H3DT528CUNV210</v>
      </c>
    </row>
    <row r="784" spans="16:16" x14ac:dyDescent="0.25">
      <c r="P784" t="str">
        <v>H3DT536GU110</v>
      </c>
    </row>
    <row r="785" spans="16:16" x14ac:dyDescent="0.25">
      <c r="P785" t="str">
        <v>H3DT536GU1C70</v>
      </c>
    </row>
    <row r="786" spans="16:16" x14ac:dyDescent="0.25">
      <c r="P786" t="str">
        <v>H3DT536GU210</v>
      </c>
    </row>
    <row r="787" spans="16:16" x14ac:dyDescent="0.25">
      <c r="P787" t="str">
        <v>H3DT539CU110</v>
      </c>
    </row>
    <row r="788" spans="16:16" x14ac:dyDescent="0.25">
      <c r="P788" t="str">
        <v>H3DT539CU110N</v>
      </c>
    </row>
    <row r="789" spans="16:16" x14ac:dyDescent="0.25">
      <c r="P789" t="str">
        <v>H3DT539CU1C50</v>
      </c>
    </row>
    <row r="790" spans="16:16" x14ac:dyDescent="0.25">
      <c r="P790" t="str">
        <v>H3DT539CU210</v>
      </c>
    </row>
    <row r="791" spans="16:16" x14ac:dyDescent="0.25">
      <c r="P791" t="str">
        <v>H3DT539CU210N</v>
      </c>
    </row>
    <row r="792" spans="16:16" x14ac:dyDescent="0.25">
      <c r="P792" t="str">
        <v>H3DT539CU2C50</v>
      </c>
    </row>
    <row r="793" spans="16:16" x14ac:dyDescent="0.25">
      <c r="P793" t="str">
        <v>H3DT539CU2C80</v>
      </c>
    </row>
    <row r="794" spans="16:16" x14ac:dyDescent="0.25">
      <c r="P794" t="str">
        <v>H3DT540GU110</v>
      </c>
    </row>
    <row r="795" spans="16:16" x14ac:dyDescent="0.25">
      <c r="P795" t="str">
        <v>H3DT540GU110N</v>
      </c>
    </row>
    <row r="796" spans="16:16" x14ac:dyDescent="0.25">
      <c r="P796" t="str">
        <v>H3DT540GU1C70</v>
      </c>
    </row>
    <row r="797" spans="16:16" x14ac:dyDescent="0.25">
      <c r="P797" t="str">
        <v>H3DT540GU210</v>
      </c>
    </row>
    <row r="798" spans="16:16" x14ac:dyDescent="0.25">
      <c r="P798" t="str">
        <v>H3DT540GU210N</v>
      </c>
    </row>
    <row r="799" spans="16:16" x14ac:dyDescent="0.25">
      <c r="P799" t="str">
        <v>H3DT540GU2C70</v>
      </c>
    </row>
    <row r="800" spans="16:16" x14ac:dyDescent="0.25">
      <c r="P800" t="str">
        <v>H3DT540GU2C85</v>
      </c>
    </row>
    <row r="801" spans="16:16" x14ac:dyDescent="0.25">
      <c r="P801" t="str">
        <v>H3DT540GU310</v>
      </c>
    </row>
    <row r="802" spans="16:16" x14ac:dyDescent="0.25">
      <c r="P802" t="str">
        <v>H3DT540GU310N</v>
      </c>
    </row>
    <row r="803" spans="16:16" x14ac:dyDescent="0.25">
      <c r="P803" t="str">
        <v>H3DT550GU110</v>
      </c>
    </row>
    <row r="804" spans="16:16" x14ac:dyDescent="0.25">
      <c r="P804" t="str">
        <v>H3DT550GU210</v>
      </c>
    </row>
    <row r="805" spans="16:16" x14ac:dyDescent="0.25">
      <c r="P805" t="str">
        <v>H3DT550GU2C85</v>
      </c>
    </row>
    <row r="806" spans="16:16" x14ac:dyDescent="0.25">
      <c r="P806" t="str">
        <v>H3DT554CU110</v>
      </c>
    </row>
    <row r="807" spans="16:16" x14ac:dyDescent="0.25">
      <c r="P807" t="str">
        <v>H3DT554CU110N</v>
      </c>
    </row>
    <row r="808" spans="16:16" x14ac:dyDescent="0.25">
      <c r="P808" t="str">
        <v>H3DT554CU1C50</v>
      </c>
    </row>
    <row r="809" spans="16:16" x14ac:dyDescent="0.25">
      <c r="P809" t="str">
        <v>H3DT554CU1C70</v>
      </c>
    </row>
    <row r="810" spans="16:16" x14ac:dyDescent="0.25">
      <c r="P810" t="str">
        <v>H3DT554CU1C80</v>
      </c>
    </row>
    <row r="811" spans="16:16" x14ac:dyDescent="0.25">
      <c r="P811" t="str">
        <v>H3DT554CU210</v>
      </c>
    </row>
    <row r="812" spans="16:16" x14ac:dyDescent="0.25">
      <c r="P812" t="str">
        <v>H3DT554CU210N</v>
      </c>
    </row>
    <row r="813" spans="16:16" x14ac:dyDescent="0.25">
      <c r="P813" t="str">
        <v>H3DT554CU2C50</v>
      </c>
    </row>
    <row r="814" spans="16:16" x14ac:dyDescent="0.25">
      <c r="P814" t="str">
        <v>H3DT554CU2C80</v>
      </c>
    </row>
    <row r="815" spans="16:16" x14ac:dyDescent="0.25">
      <c r="P815" t="str">
        <v>H3DT554CU2C90</v>
      </c>
    </row>
    <row r="816" spans="16:16" x14ac:dyDescent="0.25">
      <c r="P816" t="str">
        <v>H3DT580CU110</v>
      </c>
    </row>
    <row r="817" spans="16:16" x14ac:dyDescent="0.25">
      <c r="P817" t="str">
        <v>H3DT817CU110</v>
      </c>
    </row>
    <row r="818" spans="16:16" x14ac:dyDescent="0.25">
      <c r="P818" t="str">
        <v>H3DT817CU117</v>
      </c>
    </row>
    <row r="819" spans="16:16" x14ac:dyDescent="0.25">
      <c r="P819" t="str">
        <v>H3DT817CU1C50</v>
      </c>
    </row>
    <row r="820" spans="16:16" x14ac:dyDescent="0.25">
      <c r="P820" t="str">
        <v>H3DT817CU1C80</v>
      </c>
    </row>
    <row r="821" spans="16:16" x14ac:dyDescent="0.25">
      <c r="P821" t="str">
        <v>H3DT817CU210</v>
      </c>
    </row>
    <row r="822" spans="16:16" x14ac:dyDescent="0.25">
      <c r="P822" t="str">
        <v>H3DT817CU210N</v>
      </c>
    </row>
    <row r="823" spans="16:16" x14ac:dyDescent="0.25">
      <c r="P823" t="str">
        <v>H3DT817CU217</v>
      </c>
    </row>
    <row r="824" spans="16:16" x14ac:dyDescent="0.25">
      <c r="P824" t="str">
        <v>H3DT817CU2C50</v>
      </c>
    </row>
    <row r="825" spans="16:16" x14ac:dyDescent="0.25">
      <c r="P825" t="str">
        <v>H3DT817CUNV110</v>
      </c>
    </row>
    <row r="826" spans="16:16" x14ac:dyDescent="0.25">
      <c r="P826" t="str">
        <v>H3DT817CUNV117</v>
      </c>
    </row>
    <row r="827" spans="16:16" x14ac:dyDescent="0.25">
      <c r="P827" t="str">
        <v>H3DT817CUNV210</v>
      </c>
    </row>
    <row r="828" spans="16:16" x14ac:dyDescent="0.25">
      <c r="P828" t="str">
        <v>H3DT817CUNV217</v>
      </c>
    </row>
    <row r="829" spans="16:16" x14ac:dyDescent="0.25">
      <c r="P829" t="str">
        <v>H3DT817GU110</v>
      </c>
    </row>
    <row r="830" spans="16:16" x14ac:dyDescent="0.25">
      <c r="P830" t="str">
        <v>H3DT817GU110N</v>
      </c>
    </row>
    <row r="831" spans="16:16" x14ac:dyDescent="0.25">
      <c r="P831" t="str">
        <v>H3DT817GU117</v>
      </c>
    </row>
    <row r="832" spans="16:16" x14ac:dyDescent="0.25">
      <c r="P832" t="str">
        <v>H3DT817GU210</v>
      </c>
    </row>
    <row r="833" spans="16:16" x14ac:dyDescent="0.25">
      <c r="P833" t="str">
        <v>H3DT817GU210N</v>
      </c>
    </row>
    <row r="834" spans="16:16" x14ac:dyDescent="0.25">
      <c r="P834" t="str">
        <v>H3DT817GU217</v>
      </c>
    </row>
    <row r="835" spans="16:16" x14ac:dyDescent="0.25">
      <c r="P835" t="str">
        <v>H3DT817GU310</v>
      </c>
    </row>
    <row r="836" spans="16:16" x14ac:dyDescent="0.25">
      <c r="P836" t="str">
        <v>H3DT817GU317</v>
      </c>
    </row>
    <row r="837" spans="16:16" x14ac:dyDescent="0.25">
      <c r="P837" t="str">
        <v>H3DT825CU110</v>
      </c>
    </row>
    <row r="838" spans="16:16" x14ac:dyDescent="0.25">
      <c r="P838" t="str">
        <v>H3DT825CU117</v>
      </c>
    </row>
    <row r="839" spans="16:16" x14ac:dyDescent="0.25">
      <c r="P839" t="str">
        <v>H3DT825CU1C50</v>
      </c>
    </row>
    <row r="840" spans="16:16" x14ac:dyDescent="0.25">
      <c r="P840" t="str">
        <v>H3DT825CU1C63</v>
      </c>
    </row>
    <row r="841" spans="16:16" x14ac:dyDescent="0.25">
      <c r="P841" t="str">
        <v>H3DT825CU1C80</v>
      </c>
    </row>
    <row r="842" spans="16:16" x14ac:dyDescent="0.25">
      <c r="P842" t="str">
        <v>H3DT825CU210</v>
      </c>
    </row>
    <row r="843" spans="16:16" x14ac:dyDescent="0.25">
      <c r="P843" t="str">
        <v>H3DT825CU210N</v>
      </c>
    </row>
    <row r="844" spans="16:16" x14ac:dyDescent="0.25">
      <c r="P844" t="str">
        <v>H3DT825CU217</v>
      </c>
    </row>
    <row r="845" spans="16:16" x14ac:dyDescent="0.25">
      <c r="P845" t="str">
        <v>H3DT825CU2C50</v>
      </c>
    </row>
    <row r="846" spans="16:16" x14ac:dyDescent="0.25">
      <c r="P846" t="str">
        <v>H3DT825CU2C86</v>
      </c>
    </row>
    <row r="847" spans="16:16" x14ac:dyDescent="0.25">
      <c r="P847" t="str">
        <v>H3DT825CUNV110</v>
      </c>
    </row>
    <row r="848" spans="16:16" x14ac:dyDescent="0.25">
      <c r="P848" t="str">
        <v>H3DT825CUNV117</v>
      </c>
    </row>
    <row r="849" spans="16:16" x14ac:dyDescent="0.25">
      <c r="P849" t="str">
        <v>H3DT825CUNV210</v>
      </c>
    </row>
    <row r="850" spans="16:16" x14ac:dyDescent="0.25">
      <c r="P850" t="str">
        <v>H3DT825CUNV217</v>
      </c>
    </row>
    <row r="851" spans="16:16" x14ac:dyDescent="0.25">
      <c r="P851" t="str">
        <v>H3DT825GU110</v>
      </c>
    </row>
    <row r="852" spans="16:16" x14ac:dyDescent="0.25">
      <c r="P852" t="str">
        <v>H3DT825GU210</v>
      </c>
    </row>
    <row r="853" spans="16:16" x14ac:dyDescent="0.25">
      <c r="P853" t="str">
        <v>H3DT832CU110</v>
      </c>
    </row>
    <row r="854" spans="16:16" x14ac:dyDescent="0.25">
      <c r="P854" t="str">
        <v>H3DT832CU110N</v>
      </c>
    </row>
    <row r="855" spans="16:16" x14ac:dyDescent="0.25">
      <c r="P855" t="str">
        <v>H3DT832CU117</v>
      </c>
    </row>
    <row r="856" spans="16:16" x14ac:dyDescent="0.25">
      <c r="P856" t="str">
        <v>H3DT832CU1C50</v>
      </c>
    </row>
    <row r="857" spans="16:16" x14ac:dyDescent="0.25">
      <c r="P857" t="str">
        <v>H3DT832CU1C55</v>
      </c>
    </row>
    <row r="858" spans="16:16" x14ac:dyDescent="0.25">
      <c r="P858" t="str">
        <v>H3DT832CU1C75</v>
      </c>
    </row>
    <row r="859" spans="16:16" x14ac:dyDescent="0.25">
      <c r="P859" t="str">
        <v>H3DT832CU1C80</v>
      </c>
    </row>
    <row r="860" spans="16:16" x14ac:dyDescent="0.25">
      <c r="P860" t="str">
        <v>H3DT832CU1C86</v>
      </c>
    </row>
    <row r="861" spans="16:16" x14ac:dyDescent="0.25">
      <c r="P861" t="str">
        <v>H3DT832CU210</v>
      </c>
    </row>
    <row r="862" spans="16:16" x14ac:dyDescent="0.25">
      <c r="P862" t="str">
        <v>H3DT832CU210N</v>
      </c>
    </row>
    <row r="863" spans="16:16" x14ac:dyDescent="0.25">
      <c r="P863" t="str">
        <v>H3DT832CU217</v>
      </c>
    </row>
    <row r="864" spans="16:16" x14ac:dyDescent="0.25">
      <c r="P864" t="str">
        <v>H3DT832CU217N</v>
      </c>
    </row>
    <row r="865" spans="16:16" x14ac:dyDescent="0.25">
      <c r="P865" t="str">
        <v>H3DT832CU2C50</v>
      </c>
    </row>
    <row r="866" spans="16:16" x14ac:dyDescent="0.25">
      <c r="P866" t="str">
        <v>H3DT832CU2C71</v>
      </c>
    </row>
    <row r="867" spans="16:16" x14ac:dyDescent="0.25">
      <c r="P867" t="str">
        <v>H3DT832CU2C86</v>
      </c>
    </row>
    <row r="868" spans="16:16" x14ac:dyDescent="0.25">
      <c r="P868" t="str">
        <v>H3DT832CU2C88</v>
      </c>
    </row>
    <row r="869" spans="16:16" x14ac:dyDescent="0.25">
      <c r="P869" t="str">
        <v>H3DT832CU2C90</v>
      </c>
    </row>
    <row r="870" spans="16:16" x14ac:dyDescent="0.25">
      <c r="P870" t="str">
        <v>H3DT832CUNV110</v>
      </c>
    </row>
    <row r="871" spans="16:16" x14ac:dyDescent="0.25">
      <c r="P871" t="str">
        <v>H3DT832CUNV117</v>
      </c>
    </row>
    <row r="872" spans="16:16" x14ac:dyDescent="0.25">
      <c r="P872" t="str">
        <v>H3DT832CUNV1C50</v>
      </c>
    </row>
    <row r="873" spans="16:16" x14ac:dyDescent="0.25">
      <c r="P873" t="str">
        <v>H3DT832CUNV210</v>
      </c>
    </row>
    <row r="874" spans="16:16" x14ac:dyDescent="0.25">
      <c r="P874" t="str">
        <v>H3DT832CUNV217</v>
      </c>
    </row>
    <row r="875" spans="16:16" x14ac:dyDescent="0.25">
      <c r="P875" t="str">
        <v>H3DT832CUNV2C50</v>
      </c>
    </row>
    <row r="876" spans="16:16" x14ac:dyDescent="0.25">
      <c r="P876" t="str">
        <v>H3DT832GU110</v>
      </c>
    </row>
    <row r="877" spans="16:16" x14ac:dyDescent="0.25">
      <c r="P877" t="str">
        <v>H3DT832GU110N</v>
      </c>
    </row>
    <row r="878" spans="16:16" x14ac:dyDescent="0.25">
      <c r="P878" t="str">
        <v>H3DT832GU117</v>
      </c>
    </row>
    <row r="879" spans="16:16" x14ac:dyDescent="0.25">
      <c r="P879" t="str">
        <v>H3DT832GU210</v>
      </c>
    </row>
    <row r="880" spans="16:16" x14ac:dyDescent="0.25">
      <c r="P880" t="str">
        <v>H3DT832GU210N</v>
      </c>
    </row>
    <row r="881" spans="16:16" x14ac:dyDescent="0.25">
      <c r="P881" t="str">
        <v>H3DT832GU217</v>
      </c>
    </row>
    <row r="882" spans="16:16" x14ac:dyDescent="0.25">
      <c r="P882" t="str">
        <v>H3DT832GU310</v>
      </c>
    </row>
    <row r="883" spans="16:16" x14ac:dyDescent="0.25">
      <c r="P883" t="str">
        <v>H3DT832GU310N</v>
      </c>
    </row>
    <row r="884" spans="16:16" x14ac:dyDescent="0.25">
      <c r="P884" t="str">
        <v>H3DT832GU317</v>
      </c>
    </row>
    <row r="885" spans="16:16" x14ac:dyDescent="0.25">
      <c r="P885" t="str">
        <v>H3DT832GU3C85</v>
      </c>
    </row>
    <row r="886" spans="16:16" x14ac:dyDescent="0.25">
      <c r="P886" t="str">
        <v>H3DT832GUNV310</v>
      </c>
    </row>
    <row r="887" spans="16:16" x14ac:dyDescent="0.25">
      <c r="P887" t="str">
        <v>H3DT832GUNV317</v>
      </c>
    </row>
    <row r="888" spans="16:16" x14ac:dyDescent="0.25">
      <c r="P888" t="str">
        <v>H3DT832MU210</v>
      </c>
    </row>
    <row r="889" spans="16:16" x14ac:dyDescent="0.25">
      <c r="P889" t="str">
        <v>H3DT840CU110</v>
      </c>
    </row>
    <row r="890" spans="16:16" x14ac:dyDescent="0.25">
      <c r="P890" t="str">
        <v>H3DT840CU117</v>
      </c>
    </row>
    <row r="891" spans="16:16" x14ac:dyDescent="0.25">
      <c r="P891" t="str">
        <v>H3DT840CU1C50</v>
      </c>
    </row>
    <row r="892" spans="16:16" x14ac:dyDescent="0.25">
      <c r="P892" t="str">
        <v>H3DT840CU210</v>
      </c>
    </row>
    <row r="893" spans="16:16" x14ac:dyDescent="0.25">
      <c r="P893" t="str">
        <v>H3DT840CU217</v>
      </c>
    </row>
    <row r="894" spans="16:16" x14ac:dyDescent="0.25">
      <c r="P894" t="str">
        <v>H3DT840CU2C50</v>
      </c>
    </row>
    <row r="895" spans="16:16" x14ac:dyDescent="0.25">
      <c r="P895" t="str">
        <v>H3T432K1001J</v>
      </c>
    </row>
    <row r="896" spans="16:16" x14ac:dyDescent="0.25">
      <c r="P896" t="str">
        <v>H3T832CUNV2J</v>
      </c>
    </row>
    <row r="897" spans="16:16" x14ac:dyDescent="0.25">
      <c r="P897" t="str">
        <v>H3T832GU310</v>
      </c>
    </row>
    <row r="898" spans="16:16" x14ac:dyDescent="0.25">
      <c r="P898" t="str">
        <v>H3T832GU317</v>
      </c>
    </row>
    <row r="899" spans="16:16" x14ac:dyDescent="0.25">
      <c r="P899" t="str">
        <v>H3T832GU3C85</v>
      </c>
    </row>
    <row r="900" spans="16:16" x14ac:dyDescent="0.25">
      <c r="P900" t="str">
        <v>H3T832GUNV1J</v>
      </c>
    </row>
    <row r="901" spans="16:16" x14ac:dyDescent="0.25">
      <c r="P901" t="str">
        <v>H3T832GUNV2J</v>
      </c>
    </row>
    <row r="902" spans="16:16" x14ac:dyDescent="0.25">
      <c r="P902" t="str">
        <v>HL3-T426-120-1</v>
      </c>
    </row>
    <row r="903" spans="16:16" x14ac:dyDescent="0.25">
      <c r="P903" t="str">
        <v>HL3-T426-120-1-S</v>
      </c>
    </row>
    <row r="904" spans="16:16" x14ac:dyDescent="0.25">
      <c r="P904" t="str">
        <v>HL3-T426-277-1</v>
      </c>
    </row>
    <row r="905" spans="16:16" x14ac:dyDescent="0.25">
      <c r="P905" t="str">
        <v>HL3-T426-277-1-S</v>
      </c>
    </row>
    <row r="906" spans="16:16" x14ac:dyDescent="0.25">
      <c r="P906" t="str">
        <v>HL3-T432-120-1</v>
      </c>
    </row>
    <row r="907" spans="16:16" x14ac:dyDescent="0.25">
      <c r="P907" t="str">
        <v>HL3-T432-120-1-S</v>
      </c>
    </row>
    <row r="908" spans="16:16" x14ac:dyDescent="0.25">
      <c r="P908" t="str">
        <v>HL3-T432-277-1</v>
      </c>
    </row>
    <row r="909" spans="16:16" x14ac:dyDescent="0.25">
      <c r="P909" t="str">
        <v>HL3-T432-277-1-S</v>
      </c>
    </row>
    <row r="910" spans="16:16" x14ac:dyDescent="0.25">
      <c r="P910" t="str">
        <v>RSPCU-1643-277/1</v>
      </c>
    </row>
    <row r="911" spans="16:16" x14ac:dyDescent="0.25">
      <c r="P911" t="str">
        <v>RSPCU-1643-277/2</v>
      </c>
    </row>
    <row r="912" spans="16:16" x14ac:dyDescent="0.25">
      <c r="P912" t="str">
        <v>RSPCU-2227-120/1</v>
      </c>
    </row>
    <row r="913" spans="16:16" x14ac:dyDescent="0.25">
      <c r="P913" t="str">
        <v>RSPCU-2227-120/2</v>
      </c>
    </row>
    <row r="914" spans="16:16" x14ac:dyDescent="0.25">
      <c r="P914" t="str">
        <v>RSPCU-2227-277/1</v>
      </c>
    </row>
    <row r="915" spans="16:16" x14ac:dyDescent="0.25">
      <c r="P915" t="str">
        <v>RSPCU-2227-277/2</v>
      </c>
    </row>
    <row r="916" spans="16:16" x14ac:dyDescent="0.25">
      <c r="P916" t="str">
        <v>RSPCU-3627-120/1</v>
      </c>
    </row>
    <row r="917" spans="16:16" x14ac:dyDescent="0.25">
      <c r="P917" t="str">
        <v>RSPCU-3627-120/2</v>
      </c>
    </row>
    <row r="918" spans="16:16" x14ac:dyDescent="0.25">
      <c r="P918" t="str">
        <v>RSPCU-3643-120/1</v>
      </c>
    </row>
    <row r="919" spans="16:16" x14ac:dyDescent="0.25">
      <c r="P919" t="str">
        <v>RSPCU-3643-120/2</v>
      </c>
    </row>
    <row r="920" spans="16:16" x14ac:dyDescent="0.25">
      <c r="P920" t="str">
        <v>RSPCU-3680-120/1</v>
      </c>
    </row>
    <row r="921" spans="16:16" x14ac:dyDescent="0.25">
      <c r="P921" t="str">
        <v>RSPCU-4827-120/1</v>
      </c>
    </row>
    <row r="922" spans="16:16" x14ac:dyDescent="0.25">
      <c r="P922" t="str">
        <v>RSPCU-4827-120/2</v>
      </c>
    </row>
    <row r="923" spans="16:16" x14ac:dyDescent="0.25">
      <c r="P923" t="str">
        <v>RSPCU-4827-277/1</v>
      </c>
    </row>
    <row r="924" spans="16:16" x14ac:dyDescent="0.25">
      <c r="P924" t="str">
        <v>RSPCU-4827-277/2</v>
      </c>
    </row>
    <row r="925" spans="16:16" x14ac:dyDescent="0.25">
      <c r="P925" t="str">
        <v>RSPCU-4843-120/1</v>
      </c>
    </row>
    <row r="926" spans="16:16" x14ac:dyDescent="0.25">
      <c r="P926" t="str">
        <v>RSPCU-4843-120/2</v>
      </c>
    </row>
    <row r="927" spans="16:16" x14ac:dyDescent="0.25">
      <c r="P927" t="str">
        <v>RSPCU-4843-277/1</v>
      </c>
    </row>
    <row r="928" spans="16:16" x14ac:dyDescent="0.25">
      <c r="P928" t="str">
        <v>RSPCU-4843-277/2</v>
      </c>
    </row>
    <row r="929" spans="16:16" x14ac:dyDescent="0.25">
      <c r="P929" t="str">
        <v>RSPCU-4880-120/1</v>
      </c>
    </row>
    <row r="930" spans="16:16" x14ac:dyDescent="0.25">
      <c r="P930" t="str">
        <v>RSPCU-6027-120/1</v>
      </c>
    </row>
    <row r="931" spans="16:16" x14ac:dyDescent="0.25">
      <c r="P931" t="str">
        <v>RSPCU-7280-120/1</v>
      </c>
    </row>
    <row r="932" spans="16:16" x14ac:dyDescent="0.25">
      <c r="P932" t="str">
        <v>RSPCU-8480-120/1</v>
      </c>
    </row>
    <row r="933" spans="16:16" x14ac:dyDescent="0.25">
      <c r="P933" t="str">
        <v>RSPCU-9680-120/1</v>
      </c>
    </row>
    <row r="934" spans="16:16" x14ac:dyDescent="0.25">
      <c r="P934" t="str">
        <v>TVE-CT32-120-1-B</v>
      </c>
    </row>
    <row r="935" spans="16:16" x14ac:dyDescent="0.25">
      <c r="P935" t="str">
        <v>TVE-CT32-120-1-E</v>
      </c>
    </row>
    <row r="936" spans="16:16" x14ac:dyDescent="0.25">
      <c r="P936" t="str">
        <v>TVE-T540-120-2</v>
      </c>
    </row>
    <row r="937" spans="16:16" x14ac:dyDescent="0.25">
      <c r="P937" t="str">
        <v>TVE-T540-120-3</v>
      </c>
    </row>
    <row r="938" spans="16:16" x14ac:dyDescent="0.25">
      <c r="P938" t="str">
        <v>TVE-T540-277-2</v>
      </c>
    </row>
    <row r="939" spans="16:16" x14ac:dyDescent="0.25">
      <c r="P939" t="str">
        <v>TVE-T817-120-1</v>
      </c>
    </row>
    <row r="940" spans="16:16" x14ac:dyDescent="0.25">
      <c r="P940" t="str">
        <v>TVE-T825-120-1</v>
      </c>
    </row>
    <row r="941" spans="16:16" x14ac:dyDescent="0.25">
      <c r="P941" t="str">
        <v>TVE-T832-120-1</v>
      </c>
    </row>
    <row r="942" spans="16:16" x14ac:dyDescent="0.25">
      <c r="P942" t="str">
        <v>TVE-T832-120-2</v>
      </c>
    </row>
    <row r="943" spans="16:16" x14ac:dyDescent="0.25">
      <c r="P943" t="str">
        <v>TVE-T832-120-3</v>
      </c>
    </row>
    <row r="944" spans="16:16" x14ac:dyDescent="0.25">
      <c r="P944" t="str">
        <v>TVE-T832-277-1</v>
      </c>
    </row>
    <row r="945" spans="16:16" x14ac:dyDescent="0.25">
      <c r="P945" t="str">
        <v>TVE-T832-277-2</v>
      </c>
    </row>
    <row r="946" spans="16:16" x14ac:dyDescent="0.25">
      <c r="P946" t="str">
        <v>TVE-T832-277-3</v>
      </c>
    </row>
    <row r="947" spans="16:16" x14ac:dyDescent="0.25">
      <c r="P947" t="str">
        <v>TVE-T832-347-1</v>
      </c>
    </row>
    <row r="948" spans="16:16" x14ac:dyDescent="0.25">
      <c r="P948" t="str">
        <v>TVE-T832-347-2</v>
      </c>
    </row>
    <row r="949" spans="16:16" x14ac:dyDescent="0.25">
      <c r="P949" t="str">
        <v>TVE-T845-200-1</v>
      </c>
    </row>
    <row r="950" spans="16:16" x14ac:dyDescent="0.25">
      <c r="P950" t="str">
        <v>TVE-T845-200-2</v>
      </c>
    </row>
    <row r="951" spans="16:16" x14ac:dyDescent="0.25">
      <c r="P951" t="str">
        <v>U2W-T832-120-2</v>
      </c>
    </row>
    <row r="952" spans="16:16" x14ac:dyDescent="0.25">
      <c r="P952" t="str">
        <v>UEC3DT4MWKU1</v>
      </c>
    </row>
    <row r="953" spans="16:16" x14ac:dyDescent="0.25">
      <c r="P953" t="str">
        <v>UEC3DT4MWKU1S</v>
      </c>
    </row>
    <row r="954" spans="16:16" x14ac:dyDescent="0.25">
      <c r="P954" t="str">
        <v>UEC3DT4MWKU2</v>
      </c>
    </row>
    <row r="955" spans="16:16" x14ac:dyDescent="0.25">
      <c r="P955" t="str">
        <v>UEC3DT4MWKU2S</v>
      </c>
    </row>
    <row r="956" spans="16:16" x14ac:dyDescent="0.25">
      <c r="P956" t="str">
        <v>UEC3T540GU210</v>
      </c>
    </row>
    <row r="957" spans="16:16" x14ac:dyDescent="0.25">
      <c r="P957" t="str">
        <v>UEC3T817GU210</v>
      </c>
    </row>
    <row r="958" spans="16:16" x14ac:dyDescent="0.25">
      <c r="P958" t="str">
        <v>UEC3T832CU210</v>
      </c>
    </row>
    <row r="959" spans="16:16" x14ac:dyDescent="0.25">
      <c r="P959" t="str">
        <v>UEC3T832GU210</v>
      </c>
    </row>
    <row r="960" spans="16:16" x14ac:dyDescent="0.25">
      <c r="P960" t="str">
        <v>UEC5T528JUNV1</v>
      </c>
    </row>
    <row r="961" spans="16:16" x14ac:dyDescent="0.25">
      <c r="P961" t="str">
        <v>UEC5T528JUNV2</v>
      </c>
    </row>
    <row r="962" spans="16:16" x14ac:dyDescent="0.25">
      <c r="P962" t="str">
        <v>UEC5T540JUNV2</v>
      </c>
    </row>
    <row r="963" spans="16:16" x14ac:dyDescent="0.25">
      <c r="P963" t="str">
        <v>UEC5T554JUNV1</v>
      </c>
    </row>
    <row r="964" spans="16:16" x14ac:dyDescent="0.25">
      <c r="P964" t="str">
        <v>UEC5T554JUNV2</v>
      </c>
    </row>
    <row r="965" spans="16:16" x14ac:dyDescent="0.25">
      <c r="P965" t="str">
        <v>UEC5T817JUNV2</v>
      </c>
    </row>
    <row r="966" spans="16:16" x14ac:dyDescent="0.25">
      <c r="P966" t="str">
        <v>UEC5T825JUNV1</v>
      </c>
    </row>
    <row r="967" spans="16:16" x14ac:dyDescent="0.25">
      <c r="P967" t="str">
        <v>UEC5T832GUNV2C50</v>
      </c>
    </row>
    <row r="968" spans="16:16" x14ac:dyDescent="0.25">
      <c r="P968" t="str">
        <v>UEC5T832GUNV2L</v>
      </c>
    </row>
    <row r="969" spans="16:16" x14ac:dyDescent="0.25">
      <c r="P969" t="str">
        <v>UEC5T832GUNV3L</v>
      </c>
    </row>
    <row r="970" spans="16:16" x14ac:dyDescent="0.25">
      <c r="P970" t="str">
        <v>UEC5T832JUNV1</v>
      </c>
    </row>
    <row r="971" spans="16:16" x14ac:dyDescent="0.25">
      <c r="P971" t="str">
        <v>UEC5T832JUNV2</v>
      </c>
    </row>
    <row r="972" spans="16:16" x14ac:dyDescent="0.25">
      <c r="P972" t="str">
        <v>UEC5T8RWGUNV3</v>
      </c>
    </row>
    <row r="973" spans="16:16" x14ac:dyDescent="0.25">
      <c r="P973" t="str">
        <v>UEHDT521MU110</v>
      </c>
    </row>
    <row r="974" spans="16:16" x14ac:dyDescent="0.25">
      <c r="P974" t="str">
        <v>UEHDT528CU210</v>
      </c>
    </row>
    <row r="975" spans="16:16" x14ac:dyDescent="0.25">
      <c r="P975" t="str">
        <v>UEHDT528MU110</v>
      </c>
    </row>
    <row r="976" spans="16:16" x14ac:dyDescent="0.25">
      <c r="P976" t="str">
        <v>UEHDT554CU210</v>
      </c>
    </row>
    <row r="977" spans="16:16" x14ac:dyDescent="0.25">
      <c r="P977" t="str">
        <v>UEHDT554MU110</v>
      </c>
    </row>
    <row r="978" spans="16:16" x14ac:dyDescent="0.25">
      <c r="P978" t="str">
        <v>UEHDT554MU210</v>
      </c>
    </row>
    <row r="979" spans="16:16" x14ac:dyDescent="0.25">
      <c r="P979" t="str">
        <v>UEHDT825MU210</v>
      </c>
    </row>
    <row r="980" spans="16:16" x14ac:dyDescent="0.25">
      <c r="P980" t="str">
        <v>UEHDT832CU110</v>
      </c>
    </row>
    <row r="981" spans="16:16" x14ac:dyDescent="0.25">
      <c r="P981" t="str">
        <v>UEHDT832CU210</v>
      </c>
    </row>
    <row r="982" spans="16:16" x14ac:dyDescent="0.25">
      <c r="P982" t="str">
        <v>UEHDT832GU310</v>
      </c>
    </row>
    <row r="983" spans="16:16" x14ac:dyDescent="0.25">
      <c r="P983" t="str">
        <v>UEHDT832GU317</v>
      </c>
    </row>
    <row r="984" spans="16:16" x14ac:dyDescent="0.25">
      <c r="P984" t="str">
        <v>UEHDT832MU110</v>
      </c>
    </row>
    <row r="985" spans="16:16" x14ac:dyDescent="0.25">
      <c r="P985" t="str">
        <v>UEHDT832MU117</v>
      </c>
    </row>
    <row r="986" spans="16:16" x14ac:dyDescent="0.25">
      <c r="P986" t="str">
        <v>UEHDT832MU210</v>
      </c>
    </row>
    <row r="987" spans="16:16" x14ac:dyDescent="0.25">
      <c r="P987" t="str">
        <v>UEHDT832MU217</v>
      </c>
    </row>
    <row r="988" spans="16:16" x14ac:dyDescent="0.25">
      <c r="P988" t="str">
        <v>UFDB-T554-120-2</v>
      </c>
    </row>
    <row r="989" spans="16:16" x14ac:dyDescent="0.25">
      <c r="P989" t="str">
        <v>UH3DT524CU210</v>
      </c>
    </row>
    <row r="990" spans="16:16" x14ac:dyDescent="0.25">
      <c r="P990" t="str">
        <v>UH3DT528CU110</v>
      </c>
    </row>
    <row r="991" spans="16:16" x14ac:dyDescent="0.25">
      <c r="P991" t="str">
        <v>UH3DT528CU210</v>
      </c>
    </row>
    <row r="992" spans="16:16" x14ac:dyDescent="0.25">
      <c r="P992" t="str">
        <v>UH3DT817CU217</v>
      </c>
    </row>
    <row r="993" spans="16:16" x14ac:dyDescent="0.25">
      <c r="P993" t="str">
        <v>UH3DT817GU210</v>
      </c>
    </row>
    <row r="994" spans="16:16" x14ac:dyDescent="0.25">
      <c r="P994" t="str">
        <v>UH3DT817GU310</v>
      </c>
    </row>
    <row r="995" spans="16:16" x14ac:dyDescent="0.25">
      <c r="P995" t="str">
        <v>UH3DT817GU317</v>
      </c>
    </row>
    <row r="996" spans="16:16" x14ac:dyDescent="0.25">
      <c r="P996" t="str">
        <v>UH3DT825CU210</v>
      </c>
    </row>
    <row r="997" spans="16:16" x14ac:dyDescent="0.25">
      <c r="P997" t="str">
        <v>UH3DT832CU210</v>
      </c>
    </row>
    <row r="998" spans="16:16" x14ac:dyDescent="0.25">
      <c r="P998" t="str">
        <v>UH3DT832CU217</v>
      </c>
    </row>
    <row r="999" spans="16:16" x14ac:dyDescent="0.25">
      <c r="P999" t="str">
        <v>UH3DT832GU110</v>
      </c>
    </row>
    <row r="1000" spans="16:16" x14ac:dyDescent="0.25">
      <c r="P1000" t="str">
        <v>UH3DT832GU210</v>
      </c>
    </row>
    <row r="1001" spans="16:16" x14ac:dyDescent="0.25">
      <c r="P1001" t="str">
        <v>UH3DT832GU310</v>
      </c>
    </row>
    <row r="1002" spans="16:16" x14ac:dyDescent="0.25">
      <c r="P1002" t="str">
        <v>UH3DT832GU317</v>
      </c>
    </row>
    <row r="1003" spans="16:16" x14ac:dyDescent="0.25">
      <c r="P1003" t="str">
        <v>UHL3-T432-120-1S</v>
      </c>
    </row>
  </sheetData>
  <pageMargins left="0.7" right="0.7" top="0.75" bottom="0.75" header="0.3" footer="0.3"/>
  <pageSetup orientation="portrait" r:id="rId1"/>
  <legacyDrawing r:id="rId2"/>
  <tableParts count="6">
    <tablePart r:id="rId3"/>
    <tablePart r:id="rId4"/>
    <tablePart r:id="rId5"/>
    <tablePart r:id="rId6"/>
    <tablePart r:id="rId7"/>
    <tablePart r:id="rId8"/>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8F717-3FDE-4727-9106-17E776089C33}">
  <sheetPr codeName="Sheet8"/>
  <dimension ref="A1:C10"/>
  <sheetViews>
    <sheetView topLeftCell="A7" zoomScaleNormal="100" workbookViewId="0">
      <selection activeCell="C10" sqref="C10"/>
    </sheetView>
  </sheetViews>
  <sheetFormatPr defaultRowHeight="15" x14ac:dyDescent="0.25"/>
  <cols>
    <col min="1" max="1" width="9.140625" style="64"/>
    <col min="2" max="2" width="10.7109375" style="64" bestFit="1" customWidth="1"/>
    <col min="3" max="3" width="95.7109375" customWidth="1"/>
  </cols>
  <sheetData>
    <row r="1" spans="1:3" x14ac:dyDescent="0.25">
      <c r="A1" s="65" t="s">
        <v>1496</v>
      </c>
      <c r="B1" s="65" t="s">
        <v>1497</v>
      </c>
      <c r="C1" s="66" t="s">
        <v>1498</v>
      </c>
    </row>
    <row r="2" spans="1:3" x14ac:dyDescent="0.25">
      <c r="A2" s="65" t="s">
        <v>113</v>
      </c>
      <c r="B2" s="67">
        <v>44958</v>
      </c>
      <c r="C2" s="66" t="s">
        <v>1499</v>
      </c>
    </row>
    <row r="3" spans="1:3" x14ac:dyDescent="0.25">
      <c r="A3" s="65" t="s">
        <v>602</v>
      </c>
      <c r="B3" s="67">
        <v>44986</v>
      </c>
      <c r="C3" s="66" t="s">
        <v>1500</v>
      </c>
    </row>
    <row r="4" spans="1:3" ht="120" x14ac:dyDescent="0.25">
      <c r="A4" s="65" t="s">
        <v>1501</v>
      </c>
      <c r="B4" s="67">
        <v>45017</v>
      </c>
      <c r="C4" s="68" t="s">
        <v>1502</v>
      </c>
    </row>
    <row r="5" spans="1:3" x14ac:dyDescent="0.25">
      <c r="A5" s="65" t="s">
        <v>144</v>
      </c>
      <c r="B5" s="67">
        <v>45017</v>
      </c>
      <c r="C5" s="66" t="s">
        <v>1503</v>
      </c>
    </row>
    <row r="6" spans="1:3" ht="90" x14ac:dyDescent="0.25">
      <c r="A6" s="65" t="s">
        <v>217</v>
      </c>
      <c r="B6" s="67">
        <v>45108</v>
      </c>
      <c r="C6" s="69" t="s">
        <v>1505</v>
      </c>
    </row>
    <row r="7" spans="1:3" ht="120" x14ac:dyDescent="0.25">
      <c r="A7" s="65" t="s">
        <v>1506</v>
      </c>
      <c r="B7" s="77">
        <v>45161</v>
      </c>
      <c r="C7" s="69" t="s">
        <v>1590</v>
      </c>
    </row>
    <row r="8" spans="1:3" ht="105" x14ac:dyDescent="0.25">
      <c r="A8" s="65" t="s">
        <v>320</v>
      </c>
      <c r="B8" s="76">
        <v>45273</v>
      </c>
      <c r="C8" s="69" t="s">
        <v>1659</v>
      </c>
    </row>
    <row r="9" spans="1:3" ht="195" x14ac:dyDescent="0.25">
      <c r="A9" s="68" t="s">
        <v>2241</v>
      </c>
      <c r="B9" s="76">
        <v>45324</v>
      </c>
      <c r="C9" s="69" t="s">
        <v>2314</v>
      </c>
    </row>
    <row r="10" spans="1:3" x14ac:dyDescent="0.25">
      <c r="A10" s="64" t="s">
        <v>2238</v>
      </c>
      <c r="B10" s="64" t="s">
        <v>2239</v>
      </c>
      <c r="C10" s="85" t="s">
        <v>2240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42861-FDD9-42E7-B9D9-6155BCB0F228}">
  <sheetPr codeName="Sheet7">
    <tabColor theme="5"/>
  </sheetPr>
  <dimension ref="A1:F44"/>
  <sheetViews>
    <sheetView tabSelected="1" zoomScaleNormal="100" zoomScalePageLayoutView="70" workbookViewId="0">
      <selection activeCell="I13" sqref="I13"/>
    </sheetView>
  </sheetViews>
  <sheetFormatPr defaultRowHeight="15" x14ac:dyDescent="0.25"/>
  <cols>
    <col min="1" max="1" width="5.7109375" style="98" customWidth="1"/>
    <col min="2" max="2" width="1" style="98" customWidth="1"/>
    <col min="3" max="3" width="21.140625" style="98" customWidth="1"/>
    <col min="4" max="4" width="14.28515625" style="98" customWidth="1"/>
    <col min="5" max="5" width="35.7109375" style="98" customWidth="1"/>
    <col min="6" max="6" width="37.42578125" style="98" bestFit="1" customWidth="1"/>
    <col min="7" max="16384" width="9.140625" style="99"/>
  </cols>
  <sheetData>
    <row r="1" spans="1:6" ht="33" customHeight="1" x14ac:dyDescent="0.25">
      <c r="A1" s="184" t="s">
        <v>0</v>
      </c>
      <c r="B1" s="184"/>
      <c r="C1" s="184"/>
      <c r="D1" s="184"/>
      <c r="E1" s="184"/>
    </row>
    <row r="3" spans="1:6" ht="17.25" customHeight="1" x14ac:dyDescent="0.25">
      <c r="A3" s="185" t="s">
        <v>5</v>
      </c>
      <c r="B3" s="185"/>
      <c r="C3" s="185"/>
      <c r="D3" s="185"/>
      <c r="E3" s="185"/>
    </row>
    <row r="4" spans="1:6" ht="15.75" customHeight="1" x14ac:dyDescent="0.25">
      <c r="F4" s="92" t="str">
        <f>IF(NOT(ValidModel),"Select a valid model number from the list","")</f>
        <v/>
      </c>
    </row>
    <row r="5" spans="1:6" ht="15.75" customHeight="1" x14ac:dyDescent="0.25">
      <c r="A5" s="100" t="s">
        <v>6</v>
      </c>
      <c r="B5" s="100"/>
      <c r="C5" s="100"/>
      <c r="D5" s="105" t="str">
        <f>IF(ValidModel,IF(_xlfn.IFNA(VLOOKUP(Ballast_Model,Master_Reference[],MATCH("Is Obsolete?",Master_Reference[#Headers],0),FALSE),"")=TRUE,"OBSOLETE","OBSOLETE DECEMBER 2024"),"")</f>
        <v>OBSOLETE</v>
      </c>
      <c r="F5" s="126" t="str">
        <f>_xlfn.IFNA(IF(IsInternationalBallast,"NON-US BALLAST",""),"")</f>
        <v/>
      </c>
    </row>
    <row r="6" spans="1:6" ht="15.75" customHeight="1" x14ac:dyDescent="0.25">
      <c r="C6" s="186" t="s">
        <v>7</v>
      </c>
      <c r="D6" s="187"/>
      <c r="E6" s="106" t="s">
        <v>8</v>
      </c>
      <c r="F6" s="19" t="str">
        <f>_xlfn.IFNA(VLOOKUP(Ballast_Model,Master_Reference[],MATCH("Lamp Type",Master_Reference[#Headers],0),FALSE),"")</f>
        <v>T4</v>
      </c>
    </row>
    <row r="7" spans="1:6" x14ac:dyDescent="0.25">
      <c r="C7" s="107" t="s">
        <v>9</v>
      </c>
      <c r="D7" s="21" t="str">
        <f>_xlfn.IFNA(IF(VLOOKUP(Ballast_Model,Master_Reference[],MATCH("Control 3W",Master_Reference[#Headers],0),FALSE),"Yes","No"),"")</f>
        <v>Yes</v>
      </c>
      <c r="E7" s="106" t="s">
        <v>10</v>
      </c>
      <c r="F7" s="19" t="str">
        <f>_xlfn.IFNA(VLOOKUP(Ballast_Model,Master_Reference[],MATCH("Lamp Length",Master_Reference[#Headers],0),FALSE),"")</f>
        <v>CFL</v>
      </c>
    </row>
    <row r="8" spans="1:6" x14ac:dyDescent="0.25">
      <c r="C8" s="107" t="s">
        <v>11</v>
      </c>
      <c r="D8" s="21" t="str">
        <f>_xlfn.IFNA(IF(VLOOKUP(Ballast_Model,Master_Reference[],MATCH("Control Eco",Master_Reference[#Headers],0),FALSE),"Yes","No"),"")</f>
        <v>Yes</v>
      </c>
      <c r="E8" s="106" t="s">
        <v>12</v>
      </c>
      <c r="F8" s="20" t="str">
        <f>_xlfn.IFNA(VLOOKUP(Ballast_Model,Master_Reference[],MATCH("Lamp Wattage",Master_Reference[#Headers],0),FALSE),"")</f>
        <v>MW</v>
      </c>
    </row>
    <row r="9" spans="1:6" x14ac:dyDescent="0.25">
      <c r="C9" s="107" t="s">
        <v>13</v>
      </c>
      <c r="D9" s="21" t="str">
        <f>IF(ISNA(VLOOKUP(Ballast_Model,Master_Reference[],MATCH("Lamp Type",Master_Reference[#Headers],0),FALSE)),"",IF(AND(Control_3W="No",Control_Eco="No"),"Yes","No"))</f>
        <v>No</v>
      </c>
      <c r="E9" s="106" t="s">
        <v>14</v>
      </c>
      <c r="F9" s="19">
        <f>_xlfn.IFNA(VLOOKUP(Ballast_Model,Master_Reference[],MATCH("Lamp Qty",Master_Reference[#Headers],0),FALSE),"")</f>
        <v>2</v>
      </c>
    </row>
    <row r="10" spans="1:6" x14ac:dyDescent="0.25">
      <c r="C10" s="127"/>
      <c r="D10" s="88"/>
      <c r="E10" s="128"/>
      <c r="F10" s="89"/>
    </row>
    <row r="11" spans="1:6" ht="15.75" x14ac:dyDescent="0.25">
      <c r="A11" s="100" t="s">
        <v>2267</v>
      </c>
    </row>
    <row r="12" spans="1:6" x14ac:dyDescent="0.25">
      <c r="C12" s="106" t="s">
        <v>1843</v>
      </c>
      <c r="D12" s="121">
        <v>3500</v>
      </c>
      <c r="E12" s="106" t="s">
        <v>3397</v>
      </c>
      <c r="F12" s="123" t="s">
        <v>2307</v>
      </c>
    </row>
    <row r="13" spans="1:6" x14ac:dyDescent="0.25">
      <c r="B13" s="109"/>
      <c r="C13" s="106" t="s">
        <v>1846</v>
      </c>
      <c r="D13" s="122" t="s">
        <v>1405</v>
      </c>
      <c r="E13" s="106" t="s">
        <v>3398</v>
      </c>
      <c r="F13" s="124">
        <v>26</v>
      </c>
    </row>
    <row r="14" spans="1:6" hidden="1" x14ac:dyDescent="0.25">
      <c r="B14" s="110"/>
      <c r="C14" s="111" t="s">
        <v>3396</v>
      </c>
      <c r="D14" s="168" t="b">
        <v>0</v>
      </c>
      <c r="E14" s="112" t="s">
        <v>1844</v>
      </c>
      <c r="F14" s="167" t="s">
        <v>2313</v>
      </c>
    </row>
    <row r="15" spans="1:6" ht="6.75" customHeight="1" thickBot="1" x14ac:dyDescent="0.3">
      <c r="B15" s="110"/>
      <c r="C15" s="165"/>
      <c r="D15" s="169"/>
      <c r="E15" s="128"/>
      <c r="F15" s="211"/>
    </row>
    <row r="16" spans="1:6" s="115" customFormat="1" ht="18.75" thickBot="1" x14ac:dyDescent="0.3">
      <c r="A16" s="103"/>
      <c r="B16" s="103"/>
      <c r="C16" s="103"/>
      <c r="D16" s="163" t="s">
        <v>1845</v>
      </c>
      <c r="E16" s="164" t="str">
        <f>_xlfn.IFNA(IF(LEN(RecommendedModel)&gt;3,RecommendedModel,NA()),"NONE AVAILABLE")</f>
        <v>ELDVCF-2C35-12</v>
      </c>
      <c r="F16" s="114" t="str">
        <f>_xlfn.IFNA(IF(NOT(NoMatches),IF(PackagingOption="Case",CaseQty&amp;" Kits per Case",""),""),"")</f>
        <v>12 Kits per Case</v>
      </c>
    </row>
    <row r="17" spans="1:6" x14ac:dyDescent="0.25">
      <c r="E17" s="189" t="str">
        <f>IF(ValidModel,IF(AND(SensorOnBallast,HasMultipleControl,ControlType="3-Wire"),"Sensors on ballast not supported with 3-wire control",""),"")</f>
        <v/>
      </c>
      <c r="F17" s="189"/>
    </row>
    <row r="18" spans="1:6" ht="15.75" x14ac:dyDescent="0.25">
      <c r="A18" s="182" t="s">
        <v>2279</v>
      </c>
      <c r="B18" s="182"/>
      <c r="C18" s="182"/>
      <c r="D18" s="182"/>
      <c r="E18" s="182"/>
      <c r="F18" s="182"/>
    </row>
    <row r="19" spans="1:6" x14ac:dyDescent="0.25">
      <c r="A19" s="188"/>
      <c r="B19" s="188"/>
      <c r="C19" s="188"/>
      <c r="D19" s="98" t="s">
        <v>15</v>
      </c>
      <c r="E19" s="25" t="s">
        <v>16</v>
      </c>
      <c r="F19" s="25" t="s">
        <v>17</v>
      </c>
    </row>
    <row r="20" spans="1:6" x14ac:dyDescent="0.25">
      <c r="D20" s="116" t="s">
        <v>18</v>
      </c>
      <c r="E20" s="25" t="str">
        <f>_xlfn.IFNA(SUBSTITUTE(VLOOKUP(SUBSTITUTE(SUBSTITUTE(SUBSTITUTE(VLOOKUP(Ballast_Model,Master_Reference[],MATCH("EcoSystem C-Flex Kit Base",Master_Reference[#Headers],0),FALSE),"xx",LEFT(Lutron_Models19[[#This Row],[CCT]],2)),"ww",CFLWattage),"m",LEFT(CFLMounting),1),Lutron_CFlex_Lookup[],MATCH("Lutron Kit PN"&amp;IF(SensorOnBallast," with BMF",""),Lutron_CFlex_Lookup[#Headers],0),FALSE),"q",IF(PackagingOption="Individual",1,CaseQty)),"N/A")</f>
        <v>ELDVCF-2C30-12</v>
      </c>
      <c r="F20" s="25" t="str">
        <f>_xlfn.IFNA(IF(SensorOnBallast,NA(),SUBSTITUTE(VLOOKUP(SUBSTITUTE(SUBSTITUTE(SUBSTITUTE(VLOOKUP(Ballast_Model,Master_Reference[],MATCH("3-Wire C-Flex Kit Base",Master_Reference[#Headers],0),FALSE),"xx",LEFT(Lutron_Models19[[#This Row],[CCT]],2)),"ww",CFLWattage),"m",LEFT(CFLMounting),1),Lutron_CFlex_Lookup[],MATCH("Lutron Kit PN",Lutron_CFlex_Lookup[#Headers],0),FALSE),"q",IF(PackagingOption="Individual",1,CaseQty))),"N/A")</f>
        <v>3LDVCF-2C30-12</v>
      </c>
    </row>
    <row r="21" spans="1:6" x14ac:dyDescent="0.25">
      <c r="D21" s="98" t="s">
        <v>19</v>
      </c>
      <c r="E21" s="25" t="str">
        <f>_xlfn.IFNA(SUBSTITUTE(VLOOKUP(SUBSTITUTE(SUBSTITUTE(SUBSTITUTE(VLOOKUP(Ballast_Model,Master_Reference[],MATCH("EcoSystem C-Flex Kit Base",Master_Reference[#Headers],0),FALSE),"xx",LEFT(Lutron_Models19[[#This Row],[CCT]],2)),"ww",CFLWattage),"m",LEFT(CFLMounting),1),Lutron_CFlex_Lookup[],MATCH("Lutron Kit PN"&amp;IF(SensorOnBallast," with BMF",""),Lutron_CFlex_Lookup[#Headers],0),FALSE),"q",IF(PackagingOption="Individual",1,CaseQty)),"N/A")</f>
        <v>ELDVCF-2C35-12</v>
      </c>
      <c r="F21" s="25" t="str">
        <f>_xlfn.IFNA(IF(SensorOnBallast,NA(),SUBSTITUTE(VLOOKUP(SUBSTITUTE(SUBSTITUTE(SUBSTITUTE(VLOOKUP(Ballast_Model,Master_Reference[],MATCH("3-Wire C-Flex Kit Base",Master_Reference[#Headers],0),FALSE),"xx",LEFT(Lutron_Models19[[#This Row],[CCT]],2)),"ww",CFLWattage),"m",LEFT(CFLMounting),1),Lutron_CFlex_Lookup[],MATCH("Lutron Kit PN",Lutron_CFlex_Lookup[#Headers],0),FALSE),"q",IF(PackagingOption="Individual",1,CaseQty))),"N/A")</f>
        <v>3LDVCF-2C35-12</v>
      </c>
    </row>
    <row r="22" spans="1:6" x14ac:dyDescent="0.25">
      <c r="D22" s="117" t="s">
        <v>20</v>
      </c>
      <c r="E22" s="25" t="str">
        <f>_xlfn.IFNA(SUBSTITUTE(VLOOKUP(SUBSTITUTE(SUBSTITUTE(SUBSTITUTE(VLOOKUP(Ballast_Model,Master_Reference[],MATCH("EcoSystem C-Flex Kit Base",Master_Reference[#Headers],0),FALSE),"xx",LEFT(Lutron_Models19[[#This Row],[CCT]],2)),"ww",CFLWattage),"m",LEFT(CFLMounting),1),Lutron_CFlex_Lookup[],MATCH("Lutron Kit PN"&amp;IF(SensorOnBallast," with BMF",""),Lutron_CFlex_Lookup[#Headers],0),FALSE),"q",IF(PackagingOption="Individual",1,CaseQty)),"N/A")</f>
        <v>ELDVCF-2C40-12</v>
      </c>
      <c r="F22" s="25" t="str">
        <f>_xlfn.IFNA(IF(SensorOnBallast,NA(),SUBSTITUTE(VLOOKUP(SUBSTITUTE(SUBSTITUTE(SUBSTITUTE(VLOOKUP(Ballast_Model,Master_Reference[],MATCH("3-Wire C-Flex Kit Base",Master_Reference[#Headers],0),FALSE),"xx",LEFT(Lutron_Models19[[#This Row],[CCT]],2)),"ww",CFLWattage),"m",LEFT(CFLMounting),1),Lutron_CFlex_Lookup[],MATCH("Lutron Kit PN",Lutron_CFlex_Lookup[#Headers],0),FALSE),"q",IF(PackagingOption="Individual",1,CaseQty))),"N/A")</f>
        <v>3LDVCF-2C40-12</v>
      </c>
    </row>
    <row r="23" spans="1:6" x14ac:dyDescent="0.25">
      <c r="D23" s="118" t="s">
        <v>2244</v>
      </c>
      <c r="E23" s="25" t="str">
        <f>_xlfn.IFNA(SUBSTITUTE(VLOOKUP(SUBSTITUTE(SUBSTITUTE(SUBSTITUTE(VLOOKUP(Ballast_Model,Master_Reference[],MATCH("EcoSystem C-Flex Kit Base",Master_Reference[#Headers],0),FALSE),"xx",LEFT(Lutron_Models19[[#This Row],[CCT]],2)),"ww",CFLWattage),"m",LEFT(CFLMounting),1),Lutron_CFlex_Lookup[],MATCH("Lutron Kit PN"&amp;IF(SensorOnBallast," with BMF",""),Lutron_CFlex_Lookup[#Headers],0),FALSE),"q",IF(PackagingOption="Individual",1,CaseQty)),"N/A")</f>
        <v>N/A</v>
      </c>
      <c r="F23" s="25" t="str">
        <f>_xlfn.IFNA(IF(SensorOnBallast,NA(),SUBSTITUTE(VLOOKUP(SUBSTITUTE(SUBSTITUTE(SUBSTITUTE(VLOOKUP(Ballast_Model,Master_Reference[],MATCH("3-Wire C-Flex Kit Base",Master_Reference[#Headers],0),FALSE),"xx",LEFT(Lutron_Models19[[#This Row],[CCT]],2)),"ww",CFLWattage),"m",LEFT(CFLMounting),1),Lutron_CFlex_Lookup[],MATCH("Lutron Kit PN",Lutron_CFlex_Lookup[#Headers],0),FALSE),"q",IF(PackagingOption="Individual",1,CaseQty))),"N/A")</f>
        <v>N/A</v>
      </c>
    </row>
    <row r="24" spans="1:6" x14ac:dyDescent="0.25">
      <c r="E24" s="183" t="str">
        <f>IF(EXACT(_xlfn.CONCAT(Lutron_Models19[[EcoSystem Control]:[3-Wire Control]]),UPPER(_xlfn.CONCAT(Lutron_Models19[[EcoSystem Control]:[3-Wire Control]]))),"","Note: Model numbers above are incomplete! See important Notes below")</f>
        <v/>
      </c>
      <c r="F24" s="183"/>
    </row>
    <row r="25" spans="1:6" ht="44.25" customHeight="1" x14ac:dyDescent="0.25">
      <c r="A25" s="190" t="s">
        <v>21</v>
      </c>
      <c r="B25" s="190"/>
      <c r="C25" s="190"/>
      <c r="D25" s="190"/>
      <c r="E25" s="190"/>
      <c r="F25" s="190"/>
    </row>
    <row r="27" spans="1:6" ht="15.75" x14ac:dyDescent="0.25">
      <c r="A27" s="191" t="s">
        <v>28</v>
      </c>
      <c r="B27" s="191"/>
      <c r="C27" s="191"/>
      <c r="D27" s="191"/>
      <c r="E27" s="191"/>
      <c r="F27" s="191"/>
    </row>
    <row r="28" spans="1:6" ht="43.5" customHeight="1" x14ac:dyDescent="0.25">
      <c r="A28" s="22">
        <f>IF(ISTEXT(B28),1,"")</f>
        <v>1</v>
      </c>
      <c r="B28" s="23" t="str" cm="1">
        <f t="array" ref="B28:B30">_xlfn._xlws.FILTER(Table_Notes[Note Text],TRUE=Table_Notes[Applies])</f>
        <v>The selected ballast is capable of controlling 26W or 32W bulbs.  Based on the installed bulbs, choose the appropriate wattage in the "CFL Wattage" drop-down to properly match the original light output.  Note that 2-lamp, 32W or 42W, Vertical kits are not available.</v>
      </c>
      <c r="C28" s="181" t="str">
        <f t="shared" ref="C28:C33" si="0">IF(ISTEXT(B28),B28,"")</f>
        <v>The selected ballast is capable of controlling 26W or 32W bulbs.  Based on the installed bulbs, choose the appropriate wattage in the "CFL Wattage" drop-down to properly match the original light output.  Note that 2-lamp, 32W or 42W, Vertical kits are not available.</v>
      </c>
      <c r="D28" s="181"/>
      <c r="E28" s="181"/>
      <c r="F28" s="181"/>
    </row>
    <row r="29" spans="1:6" ht="43.5" customHeight="1" x14ac:dyDescent="0.25">
      <c r="A29" s="22">
        <f>IF(ISTEXT(B29),A28+1,"")</f>
        <v>2</v>
      </c>
      <c r="B29" s="23" t="str">
        <v>The fixture where this ballast is installed may have lamps mounted vertically or horizontally.  Ensure the proper "CFL Mounting Direction" option is selected.  A mockup is suggested to confirm proper fit.</v>
      </c>
      <c r="C29" s="181" t="str">
        <f t="shared" si="0"/>
        <v>The fixture where this ballast is installed may have lamps mounted vertically or horizontally.  Ensure the proper "CFL Mounting Direction" option is selected.  A mockup is suggested to confirm proper fit.</v>
      </c>
      <c r="D29" s="181"/>
      <c r="E29" s="181"/>
      <c r="F29" s="181"/>
    </row>
    <row r="30" spans="1:6" ht="43.5" customHeight="1" x14ac:dyDescent="0.25">
      <c r="A30" s="22">
        <f>IF(ISTEXT(B30),A29+1,"")</f>
        <v>3</v>
      </c>
      <c r="B30" s="23" t="str">
        <v>This ballast is capable of different control types.  Choose the proper type based on the "Control Type" drop-down based on the control type being used on the job.</v>
      </c>
      <c r="C30" s="181" t="str">
        <f t="shared" si="0"/>
        <v>This ballast is capable of different control types.  Choose the proper type based on the "Control Type" drop-down based on the control type being used on the job.</v>
      </c>
      <c r="D30" s="181"/>
      <c r="E30" s="181"/>
      <c r="F30" s="181"/>
    </row>
    <row r="31" spans="1:6" ht="43.5" customHeight="1" x14ac:dyDescent="0.25">
      <c r="A31" s="22" t="str">
        <f>IF(ISTEXT(B31),A30+1,"")</f>
        <v/>
      </c>
      <c r="B31" s="23"/>
      <c r="C31" s="181" t="str">
        <f t="shared" si="0"/>
        <v/>
      </c>
      <c r="D31" s="181"/>
      <c r="E31" s="181"/>
      <c r="F31" s="181"/>
    </row>
    <row r="32" spans="1:6" ht="43.5" customHeight="1" x14ac:dyDescent="0.25">
      <c r="A32" s="22" t="str">
        <f>IF(ISTEXT(B32),A31+1,"")</f>
        <v/>
      </c>
      <c r="B32" s="23"/>
      <c r="C32" s="181" t="str">
        <f t="shared" si="0"/>
        <v/>
      </c>
      <c r="D32" s="181"/>
      <c r="E32" s="181"/>
      <c r="F32" s="181"/>
    </row>
    <row r="33" spans="1:6" ht="43.5" customHeight="1" x14ac:dyDescent="0.25">
      <c r="A33" s="22" t="str">
        <f>IF(ISTEXT(B33),A32+1,"")</f>
        <v/>
      </c>
      <c r="B33" s="23"/>
      <c r="C33" s="181" t="str">
        <f t="shared" si="0"/>
        <v/>
      </c>
      <c r="D33" s="181"/>
      <c r="E33" s="181"/>
      <c r="F33" s="181"/>
    </row>
    <row r="35" spans="1:6" ht="15.75" x14ac:dyDescent="0.25">
      <c r="A35" s="182" t="s">
        <v>23</v>
      </c>
      <c r="B35" s="182"/>
      <c r="C35" s="182"/>
      <c r="D35" s="182"/>
      <c r="E35" s="182"/>
      <c r="F35" s="182"/>
    </row>
    <row r="36" spans="1:6" hidden="1" x14ac:dyDescent="0.25">
      <c r="B36" s="180" t="s">
        <v>24</v>
      </c>
      <c r="C36" s="180"/>
      <c r="D36" s="180"/>
      <c r="E36" s="180"/>
    </row>
    <row r="37" spans="1:6" x14ac:dyDescent="0.25">
      <c r="B37" s="180" t="s">
        <v>1589</v>
      </c>
      <c r="C37" s="180"/>
      <c r="D37" s="180"/>
      <c r="E37" s="180"/>
      <c r="F37" s="180"/>
    </row>
    <row r="38" spans="1:6" x14ac:dyDescent="0.25">
      <c r="B38" s="180" t="s">
        <v>1588</v>
      </c>
      <c r="C38" s="180"/>
      <c r="D38" s="180"/>
      <c r="E38" s="180"/>
      <c r="F38" s="180"/>
    </row>
    <row r="39" spans="1:6" x14ac:dyDescent="0.25">
      <c r="B39" s="180" t="s">
        <v>25</v>
      </c>
      <c r="C39" s="180"/>
      <c r="D39" s="180"/>
      <c r="E39" s="180"/>
      <c r="F39" s="180"/>
    </row>
    <row r="40" spans="1:6" x14ac:dyDescent="0.25">
      <c r="B40" s="180" t="s">
        <v>26</v>
      </c>
      <c r="C40" s="180"/>
      <c r="D40" s="180"/>
      <c r="E40" s="180"/>
      <c r="F40" s="180"/>
    </row>
    <row r="41" spans="1:6" x14ac:dyDescent="0.25">
      <c r="B41" s="180" t="s">
        <v>27</v>
      </c>
      <c r="C41" s="180"/>
      <c r="D41" s="180"/>
      <c r="E41" s="180"/>
      <c r="F41" s="180"/>
    </row>
    <row r="42" spans="1:6" x14ac:dyDescent="0.25">
      <c r="B42" s="180" t="s">
        <v>3393</v>
      </c>
      <c r="C42" s="180"/>
      <c r="D42" s="180"/>
      <c r="E42" s="180"/>
      <c r="F42" s="180"/>
    </row>
    <row r="44" spans="1:6" x14ac:dyDescent="0.25">
      <c r="A44" s="120" t="s">
        <v>1664</v>
      </c>
    </row>
  </sheetData>
  <sheetProtection algorithmName="SHA-512" hashValue="qBORwQncXlNkyVvCFwR4C8whxy0LRzfLbXbLDHqsPgvW6ls6M6EBPS3Xdei258klKdgn2s8pSPzguwLwv+jvdA==" saltValue="nDBPkSp6NdBQoWmOAptnZg==" spinCount="100000" sheet="1" objects="1" scenarios="1"/>
  <mergeCells count="23">
    <mergeCell ref="B42:F42"/>
    <mergeCell ref="E24:F24"/>
    <mergeCell ref="A1:E1"/>
    <mergeCell ref="A3:E3"/>
    <mergeCell ref="C6:D6"/>
    <mergeCell ref="A18:F18"/>
    <mergeCell ref="A19:C19"/>
    <mergeCell ref="E17:F17"/>
    <mergeCell ref="B36:E36"/>
    <mergeCell ref="A25:F25"/>
    <mergeCell ref="A27:F27"/>
    <mergeCell ref="C28:F28"/>
    <mergeCell ref="C29:F29"/>
    <mergeCell ref="C30:F30"/>
    <mergeCell ref="C31:F31"/>
    <mergeCell ref="C32:F32"/>
    <mergeCell ref="B40:F40"/>
    <mergeCell ref="B41:F41"/>
    <mergeCell ref="C33:F33"/>
    <mergeCell ref="A35:F35"/>
    <mergeCell ref="B37:F37"/>
    <mergeCell ref="B38:F38"/>
    <mergeCell ref="B39:F39"/>
  </mergeCells>
  <conditionalFormatting sqref="D12">
    <cfRule type="expression" dxfId="24" priority="1" stopIfTrue="1">
      <formula>NoMatches</formula>
    </cfRule>
    <cfRule type="expression" dxfId="23" priority="6">
      <formula>AND($F$7="CFL",$D$12=5000)</formula>
    </cfRule>
  </conditionalFormatting>
  <conditionalFormatting sqref="D13">
    <cfRule type="expression" dxfId="22" priority="8">
      <formula>NOT(HasMultipleControl)</formula>
    </cfRule>
  </conditionalFormatting>
  <conditionalFormatting sqref="D13:D14">
    <cfRule type="expression" dxfId="21" priority="3">
      <formula>NOT($E$17="")</formula>
    </cfRule>
  </conditionalFormatting>
  <conditionalFormatting sqref="D14">
    <cfRule type="expression" dxfId="20" priority="10">
      <formula>NOT(HasSensorSupport)</formula>
    </cfRule>
  </conditionalFormatting>
  <conditionalFormatting sqref="F12">
    <cfRule type="expression" dxfId="19" priority="7">
      <formula>OR(NoMatches,NOT(HasCFLMounting))</formula>
    </cfRule>
  </conditionalFormatting>
  <conditionalFormatting sqref="F13">
    <cfRule type="expression" dxfId="18" priority="9">
      <formula>NOT(HasMultiWattCFL)</formula>
    </cfRule>
  </conditionalFormatting>
  <conditionalFormatting sqref="F14">
    <cfRule type="expression" dxfId="17" priority="5">
      <formula>NoMatches</formula>
    </cfRule>
  </conditionalFormatting>
  <dataValidations count="6">
    <dataValidation type="list" allowBlank="1" showInputMessage="1" showErrorMessage="1" sqref="D12" xr:uid="{B30995A1-53B1-4B95-BE96-8F82CF34C214}">
      <formula1>"3000,3500,4000,5000"</formula1>
    </dataValidation>
    <dataValidation type="list" allowBlank="1" showInputMessage="1" showErrorMessage="1" sqref="D13" xr:uid="{AA3CFF6A-6786-414A-B717-A0734099A652}">
      <formula1>"3-Wire,EcoSystem"</formula1>
    </dataValidation>
    <dataValidation type="list" allowBlank="1" showInputMessage="1" showErrorMessage="1" sqref="D14" xr:uid="{A878A6E9-D544-486C-B423-F2721AA46DC4}">
      <formula1>"TRUE,FALSE"</formula1>
    </dataValidation>
    <dataValidation type="list" allowBlank="1" showInputMessage="1" showErrorMessage="1" sqref="F12" xr:uid="{2CDA0FC7-2E94-444C-B9F8-B0CE8EBB01FC}">
      <formula1>"Horizontal,Vertical"</formula1>
    </dataValidation>
    <dataValidation type="list" allowBlank="1" showInputMessage="1" showErrorMessage="1" sqref="F13" xr:uid="{A1D7F56E-ABA8-4CB8-8076-3215998D3E01}">
      <formula1>"26,32"</formula1>
    </dataValidation>
    <dataValidation type="list" errorStyle="warning" showErrorMessage="1" errorTitle="Packaging Size Error" error="You  must select a valid Packaging option" sqref="F14" xr:uid="{066DDB05-6CDA-4BEB-A796-419B37359B48}">
      <formula1>"Individual,Case"</formula1>
    </dataValidation>
  </dataValidations>
  <hyperlinks>
    <hyperlink ref="B36:E36" r:id="rId1" display="Ballast Upgrade Playbook" xr:uid="{147CE998-0409-4B49-9AA0-D13BAEE41F76}"/>
    <hyperlink ref="B38" r:id="rId2" display="Retrofit spec sheet" xr:uid="{9D8B1437-3F34-4447-AE60-3303331326EC}"/>
    <hyperlink ref="B39" r:id="rId3" xr:uid="{A9F99DC4-88D4-4FD7-8A54-F43C60690C78}"/>
    <hyperlink ref="B40" r:id="rId4" xr:uid="{15D7299A-DDDB-4956-8241-B31741231BFB}"/>
    <hyperlink ref="B41" r:id="rId5" tooltip="How to upgrade a Lutron ballast with a TLED retrofit kit using C-Flex" display="https://www.youtube.com/watch?v=ir5dYeneBxk&amp;pp=ygULbHV0cm9uIHRsZWQ%3D" xr:uid="{5CEDAE51-69AE-4A55-8952-14F83D9DD065}"/>
    <hyperlink ref="B41:F41" r:id="rId6" tooltip="How to upgrade a Lutron ballast with a TLED retrofit kit using C-Flex" display="How to upgrade a Lutron ballast with a TLED retrofit kit using C-Flex" xr:uid="{2F311644-D128-4E1D-A736-5B5110934259}"/>
    <hyperlink ref="B37" r:id="rId7" display="Lutron Retrofit Kit Spec Sheet (on myLutron)" xr:uid="{CA25E32E-B327-4B0E-A3B2-1DC876EA5FE5}"/>
    <hyperlink ref="B37:F37" r:id="rId8" display="Lutron Retrofit Kit Spec Sheet (on myLutron)" xr:uid="{486F2B5C-D6EC-40A6-81AC-6B4A9DF1A323}"/>
    <hyperlink ref="B42" r:id="rId9" display="Identifying EcoSystem vs. 3-Wire Load Types" xr:uid="{E7635503-A5E6-4239-A2F2-B0F53285DE4E}"/>
  </hyperlinks>
  <pageMargins left="0.7" right="0.7" top="0.75" bottom="0.75" header="0.3" footer="0.3"/>
  <pageSetup scale="78" orientation="portrait" r:id="rId10"/>
  <drawing r:id="rId11"/>
  <legacyDrawing r:id="rId12"/>
  <controls>
    <mc:AlternateContent xmlns:mc="http://schemas.openxmlformats.org/markup-compatibility/2006">
      <mc:Choice Requires="x14">
        <control shapeId="24577" r:id="rId13" name="ComboBox1">
          <controlPr locked="0" defaultSize="0" autoLine="0" autoPict="0" linkedCell="Selected_Model" listFillRange="Helper!P2:P1016" r:id="rId14">
            <anchor moveWithCells="1">
              <from>
                <xdr:col>5</xdr:col>
                <xdr:colOff>47625</xdr:colOff>
                <xdr:row>1</xdr:row>
                <xdr:rowOff>142875</xdr:rowOff>
              </from>
              <to>
                <xdr:col>5</xdr:col>
                <xdr:colOff>2457450</xdr:colOff>
                <xdr:row>2</xdr:row>
                <xdr:rowOff>200025</xdr:rowOff>
              </to>
            </anchor>
          </controlPr>
        </control>
      </mc:Choice>
      <mc:Fallback>
        <control shapeId="24577" r:id="rId13" name="ComboBox1"/>
      </mc:Fallback>
    </mc:AlternateContent>
  </controls>
  <tableParts count="1">
    <tablePart r:id="rId15"/>
  </tableParts>
  <extLst>
    <ext xmlns:x14="http://schemas.microsoft.com/office/spreadsheetml/2009/9/main" uri="{78C0D931-6437-407d-A8EE-F0AAD7539E65}">
      <x14:conditionalFormattings>
        <x14:conditionalFormatting xmlns:xm="http://schemas.microsoft.com/office/excel/2006/main">
          <x14:cfRule type="cellIs" priority="12" operator="equal" id="{92656B93-A1DE-4901-AEC1-6A5A032E6A6E}">
            <xm:f>Helper!$B$15</xm:f>
            <x14:dxf>
              <font>
                <b/>
                <i val="0"/>
                <color rgb="FF9C0006"/>
              </font>
            </x14:dxf>
          </x14:cfRule>
          <xm:sqref>C28:F28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4D208-411A-4538-8792-7A65557AFBFB}">
  <sheetPr codeName="Sheet1"/>
  <dimension ref="A1:F41"/>
  <sheetViews>
    <sheetView zoomScale="90" zoomScaleNormal="90" zoomScalePageLayoutView="70" workbookViewId="0">
      <selection activeCell="N7" sqref="N7"/>
    </sheetView>
  </sheetViews>
  <sheetFormatPr defaultRowHeight="15" x14ac:dyDescent="0.25"/>
  <cols>
    <col min="1" max="1" width="5.7109375" style="14" customWidth="1"/>
    <col min="2" max="2" width="1" style="14" customWidth="1"/>
    <col min="3" max="3" width="16.42578125" style="14" customWidth="1"/>
    <col min="4" max="4" width="14.28515625" style="14" customWidth="1"/>
    <col min="5" max="5" width="35.7109375" style="14" customWidth="1"/>
    <col min="6" max="6" width="37.42578125" style="14" bestFit="1" customWidth="1"/>
  </cols>
  <sheetData>
    <row r="1" spans="1:6" ht="33" customHeight="1" x14ac:dyDescent="0.25">
      <c r="A1" s="195" t="s">
        <v>0</v>
      </c>
      <c r="B1" s="195"/>
      <c r="C1" s="195"/>
      <c r="D1" s="195"/>
      <c r="E1" s="195"/>
    </row>
    <row r="3" spans="1:6" ht="17.25" customHeight="1" x14ac:dyDescent="0.25">
      <c r="A3" s="196" t="s">
        <v>5</v>
      </c>
      <c r="B3" s="196"/>
      <c r="C3" s="196"/>
      <c r="D3" s="196"/>
      <c r="E3" s="196"/>
    </row>
    <row r="4" spans="1:6" ht="9" customHeight="1" x14ac:dyDescent="0.25"/>
    <row r="5" spans="1:6" ht="15.75" customHeight="1" x14ac:dyDescent="0.25">
      <c r="A5" s="27" t="s">
        <v>6</v>
      </c>
      <c r="B5" s="27"/>
      <c r="C5" s="27"/>
      <c r="D5" s="61" t="str">
        <f>IF(_xlfn.IFNA(VLOOKUP(Ballast_Model,Master_Reference[],MATCH("Is Obsolete?",Master_Reference[#Headers],0),FALSE),FALSE),"OBSOLETE","")</f>
        <v>OBSOLETE</v>
      </c>
      <c r="E5" s="73" t="str">
        <f>IF(_xlfn.IFNA(VLOOKUP(Ballast_Model,Master_Reference[],MATCH("Country",Master_Reference[#Headers],0),FALSE),"")="","","NON-US BALLAST")</f>
        <v/>
      </c>
      <c r="F5" s="74" t="str">
        <f>IF(ISNA(VLOOKUP(Ballast_Model,Master_Reference[],MATCH("Lamp Type",Master_Reference[#Headers],0),FALSE)),"Select a valid model number from the list","")</f>
        <v/>
      </c>
    </row>
    <row r="6" spans="1:6" ht="15.75" customHeight="1" x14ac:dyDescent="0.25">
      <c r="C6" s="197" t="s">
        <v>7</v>
      </c>
      <c r="D6" s="198"/>
      <c r="E6" s="17" t="s">
        <v>8</v>
      </c>
      <c r="F6" s="19" t="str">
        <f>_xlfn.IFNA(VLOOKUP(Ballast_Model,Master_Reference[],MATCH("Lamp Type",Master_Reference[#Headers],0),FALSE),"")</f>
        <v>T4</v>
      </c>
    </row>
    <row r="7" spans="1:6" x14ac:dyDescent="0.25">
      <c r="C7" s="15" t="s">
        <v>9</v>
      </c>
      <c r="D7" s="21" t="str">
        <f>_xlfn.IFNA(IF(VLOOKUP(Ballast_Model,Master_Reference[],MATCH("Control 3W",Master_Reference[#Headers],0),FALSE),"Yes","No"),"")</f>
        <v>Yes</v>
      </c>
      <c r="E7" s="17" t="s">
        <v>10</v>
      </c>
      <c r="F7" s="19" t="str">
        <f>_xlfn.IFNA(VLOOKUP(Ballast_Model,Master_Reference[],MATCH("Lamp Length",Master_Reference[#Headers],0),FALSE),"")</f>
        <v>CFL</v>
      </c>
    </row>
    <row r="8" spans="1:6" x14ac:dyDescent="0.25">
      <c r="C8" s="15" t="s">
        <v>11</v>
      </c>
      <c r="D8" s="21" t="str">
        <f>_xlfn.IFNA(IF(VLOOKUP(Ballast_Model,Master_Reference[],MATCH("Control Eco",Master_Reference[#Headers],0),FALSE),"Yes","No"),"")</f>
        <v>Yes</v>
      </c>
      <c r="E8" s="17" t="s">
        <v>12</v>
      </c>
      <c r="F8" s="20" t="str">
        <f>_xlfn.IFNA(VLOOKUP(Ballast_Model,Master_Reference[],MATCH("Lamp Wattage",Master_Reference[#Headers],0),FALSE),"")</f>
        <v>MW</v>
      </c>
    </row>
    <row r="9" spans="1:6" x14ac:dyDescent="0.25">
      <c r="C9" s="15" t="s">
        <v>13</v>
      </c>
      <c r="D9" s="21" t="str">
        <f>IF(ISNA(VLOOKUP(Ballast_Model,Master_Reference[],MATCH("Lamp Type",Master_Reference[#Headers],0),FALSE)),"",IF(AND(Control_3W="No",Control_Eco="No"),"Yes","No"))</f>
        <v>No</v>
      </c>
      <c r="E9" s="17" t="s">
        <v>14</v>
      </c>
      <c r="F9" s="19">
        <f>_xlfn.IFNA(VLOOKUP(Ballast_Model,Master_Reference[],MATCH("Lamp Qty",Master_Reference[#Headers],0),FALSE),"")</f>
        <v>2</v>
      </c>
    </row>
    <row r="11" spans="1:6" ht="15.75" x14ac:dyDescent="0.25">
      <c r="A11" s="194" t="s">
        <v>1662</v>
      </c>
      <c r="B11" s="194"/>
      <c r="C11" s="194"/>
      <c r="D11" s="194"/>
      <c r="E11" s="194"/>
      <c r="F11" s="194"/>
    </row>
    <row r="12" spans="1:6" x14ac:dyDescent="0.25">
      <c r="A12" s="193"/>
      <c r="B12" s="193"/>
      <c r="C12" s="193"/>
      <c r="D12" s="14" t="s">
        <v>15</v>
      </c>
      <c r="E12" s="16" t="s">
        <v>16</v>
      </c>
      <c r="F12" s="16" t="s">
        <v>17</v>
      </c>
    </row>
    <row r="13" spans="1:6" x14ac:dyDescent="0.25">
      <c r="D13" s="24" t="s">
        <v>18</v>
      </c>
      <c r="E13" s="25" t="str">
        <f>_xlfn.IFNA(IF(LEN(VLOOKUP(Ballast_Model,Master_Reference[],30,FALSE))&gt;3,VLOOKUP(Ballast_Model,Master_Reference[],30,FALSE),"N/A"),"N/A")</f>
        <v>RP-G24Q-2wwm-2L-8xx-E1-KN-G2</v>
      </c>
      <c r="F13" s="25" t="str">
        <f>_xlfn.IFNA(IF(LEN(VLOOKUP(Ballast_Model,Master_Reference[],33,FALSE))&gt;3,VLOOKUP(Ballast_Model,Master_Reference[],33,FALSE),"N/A"),"N/A")</f>
        <v>N/A</v>
      </c>
    </row>
    <row r="14" spans="1:6" x14ac:dyDescent="0.25">
      <c r="D14" s="14" t="s">
        <v>19</v>
      </c>
      <c r="E14" s="25" t="str">
        <f>_xlfn.IFNA(IF(LEN(VLOOKUP(Ballast_Model,Master_Reference[],31,FALSE))&gt;3,VLOOKUP(Ballast_Model,Master_Reference[],31,FALSE),"N/A"),"N/A")</f>
        <v>RP-G24Q-2wwm-2L-8xx-3W-KN-G2</v>
      </c>
      <c r="F14" s="25" t="str">
        <f>_xlfn.IFNA(IF(LEN(VLOOKUP(Ballast_Model,Master_Reference[],34,FALSE))&gt;3,VLOOKUP(Ballast_Model,Master_Reference[],34,FALSE),"N/A"),"N/A")</f>
        <v>N/A</v>
      </c>
    </row>
    <row r="15" spans="1:6" x14ac:dyDescent="0.25">
      <c r="D15" s="26" t="s">
        <v>20</v>
      </c>
      <c r="E15" s="25" t="str">
        <f>_xlfn.IFNA(IF(LEN(VLOOKUP(Ballast_Model,Master_Reference[],32,FALSE))&gt;3,VLOOKUP(Ballast_Model,Master_Reference[],32,FALSE),"N/A"),"N/A")</f>
        <v>N/A</v>
      </c>
      <c r="F15" s="25" t="str">
        <f>_xlfn.IFNA(IF(LEN(VLOOKUP(Ballast_Model,Master_Reference[],35,FALSE))&gt;3,VLOOKUP(Ballast_Model,Master_Reference[],35,FALSE),"N/A"),"N/A")</f>
        <v>N/A</v>
      </c>
    </row>
    <row r="16" spans="1:6" x14ac:dyDescent="0.25">
      <c r="E16" s="183" t="str">
        <f>IF(EXACT(_xlfn.CONCAT(Lutron_Models[[EcoSystem Control]:[3-Wire Control]]),UPPER(_xlfn.CONCAT(Lutron_Models[[EcoSystem Control]:[3-Wire Control]]))),"","Note: Model numbers above are incomplete! See important Notes below")</f>
        <v>Note: Model numbers above are incomplete! See important Notes below</v>
      </c>
      <c r="F16" s="183"/>
    </row>
    <row r="17" spans="1:6" ht="15.75" x14ac:dyDescent="0.25">
      <c r="A17" s="194" t="s">
        <v>1663</v>
      </c>
      <c r="B17" s="194"/>
      <c r="C17" s="194"/>
      <c r="D17" s="194"/>
      <c r="E17" s="194"/>
      <c r="F17" s="194"/>
    </row>
    <row r="18" spans="1:6" x14ac:dyDescent="0.25">
      <c r="D18" s="14" t="s">
        <v>15</v>
      </c>
      <c r="E18" s="16" t="s">
        <v>16</v>
      </c>
      <c r="F18" s="16" t="s">
        <v>17</v>
      </c>
    </row>
    <row r="19" spans="1:6" x14ac:dyDescent="0.25">
      <c r="D19" s="24" t="s">
        <v>18</v>
      </c>
      <c r="E19" s="25" t="str">
        <f>IF(ISTEXT(VLOOKUP(Ballast_Model,Master_Reference[],22,FALSE)),VLOOKUP(Ballast_Model,Master_Reference[],22,FALSE),"N/A")</f>
        <v>RP-G24Q-2wwm-2L-830-E1-KN-G2</v>
      </c>
      <c r="F19" s="25" t="str">
        <f>IF(ISTEXT(VLOOKUP(Ballast_Model,Master_Reference[],25,FALSE)),VLOOKUP(Ballast_Model,Master_Reference[],25,FALSE),"N/A")</f>
        <v/>
      </c>
    </row>
    <row r="20" spans="1:6" x14ac:dyDescent="0.25">
      <c r="D20" s="14" t="s">
        <v>19</v>
      </c>
      <c r="E20" s="25" t="str">
        <f>IF(ISTEXT(VLOOKUP(Ballast_Model,Master_Reference[],23,FALSE)),VLOOKUP(Ballast_Model,Master_Reference[],23,FALSE),"N/A")</f>
        <v>RP-G24Q-2wwm-2L-835-E1-KN-G2</v>
      </c>
      <c r="F20" s="25" t="str">
        <f>IF(ISTEXT(VLOOKUP(Ballast_Model,Master_Reference[],26,FALSE)),VLOOKUP(Ballast_Model,Master_Reference[],26,FALSE),"N/A")</f>
        <v>RP-G24Q-2wwm-2L-830-3W-KN-G2</v>
      </c>
    </row>
    <row r="21" spans="1:6" x14ac:dyDescent="0.25">
      <c r="D21" s="26" t="s">
        <v>20</v>
      </c>
      <c r="E21" s="25" t="str">
        <f>IF(ISTEXT(VLOOKUP(Ballast_Model,Master_Reference[],24,FALSE)),VLOOKUP(Ballast_Model,Master_Reference[],24,FALSE),"N/A")</f>
        <v>RP-G24Q-2wwm-2L-840-E1-KN-G2</v>
      </c>
      <c r="F21" s="25" t="str">
        <f>IF(ISTEXT(VLOOKUP(Ballast_Model,Master_Reference[],27,FALSE)),VLOOKUP(Ballast_Model,Master_Reference[],27,FALSE),"N/A")</f>
        <v>RP-G24Q-2wwm-2L-835-3W-KN-G2</v>
      </c>
    </row>
    <row r="22" spans="1:6" x14ac:dyDescent="0.25">
      <c r="E22" s="183" t="str">
        <f>IF(EXACT(_xlfn.CONCAT(CFLEX_Models[[EcoSystem Control]:[3-Wire Control]]),UPPER(_xlfn.CONCAT(CFLEX_Models[[EcoSystem Control]:[3-Wire Control]]))),"","Note: Model numbers above are incomplete! See important Notes below")</f>
        <v>Note: Model numbers above are incomplete! See important Notes below</v>
      </c>
      <c r="F22" s="183"/>
    </row>
    <row r="23" spans="1:6" ht="44.25" customHeight="1" x14ac:dyDescent="0.25">
      <c r="A23" s="200" t="s">
        <v>21</v>
      </c>
      <c r="B23" s="200"/>
      <c r="C23" s="200"/>
      <c r="D23" s="200"/>
      <c r="E23" s="200"/>
      <c r="F23" s="200"/>
    </row>
    <row r="25" spans="1:6" ht="15.75" x14ac:dyDescent="0.25">
      <c r="A25" s="199" t="s">
        <v>28</v>
      </c>
      <c r="B25" s="199"/>
      <c r="C25" s="199"/>
      <c r="D25" s="199"/>
      <c r="E25" s="199"/>
      <c r="F25" s="199"/>
    </row>
    <row r="26" spans="1:6" ht="43.5" customHeight="1" x14ac:dyDescent="0.25">
      <c r="A26" s="22">
        <f>IF(ISTEXT(B26),1,"")</f>
        <v>1</v>
      </c>
      <c r="B26" s="23" t="str" cm="1">
        <f t="array" ref="B26:B28">_xlfn._xlws.FILTER(Table_Notes[Note Text],TRUE=Table_Notes[Applies])</f>
        <v>The selected ballast is capable of controlling 26W or 32W bulbs.  Based on the installed bulbs, choose the appropriate wattage in the "CFL Wattage" drop-down to properly match the original light output.  Note that 2-lamp, 32W or 42W, Vertical kits are not available.</v>
      </c>
      <c r="C26" s="181" t="str">
        <f t="shared" ref="C26:C31" si="0">IF(ISTEXT(B26),B26,"")</f>
        <v>The selected ballast is capable of controlling 26W or 32W bulbs.  Based on the installed bulbs, choose the appropriate wattage in the "CFL Wattage" drop-down to properly match the original light output.  Note that 2-lamp, 32W or 42W, Vertical kits are not available.</v>
      </c>
      <c r="D26" s="181"/>
      <c r="E26" s="181"/>
      <c r="F26" s="181"/>
    </row>
    <row r="27" spans="1:6" ht="43.5" customHeight="1" x14ac:dyDescent="0.25">
      <c r="A27" s="22">
        <f>IF(ISTEXT(B27),A26+1,"")</f>
        <v>2</v>
      </c>
      <c r="B27" s="23" t="str">
        <v>The fixture where this ballast is installed may have lamps mounted vertically or horizontally.  Ensure the proper "CFL Mounting Direction" option is selected.  A mockup is suggested to confirm proper fit.</v>
      </c>
      <c r="C27" s="181" t="str">
        <f t="shared" si="0"/>
        <v>The fixture where this ballast is installed may have lamps mounted vertically or horizontally.  Ensure the proper "CFL Mounting Direction" option is selected.  A mockup is suggested to confirm proper fit.</v>
      </c>
      <c r="D27" s="181"/>
      <c r="E27" s="181"/>
      <c r="F27" s="181"/>
    </row>
    <row r="28" spans="1:6" ht="43.5" customHeight="1" x14ac:dyDescent="0.25">
      <c r="A28" s="22">
        <f>IF(ISTEXT(B28),A27+1,"")</f>
        <v>3</v>
      </c>
      <c r="B28" s="23" t="str">
        <v>This ballast is capable of different control types.  Choose the proper type based on the "Control Type" drop-down based on the control type being used on the job.</v>
      </c>
      <c r="C28" s="181" t="str">
        <f t="shared" si="0"/>
        <v>This ballast is capable of different control types.  Choose the proper type based on the "Control Type" drop-down based on the control type being used on the job.</v>
      </c>
      <c r="D28" s="181"/>
      <c r="E28" s="181"/>
      <c r="F28" s="181"/>
    </row>
    <row r="29" spans="1:6" ht="43.5" customHeight="1" x14ac:dyDescent="0.25">
      <c r="A29" s="22" t="str">
        <f>IF(ISTEXT(B29),A28+1,"")</f>
        <v/>
      </c>
      <c r="B29" s="23"/>
      <c r="C29" s="181" t="str">
        <f t="shared" si="0"/>
        <v/>
      </c>
      <c r="D29" s="181"/>
      <c r="E29" s="181"/>
      <c r="F29" s="181"/>
    </row>
    <row r="30" spans="1:6" ht="43.5" customHeight="1" x14ac:dyDescent="0.25">
      <c r="A30" s="22" t="str">
        <f>IF(ISTEXT(B30),A29+1,"")</f>
        <v/>
      </c>
      <c r="B30" s="23"/>
      <c r="C30" s="181" t="str">
        <f t="shared" si="0"/>
        <v/>
      </c>
      <c r="D30" s="181"/>
      <c r="E30" s="181"/>
      <c r="F30" s="181"/>
    </row>
    <row r="31" spans="1:6" ht="43.5" customHeight="1" x14ac:dyDescent="0.25">
      <c r="A31" s="22" t="str">
        <f>IF(ISTEXT(B31),A30+1,"")</f>
        <v/>
      </c>
      <c r="B31" s="23"/>
      <c r="C31" s="181" t="str">
        <f t="shared" si="0"/>
        <v/>
      </c>
      <c r="D31" s="181"/>
      <c r="E31" s="181"/>
      <c r="F31" s="181"/>
    </row>
    <row r="33" spans="1:6" ht="15.75" x14ac:dyDescent="0.25">
      <c r="A33" s="194" t="s">
        <v>23</v>
      </c>
      <c r="B33" s="194"/>
      <c r="C33" s="194"/>
      <c r="D33" s="194"/>
      <c r="E33" s="194"/>
      <c r="F33" s="194"/>
    </row>
    <row r="34" spans="1:6" hidden="1" x14ac:dyDescent="0.25">
      <c r="B34" s="192" t="s">
        <v>24</v>
      </c>
      <c r="C34" s="192"/>
      <c r="D34" s="192"/>
      <c r="E34" s="192"/>
    </row>
    <row r="35" spans="1:6" x14ac:dyDescent="0.25">
      <c r="B35" s="192" t="s">
        <v>1589</v>
      </c>
      <c r="C35" s="192"/>
      <c r="D35" s="192"/>
      <c r="E35" s="192"/>
      <c r="F35" s="192"/>
    </row>
    <row r="36" spans="1:6" x14ac:dyDescent="0.25">
      <c r="B36" s="192" t="s">
        <v>1588</v>
      </c>
      <c r="C36" s="192"/>
      <c r="D36" s="192"/>
      <c r="E36" s="192"/>
      <c r="F36" s="192"/>
    </row>
    <row r="37" spans="1:6" x14ac:dyDescent="0.25">
      <c r="B37" s="192" t="s">
        <v>25</v>
      </c>
      <c r="C37" s="192"/>
      <c r="D37" s="192"/>
      <c r="E37" s="192"/>
      <c r="F37" s="192"/>
    </row>
    <row r="38" spans="1:6" x14ac:dyDescent="0.25">
      <c r="B38" s="192" t="s">
        <v>26</v>
      </c>
      <c r="C38" s="192"/>
      <c r="D38" s="192"/>
      <c r="E38" s="192"/>
      <c r="F38" s="192"/>
    </row>
    <row r="39" spans="1:6" x14ac:dyDescent="0.25">
      <c r="B39" s="192" t="s">
        <v>27</v>
      </c>
      <c r="C39" s="192"/>
      <c r="D39" s="192"/>
      <c r="E39" s="192"/>
      <c r="F39" s="192"/>
    </row>
    <row r="41" spans="1:6" x14ac:dyDescent="0.25">
      <c r="A41" s="18" t="s">
        <v>1664</v>
      </c>
    </row>
  </sheetData>
  <mergeCells count="23">
    <mergeCell ref="A1:E1"/>
    <mergeCell ref="A3:E3"/>
    <mergeCell ref="C6:D6"/>
    <mergeCell ref="C28:F28"/>
    <mergeCell ref="C29:F29"/>
    <mergeCell ref="A17:F17"/>
    <mergeCell ref="A11:F11"/>
    <mergeCell ref="A25:F25"/>
    <mergeCell ref="C26:F26"/>
    <mergeCell ref="C27:F27"/>
    <mergeCell ref="A23:F23"/>
    <mergeCell ref="E22:F22"/>
    <mergeCell ref="E16:F16"/>
    <mergeCell ref="B39:F39"/>
    <mergeCell ref="A12:C12"/>
    <mergeCell ref="B34:E34"/>
    <mergeCell ref="A33:F33"/>
    <mergeCell ref="B36:F36"/>
    <mergeCell ref="B37:F37"/>
    <mergeCell ref="B38:F38"/>
    <mergeCell ref="C31:F31"/>
    <mergeCell ref="B35:F35"/>
    <mergeCell ref="C30:F30"/>
  </mergeCells>
  <conditionalFormatting sqref="E19:F21">
    <cfRule type="expression" dxfId="15" priority="1">
      <formula>IF(LEN(_xlfn.CONCAT($E$13:$F$15))&gt;18,1,0)</formula>
    </cfRule>
  </conditionalFormatting>
  <hyperlinks>
    <hyperlink ref="B34:E34" r:id="rId1" display="Ballast Upgrade Playbook" xr:uid="{974465FE-3A65-422B-907C-6BC7759C1F2E}"/>
    <hyperlink ref="B36" r:id="rId2" display="Retrofit spec sheet" xr:uid="{74D8CA3B-5BE6-4B94-BFC8-B5D7BD8F266A}"/>
    <hyperlink ref="B37" r:id="rId3" xr:uid="{66D50F2F-B152-469F-AE1E-4512254E0EC2}"/>
    <hyperlink ref="B38" r:id="rId4" xr:uid="{149542CD-4FF4-4FC4-8FE5-96499640B089}"/>
    <hyperlink ref="B39" r:id="rId5" tooltip="How to upgrade a Lutron ballast with a TLED retrofit kit using C-Flex" display="https://www.youtube.com/watch?v=ir5dYeneBxk&amp;pp=ygULbHV0cm9uIHRsZWQ%3D" xr:uid="{F459A183-3B39-4203-8D0B-36A2668B6DA5}"/>
    <hyperlink ref="B39:F39" r:id="rId6" tooltip="How to upgrade a Lutron ballast with a TLED retrofit kit using C-Flex" display="How to upgrade a Lutron ballast with a TLED retrofit kit using C-Flex" xr:uid="{8A95D193-3B91-4976-AAA4-2DFF11A6669E}"/>
    <hyperlink ref="B35" r:id="rId7" display="Lutron Retrofit Kit Spec Sheet (on myLutron)" xr:uid="{9D68360D-7DC6-4A78-A1F0-6031D7F4AE31}"/>
    <hyperlink ref="B35:F35" r:id="rId8" display="Lutron Retrofit Kit Spec Sheet (on myLutron)" xr:uid="{F32BA5FD-30F8-4AD5-9CC3-15AD74B144DE}"/>
  </hyperlinks>
  <pageMargins left="0.7" right="0.7" top="0.75" bottom="0.75" header="0.3" footer="0.3"/>
  <pageSetup scale="80" orientation="portrait" r:id="rId9"/>
  <ignoredErrors>
    <ignoredError sqref="F19:F21" calculatedColumn="1"/>
  </ignoredErrors>
  <drawing r:id="rId10"/>
  <legacyDrawing r:id="rId11"/>
  <controls>
    <mc:AlternateContent xmlns:mc="http://schemas.openxmlformats.org/markup-compatibility/2006">
      <mc:Choice Requires="x14">
        <control shapeId="3078" r:id="rId12" name="ComboBox1">
          <controlPr locked="0" defaultSize="0" autoLine="0" autoPict="0" linkedCell="Selected_Model" listFillRange="Helper!P2:P1016" r:id="rId13">
            <anchor moveWithCells="1">
              <from>
                <xdr:col>5</xdr:col>
                <xdr:colOff>0</xdr:colOff>
                <xdr:row>2</xdr:row>
                <xdr:rowOff>0</xdr:rowOff>
              </from>
              <to>
                <xdr:col>5</xdr:col>
                <xdr:colOff>2486025</xdr:colOff>
                <xdr:row>3</xdr:row>
                <xdr:rowOff>9525</xdr:rowOff>
              </to>
            </anchor>
          </controlPr>
        </control>
      </mc:Choice>
      <mc:Fallback>
        <control shapeId="3078" r:id="rId12" name="ComboBox1"/>
      </mc:Fallback>
    </mc:AlternateContent>
  </controls>
  <tableParts count="2">
    <tablePart r:id="rId14"/>
    <tablePart r:id="rId15"/>
  </tableParts>
  <extLst>
    <ext xmlns:x14="http://schemas.microsoft.com/office/spreadsheetml/2009/9/main" uri="{78C0D931-6437-407d-A8EE-F0AAD7539E65}">
      <x14:conditionalFormattings>
        <x14:conditionalFormatting xmlns:xm="http://schemas.microsoft.com/office/excel/2006/main">
          <x14:cfRule type="cellIs" priority="3" operator="equal" id="{75D868E2-39E0-408E-AD32-D3C06DBD09CB}">
            <xm:f>Helper!$B$15</xm:f>
            <x14:dxf>
              <font>
                <b/>
                <i val="0"/>
                <color rgb="FF9C0006"/>
              </font>
            </x14:dxf>
          </x14:cfRule>
          <xm:sqref>C26:F26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6D746-058F-4255-B630-7BEB48E32EF6}">
  <sheetPr codeName="Sheet4"/>
  <dimension ref="A1:H51"/>
  <sheetViews>
    <sheetView zoomScaleNormal="100" workbookViewId="0">
      <selection activeCell="F15" sqref="F15"/>
    </sheetView>
  </sheetViews>
  <sheetFormatPr defaultRowHeight="15" x14ac:dyDescent="0.25"/>
  <cols>
    <col min="1" max="1" width="5.7109375" style="98" customWidth="1"/>
    <col min="2" max="2" width="1" style="98" customWidth="1"/>
    <col min="3" max="3" width="16.42578125" style="98" customWidth="1"/>
    <col min="4" max="4" width="14.28515625" style="98" customWidth="1"/>
    <col min="5" max="5" width="35.7109375" style="98" customWidth="1"/>
    <col min="6" max="6" width="37.42578125" style="98" bestFit="1" customWidth="1"/>
    <col min="7" max="7" width="19.5703125" style="99" customWidth="1"/>
    <col min="8" max="16384" width="9.140625" style="99"/>
  </cols>
  <sheetData>
    <row r="1" spans="1:8" ht="33" customHeight="1" x14ac:dyDescent="0.25">
      <c r="A1" s="201" t="s">
        <v>0</v>
      </c>
      <c r="B1" s="201"/>
      <c r="C1" s="201"/>
      <c r="D1" s="201"/>
      <c r="E1" s="201"/>
    </row>
    <row r="3" spans="1:8" ht="15.75" x14ac:dyDescent="0.25">
      <c r="A3" s="182" t="s">
        <v>29</v>
      </c>
      <c r="B3" s="182"/>
      <c r="C3" s="182"/>
      <c r="D3" s="182"/>
      <c r="E3" s="182"/>
      <c r="F3" s="101"/>
    </row>
    <row r="4" spans="1:8" ht="15.75" x14ac:dyDescent="0.25">
      <c r="A4" s="102" t="s">
        <v>30</v>
      </c>
      <c r="B4" s="100"/>
      <c r="C4" s="100"/>
      <c r="D4" s="100"/>
      <c r="E4" s="100"/>
      <c r="F4" s="101"/>
    </row>
    <row r="5" spans="1:8" ht="15.75" x14ac:dyDescent="0.25">
      <c r="A5" s="202" t="s">
        <v>31</v>
      </c>
      <c r="B5" s="202"/>
      <c r="C5" s="202"/>
      <c r="D5" s="202"/>
      <c r="E5" s="202"/>
      <c r="F5" s="104" t="str">
        <f>Ballast_Model</f>
        <v>EC3DT4MWKU2</v>
      </c>
    </row>
    <row r="6" spans="1:8" ht="9" customHeight="1" x14ac:dyDescent="0.25"/>
    <row r="7" spans="1:8" ht="15.75" customHeight="1" x14ac:dyDescent="0.25">
      <c r="A7" s="100" t="s">
        <v>6</v>
      </c>
      <c r="B7" s="100"/>
      <c r="C7" s="100"/>
      <c r="D7" s="105" t="str">
        <f>IF(_xlfn.IFNA(VLOOKUP(Ballast_Model,Master_Reference[],MATCH("Is Obsolete?",Master_Reference[#Headers],0),FALSE),FALSE),"OBSOLETE","")</f>
        <v>OBSOLETE</v>
      </c>
      <c r="E7" s="126" t="str">
        <f>_xlfn.IFNA(IF(IsInternationalBallast,"NON-US BALLAST",""),"")</f>
        <v/>
      </c>
      <c r="F7" s="57" t="str">
        <f>IF(ISNA(VLOOKUP(Ballast_Model,Master_Reference[],MATCH("Lamp Type",Master_Reference[#Headers],0),FALSE)),"Select a valid model number from the list above.","")</f>
        <v/>
      </c>
    </row>
    <row r="8" spans="1:8" ht="15.75" customHeight="1" x14ac:dyDescent="0.25">
      <c r="C8" s="186" t="s">
        <v>7</v>
      </c>
      <c r="D8" s="187"/>
      <c r="E8" s="106" t="s">
        <v>8</v>
      </c>
      <c r="F8" s="19" t="str">
        <f>_xlfn.IFNA(VLOOKUP(Ballast_Model,Master_Reference[],MATCH("Lamp Type",Master_Reference[#Headers],0),FALSE),"")</f>
        <v>T4</v>
      </c>
    </row>
    <row r="9" spans="1:8" x14ac:dyDescent="0.25">
      <c r="C9" s="107" t="s">
        <v>9</v>
      </c>
      <c r="D9" s="21" t="str">
        <f>_xlfn.IFNA(IF(VLOOKUP(Ballast_Model,Master_Reference[],MATCH("Control 3W",Master_Reference[#Headers],0),FALSE),"Yes","No"),"")</f>
        <v>Yes</v>
      </c>
      <c r="E9" s="106" t="s">
        <v>10</v>
      </c>
      <c r="F9" s="19" t="str">
        <f>_xlfn.IFNA(VLOOKUP(Ballast_Model,Master_Reference[],MATCH("Lamp Length",Master_Reference[#Headers],0),FALSE),"")</f>
        <v>CFL</v>
      </c>
    </row>
    <row r="10" spans="1:8" x14ac:dyDescent="0.25">
      <c r="C10" s="107" t="s">
        <v>11</v>
      </c>
      <c r="D10" s="21" t="str">
        <f>_xlfn.IFNA(IF(VLOOKUP(Ballast_Model,Master_Reference[],MATCH("Control Eco",Master_Reference[#Headers],0),FALSE),"Yes","No"),"")</f>
        <v>Yes</v>
      </c>
      <c r="E10" s="106" t="s">
        <v>12</v>
      </c>
      <c r="F10" s="20" t="str">
        <f>_xlfn.IFNA(VLOOKUP(Ballast_Model,Master_Reference[],MATCH("Lamp Wattage",Master_Reference[#Headers],0),FALSE),"")</f>
        <v>MW</v>
      </c>
    </row>
    <row r="11" spans="1:8" x14ac:dyDescent="0.25">
      <c r="C11" s="107" t="s">
        <v>13</v>
      </c>
      <c r="D11" s="21" t="str">
        <f>IF(ISNA(VLOOKUP(Ballast_Model,Master_Reference[],MATCH("Lamp Type",Master_Reference[#Headers],0),FALSE)),"",IF(AND(Control_3W="No",Control_Eco="No"),"Yes","No"))</f>
        <v>No</v>
      </c>
      <c r="E11" s="106" t="s">
        <v>14</v>
      </c>
      <c r="F11" s="19">
        <f>_xlfn.IFNA(VLOOKUP(Ballast_Model,Master_Reference[],MATCH("Lamp Qty",Master_Reference[#Headers],0),FALSE),"")</f>
        <v>2</v>
      </c>
    </row>
    <row r="12" spans="1:8" x14ac:dyDescent="0.25">
      <c r="H12" s="108"/>
    </row>
    <row r="13" spans="1:8" ht="15.75" x14ac:dyDescent="0.25">
      <c r="A13" s="100" t="s">
        <v>2267</v>
      </c>
    </row>
    <row r="14" spans="1:8" x14ac:dyDescent="0.25">
      <c r="C14" s="106" t="s">
        <v>1843</v>
      </c>
      <c r="D14" s="121">
        <v>3500</v>
      </c>
      <c r="E14" s="106" t="s">
        <v>2130</v>
      </c>
      <c r="F14" s="123" t="s">
        <v>2128</v>
      </c>
    </row>
    <row r="15" spans="1:8" x14ac:dyDescent="0.25">
      <c r="B15" s="109"/>
      <c r="C15" s="106" t="s">
        <v>1846</v>
      </c>
      <c r="D15" s="122" t="s">
        <v>50</v>
      </c>
      <c r="E15" s="106" t="s">
        <v>1842</v>
      </c>
      <c r="F15" s="124">
        <v>32</v>
      </c>
    </row>
    <row r="16" spans="1:8" ht="15.75" hidden="1" thickBot="1" x14ac:dyDescent="0.3">
      <c r="B16" s="110"/>
      <c r="C16" s="111" t="s">
        <v>1841</v>
      </c>
      <c r="D16" s="122" t="b">
        <v>0</v>
      </c>
      <c r="E16" s="112" t="s">
        <v>1844</v>
      </c>
      <c r="F16" s="125" t="s">
        <v>2313</v>
      </c>
    </row>
    <row r="17" spans="1:6" s="216" customFormat="1" ht="7.5" customHeight="1" thickBot="1" x14ac:dyDescent="0.3">
      <c r="A17" s="212"/>
      <c r="B17" s="213"/>
      <c r="C17" s="214"/>
      <c r="D17" s="217"/>
      <c r="E17" s="215"/>
      <c r="F17" s="218"/>
    </row>
    <row r="18" spans="1:6" s="115" customFormat="1" ht="16.5" thickBot="1" x14ac:dyDescent="0.3">
      <c r="A18" s="103"/>
      <c r="B18" s="103"/>
      <c r="C18" s="103"/>
      <c r="D18" s="113" t="s">
        <v>1845</v>
      </c>
      <c r="E18" s="210" t="str">
        <f>_xlfn.IFNA(IF(LEN(G_RecommendedModel)&gt;3,G_RecommendedModel,NA()),"NONE AVAILABLE")</f>
        <v>3LDPCA-1C35-12</v>
      </c>
      <c r="F18" s="114" t="str">
        <f>_xlfn.IFNA(IF(NOT(NoMatches),IF(PackagingOption="Case",CaseQty&amp;" Kits per Case",""),""),"")</f>
        <v>12 Kits per Case</v>
      </c>
    </row>
    <row r="20" spans="1:6" ht="15.75" x14ac:dyDescent="0.25">
      <c r="A20" s="182" t="s">
        <v>1562</v>
      </c>
      <c r="B20" s="182"/>
      <c r="C20" s="182"/>
      <c r="D20" s="182"/>
      <c r="E20" s="182"/>
      <c r="F20" s="182"/>
    </row>
    <row r="21" spans="1:6" x14ac:dyDescent="0.25">
      <c r="A21" s="98" t="s">
        <v>22</v>
      </c>
      <c r="D21" s="98" t="s">
        <v>15</v>
      </c>
      <c r="E21" s="25" t="s">
        <v>16</v>
      </c>
      <c r="F21" s="25" t="s">
        <v>17</v>
      </c>
    </row>
    <row r="22" spans="1:6" x14ac:dyDescent="0.25">
      <c r="D22" s="116" t="s">
        <v>18</v>
      </c>
      <c r="E22" s="25" t="str">
        <f>_xlfn.IFNA(VLOOKUP(E29,Grainger_TLED_Lookup[],2,FALSE),"N/A")</f>
        <v>N/A</v>
      </c>
      <c r="F22" s="25" t="str">
        <f>_xlfn.IFNA(VLOOKUP(F29,Grainger_TLED_Lookup[],2,FALSE),"N/A")</f>
        <v>N/A</v>
      </c>
    </row>
    <row r="23" spans="1:6" x14ac:dyDescent="0.25">
      <c r="D23" s="98" t="s">
        <v>19</v>
      </c>
      <c r="E23" s="25" t="str">
        <f>_xlfn.IFNA(VLOOKUP(E30,Grainger_TLED_Lookup[],2,FALSE),"N/A")</f>
        <v>N/A</v>
      </c>
      <c r="F23" s="25" t="str">
        <f>_xlfn.IFNA(VLOOKUP(F30,Grainger_TLED_Lookup[],2,FALSE),"N/A")</f>
        <v>N/A</v>
      </c>
    </row>
    <row r="24" spans="1:6" x14ac:dyDescent="0.25">
      <c r="D24" s="117" t="s">
        <v>20</v>
      </c>
      <c r="E24" s="25" t="str">
        <f>_xlfn.IFNA(VLOOKUP(E31,Grainger_TLED_Lookup[],2,FALSE),"N/A")</f>
        <v>N/A</v>
      </c>
      <c r="F24" s="25" t="str">
        <f>_xlfn.IFNA(VLOOKUP(F31,Grainger_TLED_Lookup[],2,FALSE),"N/A")</f>
        <v>N/A</v>
      </c>
    </row>
    <row r="25" spans="1:6" x14ac:dyDescent="0.25">
      <c r="D25" s="118" t="s">
        <v>2244</v>
      </c>
      <c r="E25" s="25" t="str">
        <f>_xlfn.IFNA(VLOOKUP(E33,Grainger_TLED_Lookup[],2,FALSE),"N/A")</f>
        <v>N/A</v>
      </c>
      <c r="F25" s="25" t="str">
        <f>_xlfn.IFNA(VLOOKUP(F33,Grainger_TLED_Lookup[],2,FALSE),"N/A")</f>
        <v>N/A</v>
      </c>
    </row>
    <row r="26" spans="1:6" x14ac:dyDescent="0.25">
      <c r="E26" s="25"/>
      <c r="F26" s="25"/>
    </row>
    <row r="27" spans="1:6" ht="15.75" x14ac:dyDescent="0.25">
      <c r="A27" s="182" t="s">
        <v>1563</v>
      </c>
      <c r="B27" s="182"/>
      <c r="C27" s="182"/>
      <c r="D27" s="182"/>
      <c r="E27" s="182"/>
      <c r="F27" s="182"/>
    </row>
    <row r="28" spans="1:6" x14ac:dyDescent="0.25">
      <c r="D28" s="98" t="s">
        <v>15</v>
      </c>
      <c r="E28" s="25" t="s">
        <v>16</v>
      </c>
      <c r="F28" s="25" t="s">
        <v>17</v>
      </c>
    </row>
    <row r="29" spans="1:6" x14ac:dyDescent="0.25">
      <c r="D29" s="116" t="s">
        <v>18</v>
      </c>
      <c r="E29" s="25" t="str">
        <f>_xlfn.IFNA(SUBSTITUTE(VLOOKUP(SUBSTITUTE(SUBSTITUTE(SUBSTITUTE(VLOOKUP(G_Ballast_Model,Master_Reference[],MATCH("EcoSystem C-Flex Kit Base",Master_Reference[#Headers],0),FALSE),"xx",LEFT(G_Lutron_Models[[#This Row],[CCT]],2)),"ww",G_CFLWattage),"m",LEFT(G_CFLMounting),1),Lutron_CFlex_Lookup[],MATCH("Lutron Kit PN"&amp;IF(G_SensorOnBallast," with BMF",""),Lutron_CFlex_Lookup[#Headers],0),FALSE),"q",IF(G_PackagingOption="Individual",1,CaseQty)),"N/A")</f>
        <v>ELDPCA-1C30-12</v>
      </c>
      <c r="F29" s="25" t="str">
        <f>_xlfn.IFNA(IF(G_SensorOnBallast,NA(),SUBSTITUTE(VLOOKUP(SUBSTITUTE(SUBSTITUTE(SUBSTITUTE(VLOOKUP(G_Ballast_Model,Master_Reference[],MATCH("3-Wire C-Flex Kit Base",Master_Reference[#Headers],0),FALSE),"xx",LEFT(G_Lutron_Models[[#This Row],[CCT]],2)),"ww",G_CFLWattage),"m",LEFT(G_CFLMounting),1),Lutron_CFlex_Lookup[],MATCH("Lutron Kit PN",Lutron_CFlex_Lookup[#Headers],0),FALSE),"q",IF(G_PackagingOption="Individual",1,CaseQty))),"N/A")</f>
        <v>3LDPCA-1C30-12</v>
      </c>
    </row>
    <row r="30" spans="1:6" x14ac:dyDescent="0.25">
      <c r="D30" s="98" t="s">
        <v>19</v>
      </c>
      <c r="E30" s="25" t="str">
        <f>_xlfn.IFNA(SUBSTITUTE(VLOOKUP(SUBSTITUTE(SUBSTITUTE(SUBSTITUTE(VLOOKUP(G_Ballast_Model,Master_Reference[],MATCH("EcoSystem C-Flex Kit Base",Master_Reference[#Headers],0),FALSE),"xx",LEFT(G_Lutron_Models[[#This Row],[CCT]],2)),"ww",G_CFLWattage),"m",LEFT(G_CFLMounting),1),Lutron_CFlex_Lookup[],MATCH("Lutron Kit PN"&amp;IF(G_SensorOnBallast," with BMF",""),Lutron_CFlex_Lookup[#Headers],0),FALSE),"q",IF(G_PackagingOption="Individual",1,CaseQty)),"N/A")</f>
        <v>ELDPCA-1C35-12</v>
      </c>
      <c r="F30" s="25" t="str">
        <f>_xlfn.IFNA(IF(G_SensorOnBallast,NA(),SUBSTITUTE(VLOOKUP(SUBSTITUTE(SUBSTITUTE(SUBSTITUTE(VLOOKUP(G_Ballast_Model,Master_Reference[],MATCH("3-Wire C-Flex Kit Base",Master_Reference[#Headers],0),FALSE),"xx",LEFT(G_Lutron_Models[[#This Row],[CCT]],2)),"ww",G_CFLWattage),"m",LEFT(G_CFLMounting),1),Lutron_CFlex_Lookup[],MATCH("Lutron Kit PN",Lutron_CFlex_Lookup[#Headers],0),FALSE),"q",IF(G_PackagingOption="Individual",1,CaseQty))),"N/A")</f>
        <v>3LDPCA-1C35-12</v>
      </c>
    </row>
    <row r="31" spans="1:6" x14ac:dyDescent="0.25">
      <c r="D31" s="117" t="s">
        <v>20</v>
      </c>
      <c r="E31" s="25" t="str">
        <f>_xlfn.IFNA(SUBSTITUTE(VLOOKUP(SUBSTITUTE(SUBSTITUTE(SUBSTITUTE(VLOOKUP(G_Ballast_Model,Master_Reference[],MATCH("EcoSystem C-Flex Kit Base",Master_Reference[#Headers],0),FALSE),"xx",LEFT(G_Lutron_Models[[#This Row],[CCT]],2)),"ww",G_CFLWattage),"m",LEFT(G_CFLMounting),1),Lutron_CFlex_Lookup[],MATCH("Lutron Kit PN"&amp;IF(G_SensorOnBallast," with BMF",""),Lutron_CFlex_Lookup[#Headers],0),FALSE),"q",IF(G_PackagingOption="Individual",1,CaseQty)),"N/A")</f>
        <v>ELDPCA-1C40-12</v>
      </c>
      <c r="F31" s="25" t="str">
        <f>_xlfn.IFNA(IF(G_SensorOnBallast,NA(),SUBSTITUTE(VLOOKUP(SUBSTITUTE(SUBSTITUTE(SUBSTITUTE(VLOOKUP(G_Ballast_Model,Master_Reference[],MATCH("3-Wire C-Flex Kit Base",Master_Reference[#Headers],0),FALSE),"xx",LEFT(G_Lutron_Models[[#This Row],[CCT]],2)),"ww",G_CFLWattage),"m",LEFT(G_CFLMounting),1),Lutron_CFlex_Lookup[],MATCH("Lutron Kit PN",Lutron_CFlex_Lookup[#Headers],0),FALSE),"q",IF(G_PackagingOption="Individual",1,CaseQty))),"N/A")</f>
        <v>3LDPCA-1C40-12</v>
      </c>
    </row>
    <row r="32" spans="1:6" x14ac:dyDescent="0.25">
      <c r="D32" s="118" t="s">
        <v>2244</v>
      </c>
      <c r="E32" s="25" t="str">
        <f>_xlfn.IFNA(SUBSTITUTE(VLOOKUP(SUBSTITUTE(SUBSTITUTE(SUBSTITUTE(VLOOKUP(G_Ballast_Model,Master_Reference[],MATCH("EcoSystem C-Flex Kit Base",Master_Reference[#Headers],0),FALSE),"xx",LEFT(G_Lutron_Models[[#This Row],[CCT]],2)),"ww",G_CFLWattage),"m",LEFT(G_CFLMounting),1),Lutron_CFlex_Lookup[],MATCH("Lutron Kit PN"&amp;IF(G_SensorOnBallast," with BMF",""),Lutron_CFlex_Lookup[#Headers],0),FALSE),"q",IF(G_PackagingOption="Individual",1,CaseQty)),"N/A")</f>
        <v>N/A</v>
      </c>
      <c r="F32" s="25" t="str">
        <f>_xlfn.IFNA(IF(G_SensorOnBallast,NA(),SUBSTITUTE(VLOOKUP(SUBSTITUTE(SUBSTITUTE(SUBSTITUTE(VLOOKUP(G_Ballast_Model,Master_Reference[],MATCH("3-Wire C-Flex Kit Base",Master_Reference[#Headers],0),FALSE),"xx",LEFT(G_Lutron_Models[[#This Row],[CCT]],2)),"ww",G_CFLWattage),"m",LEFT(G_CFLMounting),1),Lutron_CFlex_Lookup[],MATCH("Lutron Kit PN",Lutron_CFlex_Lookup[#Headers],0),FALSE),"q",IF(G_PackagingOption="Individual",1,CaseQty))),"N/A")</f>
        <v>N/A</v>
      </c>
    </row>
    <row r="33" spans="1:8" x14ac:dyDescent="0.25">
      <c r="E33" s="25"/>
      <c r="F33" s="25"/>
    </row>
    <row r="34" spans="1:8" ht="44.25" customHeight="1" x14ac:dyDescent="0.25">
      <c r="A34" s="190" t="s">
        <v>21</v>
      </c>
      <c r="B34" s="190"/>
      <c r="C34" s="190"/>
      <c r="D34" s="190"/>
      <c r="E34" s="190"/>
      <c r="F34" s="190"/>
    </row>
    <row r="36" spans="1:8" ht="15.75" x14ac:dyDescent="0.25">
      <c r="A36" s="191" t="s">
        <v>28</v>
      </c>
      <c r="B36" s="191"/>
      <c r="C36" s="191"/>
      <c r="D36" s="191"/>
      <c r="E36" s="191"/>
      <c r="F36" s="191"/>
    </row>
    <row r="37" spans="1:8" ht="43.5" customHeight="1" x14ac:dyDescent="0.25">
      <c r="A37" s="22">
        <f>IF(ISTEXT(B37),1,"")</f>
        <v>1</v>
      </c>
      <c r="B37" s="23" t="str" cm="1">
        <f t="array" ref="B37:B39">_xlfn._xlws.FILTER(Table_Notes[Note Text],TRUE=Table_Notes[Applies])</f>
        <v>The selected ballast is capable of controlling 26W or 32W bulbs.  Based on the installed bulbs, choose the appropriate wattage in the "CFL Wattage" drop-down to properly match the original light output.  Note that 2-lamp, 32W or 42W, Vertical kits are not available.</v>
      </c>
      <c r="C37" s="181" t="str">
        <f>IF(ISTEXT(B37),B37,"")</f>
        <v>The selected ballast is capable of controlling 26W or 32W bulbs.  Based on the installed bulbs, choose the appropriate wattage in the "CFL Wattage" drop-down to properly match the original light output.  Note that 2-lamp, 32W or 42W, Vertical kits are not available.</v>
      </c>
      <c r="D37" s="181"/>
      <c r="E37" s="181"/>
      <c r="F37" s="181"/>
      <c r="G37" s="119"/>
      <c r="H37" s="119"/>
    </row>
    <row r="38" spans="1:8" ht="43.5" customHeight="1" x14ac:dyDescent="0.25">
      <c r="A38" s="22">
        <f>IF(ISTEXT(B38),A37+1,"")</f>
        <v>2</v>
      </c>
      <c r="B38" s="23" t="str">
        <v>The fixture where this ballast is installed may have lamps mounted vertically or horizontally.  Ensure the proper "CFL Mounting Direction" option is selected.  A mockup is suggested to confirm proper fit.</v>
      </c>
      <c r="C38" s="181" t="str">
        <f>IF(ISTEXT(B38),B38,"")</f>
        <v>The fixture where this ballast is installed may have lamps mounted vertically or horizontally.  Ensure the proper "CFL Mounting Direction" option is selected.  A mockup is suggested to confirm proper fit.</v>
      </c>
      <c r="D38" s="181"/>
      <c r="E38" s="181"/>
      <c r="F38" s="181"/>
    </row>
    <row r="39" spans="1:8" ht="43.5" customHeight="1" x14ac:dyDescent="0.25">
      <c r="A39" s="22">
        <f>IF(ISTEXT(B39),A38+1,"")</f>
        <v>3</v>
      </c>
      <c r="B39" s="23" t="str">
        <v>This ballast is capable of different control types.  Choose the proper type based on the "Control Type" drop-down based on the control type being used on the job.</v>
      </c>
      <c r="C39" s="181" t="str">
        <f>IF(ISTEXT(B39),B39,"")</f>
        <v>This ballast is capable of different control types.  Choose the proper type based on the "Control Type" drop-down based on the control type being used on the job.</v>
      </c>
      <c r="D39" s="181"/>
      <c r="E39" s="181"/>
      <c r="F39" s="181"/>
    </row>
    <row r="40" spans="1:8" ht="43.5" customHeight="1" x14ac:dyDescent="0.25">
      <c r="A40" s="22" t="str">
        <f>IF(ISTEXT(B40),A39+1,"")</f>
        <v/>
      </c>
      <c r="B40" s="23"/>
      <c r="C40" s="181" t="str">
        <f>IF(ISTEXT(B40),B40,"")</f>
        <v/>
      </c>
      <c r="D40" s="181"/>
      <c r="E40" s="181"/>
      <c r="F40" s="181"/>
    </row>
    <row r="41" spans="1:8" ht="43.5" customHeight="1" x14ac:dyDescent="0.25">
      <c r="A41" s="22" t="str">
        <f>IF(ISTEXT(B41),A40+1,"")</f>
        <v/>
      </c>
      <c r="B41" s="23"/>
      <c r="C41" s="181" t="str">
        <f>IF(ISTEXT(B41),B41,"")</f>
        <v/>
      </c>
      <c r="D41" s="181"/>
      <c r="E41" s="181"/>
      <c r="F41" s="181"/>
    </row>
    <row r="42" spans="1:8" x14ac:dyDescent="0.25">
      <c r="E42" s="25"/>
      <c r="F42" s="25"/>
    </row>
    <row r="43" spans="1:8" ht="15.75" x14ac:dyDescent="0.25">
      <c r="A43" s="182" t="s">
        <v>32</v>
      </c>
      <c r="B43" s="182"/>
      <c r="C43" s="182"/>
      <c r="D43" s="182"/>
      <c r="E43" s="182"/>
      <c r="F43" s="182"/>
    </row>
    <row r="44" spans="1:8" x14ac:dyDescent="0.25">
      <c r="B44" s="180" t="s">
        <v>1589</v>
      </c>
      <c r="C44" s="180"/>
      <c r="D44" s="180"/>
      <c r="E44" s="180"/>
      <c r="F44" s="180"/>
    </row>
    <row r="45" spans="1:8" x14ac:dyDescent="0.25">
      <c r="B45" s="180" t="s">
        <v>1588</v>
      </c>
      <c r="C45" s="180"/>
      <c r="D45" s="180"/>
      <c r="E45" s="180"/>
      <c r="F45" s="180"/>
    </row>
    <row r="46" spans="1:8" x14ac:dyDescent="0.25">
      <c r="B46" s="180" t="s">
        <v>25</v>
      </c>
      <c r="C46" s="180"/>
      <c r="D46" s="180"/>
      <c r="E46" s="180"/>
      <c r="F46" s="180"/>
    </row>
    <row r="47" spans="1:8" x14ac:dyDescent="0.25">
      <c r="B47" s="180" t="s">
        <v>26</v>
      </c>
      <c r="C47" s="180"/>
      <c r="D47" s="180"/>
      <c r="E47" s="180"/>
      <c r="F47" s="180"/>
    </row>
    <row r="48" spans="1:8" x14ac:dyDescent="0.25">
      <c r="B48" s="180" t="s">
        <v>27</v>
      </c>
      <c r="C48" s="180"/>
      <c r="D48" s="180"/>
      <c r="E48" s="180"/>
      <c r="F48" s="180"/>
    </row>
    <row r="49" spans="1:6" x14ac:dyDescent="0.25">
      <c r="B49" s="180" t="s">
        <v>3394</v>
      </c>
      <c r="C49" s="180"/>
      <c r="D49" s="180"/>
      <c r="E49" s="180"/>
      <c r="F49" s="180"/>
    </row>
    <row r="51" spans="1:6" x14ac:dyDescent="0.25">
      <c r="A51" s="120" t="str">
        <f>Version</f>
        <v>Rev K</v>
      </c>
    </row>
  </sheetData>
  <sheetProtection algorithmName="SHA-512" hashValue="uQEBNd5PKggNl0Tnfc3xoQhQJaauth9PwnZiDhrNDcNRYcW5+Zvtm5/wx2tuZrBWx6jl/Lh23R7oBOj4d8Lexw==" saltValue="MdRbPux1SQUNypHsCgcGVQ==" spinCount="100000" sheet="1" objects="1" scenarios="1"/>
  <mergeCells count="20">
    <mergeCell ref="A36:F36"/>
    <mergeCell ref="C37:F37"/>
    <mergeCell ref="A1:E1"/>
    <mergeCell ref="A5:E5"/>
    <mergeCell ref="C8:D8"/>
    <mergeCell ref="A34:F34"/>
    <mergeCell ref="A3:E3"/>
    <mergeCell ref="A20:F20"/>
    <mergeCell ref="A27:F27"/>
    <mergeCell ref="C38:F38"/>
    <mergeCell ref="B45:F45"/>
    <mergeCell ref="B46:F46"/>
    <mergeCell ref="B44:F44"/>
    <mergeCell ref="B49:F49"/>
    <mergeCell ref="B47:F47"/>
    <mergeCell ref="B48:F48"/>
    <mergeCell ref="C39:F39"/>
    <mergeCell ref="C40:F40"/>
    <mergeCell ref="C41:F41"/>
    <mergeCell ref="A43:F43"/>
  </mergeCells>
  <conditionalFormatting sqref="D14">
    <cfRule type="expression" dxfId="13" priority="2">
      <formula>NoMatches</formula>
    </cfRule>
  </conditionalFormatting>
  <conditionalFormatting sqref="D15">
    <cfRule type="expression" dxfId="12" priority="4">
      <formula>NOT(HasMultipleControl)</formula>
    </cfRule>
  </conditionalFormatting>
  <conditionalFormatting sqref="D16">
    <cfRule type="expression" dxfId="11" priority="6">
      <formula>NOT(HasSensorSupport)</formula>
    </cfRule>
  </conditionalFormatting>
  <conditionalFormatting sqref="F3:F4">
    <cfRule type="cellIs" dxfId="10" priority="7" operator="equal">
      <formula>"No Grainger Part"</formula>
    </cfRule>
  </conditionalFormatting>
  <conditionalFormatting sqref="F14">
    <cfRule type="expression" dxfId="9" priority="3">
      <formula>NOT(HasCFLMounting)</formula>
    </cfRule>
  </conditionalFormatting>
  <conditionalFormatting sqref="F15">
    <cfRule type="expression" dxfId="8" priority="5">
      <formula>NOT(HasMultiWattCFL)</formula>
    </cfRule>
  </conditionalFormatting>
  <conditionalFormatting sqref="F16">
    <cfRule type="expression" dxfId="7" priority="1">
      <formula>NoMatches</formula>
    </cfRule>
  </conditionalFormatting>
  <dataValidations count="6">
    <dataValidation type="list" errorStyle="warning" showErrorMessage="1" errorTitle="Packaging Size Error" error="You  must select a valid Packaging option" sqref="F16" xr:uid="{ECEB4385-67FF-461E-9DC3-369F85CCD017}">
      <formula1>"Individual,Case"</formula1>
    </dataValidation>
    <dataValidation type="list" allowBlank="1" showInputMessage="1" showErrorMessage="1" sqref="F15" xr:uid="{5EC586C2-78E6-4CEF-8A93-22C927F7F7A1}">
      <formula1>"26,32"</formula1>
    </dataValidation>
    <dataValidation type="list" allowBlank="1" showInputMessage="1" showErrorMessage="1" sqref="F14" xr:uid="{372AA4CF-127E-436E-93D2-B8138585B99F}">
      <formula1>"Horizontal,Vertical"</formula1>
    </dataValidation>
    <dataValidation type="list" allowBlank="1" showInputMessage="1" showErrorMessage="1" sqref="D16" xr:uid="{AA791762-9139-4C66-A63C-01E257892772}">
      <formula1>"TRUE,FALSE"</formula1>
    </dataValidation>
    <dataValidation type="list" allowBlank="1" showInputMessage="1" showErrorMessage="1" sqref="D15" xr:uid="{03AAEC1F-1F8A-4384-A932-8F0B2704B655}">
      <formula1>"3-Wire,EcoSystem"</formula1>
    </dataValidation>
    <dataValidation type="list" allowBlank="1" showInputMessage="1" showErrorMessage="1" sqref="D14" xr:uid="{466EC6C0-C69C-43A3-A611-BDDA3FA869AC}">
      <formula1>"3000,3500,4000,5000"</formula1>
    </dataValidation>
  </dataValidations>
  <hyperlinks>
    <hyperlink ref="B45" r:id="rId1" display="Retrofit spec sheet" xr:uid="{0C358AD9-B751-4B1E-BFC2-765E1FA65BDA}"/>
    <hyperlink ref="B46" r:id="rId2" xr:uid="{A6E157FE-6D6D-4F50-9421-7264E89E3FB8}"/>
    <hyperlink ref="B47" r:id="rId3" xr:uid="{4E55E084-F75E-491D-9C27-9DDAD8F212D5}"/>
    <hyperlink ref="B48" r:id="rId4" tooltip="How to upgrade a Lutron ballast with a TLED retrofit kit using C-Flex" display="https://www.youtube.com/watch?v=ir5dYeneBxk&amp;pp=ygULbHV0cm9uIHRsZWQ%3D" xr:uid="{2F4F03FB-5781-4B35-9C1E-7BC7F00327C0}"/>
    <hyperlink ref="B48:F48" r:id="rId5" tooltip="How to upgrade a Lutron ballast with a TLED retrofit kit using C-Flex" display="How to upgrade a Lutron ballast with a TLED retrofit kit using C-Flex" xr:uid="{A955C87E-A634-49B8-BFDE-C96FDEE8B8C7}"/>
    <hyperlink ref="B44" r:id="rId6" display="Lutron Retrofit Kit Spec Sheet (on myLutron)" xr:uid="{4050A420-B12F-4F46-BDF7-ACE540184DC6}"/>
    <hyperlink ref="B44:F44" r:id="rId7" display="Lutron Retrofit Kit Spec Sheet (on myLutron)" xr:uid="{E9ABF639-AE08-4DA1-B2F0-77D6F04B7452}"/>
    <hyperlink ref="B49" r:id="rId8" display="Identifying EcoSystem vs. 3-Wire Load Types" xr:uid="{D68189EE-AD1A-41D7-92C0-C6C515D3E85E}"/>
  </hyperlinks>
  <pageMargins left="0.7" right="0.7" top="0.75" bottom="0.75" header="0.3" footer="0.3"/>
  <pageSetup scale="79"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8196" r:id="rId12" name="GraingerDropDown">
              <controlPr locked="0" defaultSize="0" autoLine="0" autoPict="0">
                <anchor moveWithCells="1">
                  <from>
                    <xdr:col>5</xdr:col>
                    <xdr:colOff>28575</xdr:colOff>
                    <xdr:row>1</xdr:row>
                    <xdr:rowOff>171450</xdr:rowOff>
                  </from>
                  <to>
                    <xdr:col>6</xdr:col>
                    <xdr:colOff>0</xdr:colOff>
                    <xdr:row>2</xdr:row>
                    <xdr:rowOff>190500</xdr:rowOff>
                  </to>
                </anchor>
              </controlPr>
            </control>
          </mc:Choice>
        </mc:AlternateContent>
        <mc:AlternateContent xmlns:mc="http://schemas.openxmlformats.org/markup-compatibility/2006">
          <mc:Choice Requires="x14">
            <control shapeId="8197" r:id="rId13" name="Drop Down 5">
              <controlPr locked="0" defaultSize="0" autoLine="0" autoPict="0">
                <anchor moveWithCells="1">
                  <from>
                    <xdr:col>5</xdr:col>
                    <xdr:colOff>628650</xdr:colOff>
                    <xdr:row>3</xdr:row>
                    <xdr:rowOff>9525</xdr:rowOff>
                  </from>
                  <to>
                    <xdr:col>6</xdr:col>
                    <xdr:colOff>0</xdr:colOff>
                    <xdr:row>3</xdr:row>
                    <xdr:rowOff>190500</xdr:rowOff>
                  </to>
                </anchor>
              </controlPr>
            </control>
          </mc:Choice>
        </mc:AlternateContent>
      </controls>
    </mc:Choice>
  </mc:AlternateContent>
  <tableParts count="2">
    <tablePart r:id="rId14"/>
    <tablePart r:id="rId15"/>
  </tableParts>
  <extLst>
    <ext xmlns:x14="http://schemas.microsoft.com/office/spreadsheetml/2009/9/main" uri="{78C0D931-6437-407d-A8EE-F0AAD7539E65}">
      <x14:conditionalFormattings>
        <x14:conditionalFormatting xmlns:xm="http://schemas.microsoft.com/office/excel/2006/main">
          <x14:cfRule type="cellIs" priority="8" operator="equal" id="{A5BFF6C0-CA91-4624-AD74-998EA47870CB}">
            <xm:f>Helper!$B$15</xm:f>
            <x14:dxf>
              <font>
                <b/>
                <i val="0"/>
                <color rgb="FF9C0006"/>
              </font>
            </x14:dxf>
          </x14:cfRule>
          <xm:sqref>C37:F37</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D69CD-01E5-42DF-A9B6-D09E9E200E32}">
  <sheetPr codeName="Sheet6">
    <pageSetUpPr fitToPage="1"/>
  </sheetPr>
  <dimension ref="A1:O35"/>
  <sheetViews>
    <sheetView zoomScale="90" zoomScaleNormal="90" workbookViewId="0">
      <selection activeCell="D12" sqref="D12"/>
    </sheetView>
  </sheetViews>
  <sheetFormatPr defaultRowHeight="15" x14ac:dyDescent="0.25"/>
  <cols>
    <col min="1" max="1" width="24.5703125" customWidth="1"/>
    <col min="2" max="2" width="26.5703125" bestFit="1" customWidth="1"/>
    <col min="3" max="3" width="9.42578125" bestFit="1" customWidth="1"/>
    <col min="4" max="4" width="24.85546875" bestFit="1" customWidth="1"/>
    <col min="5" max="5" width="11.5703125" customWidth="1"/>
    <col min="6" max="6" width="12.5703125" bestFit="1" customWidth="1"/>
    <col min="7" max="8" width="12.5703125" customWidth="1"/>
    <col min="9" max="9" width="16.140625" customWidth="1"/>
    <col min="10" max="10" width="17" bestFit="1" customWidth="1"/>
    <col min="11" max="11" width="38.42578125" customWidth="1"/>
    <col min="12" max="14" width="0" hidden="1" customWidth="1"/>
    <col min="15" max="15" width="10.7109375" hidden="1" customWidth="1"/>
  </cols>
  <sheetData>
    <row r="1" spans="1:15" ht="23.25" x14ac:dyDescent="0.35">
      <c r="A1" s="34" t="s">
        <v>33</v>
      </c>
      <c r="B1" s="34"/>
      <c r="C1" s="34"/>
      <c r="D1" s="34"/>
      <c r="E1" s="34"/>
      <c r="F1" s="34"/>
      <c r="G1" s="34"/>
      <c r="H1" s="34"/>
      <c r="I1" s="34"/>
      <c r="J1" s="203" t="s">
        <v>34</v>
      </c>
      <c r="K1" s="203"/>
    </row>
    <row r="2" spans="1:15" x14ac:dyDescent="0.25">
      <c r="A2" s="204" t="s">
        <v>35</v>
      </c>
      <c r="B2" s="204"/>
      <c r="C2" s="204"/>
      <c r="D2" s="204"/>
      <c r="E2" s="204"/>
      <c r="F2" s="204"/>
      <c r="G2" s="204"/>
      <c r="H2" s="204"/>
      <c r="I2" s="204"/>
      <c r="J2" s="203"/>
      <c r="K2" s="203"/>
    </row>
    <row r="3" spans="1:15" s="41" customFormat="1" ht="19.5" thickBot="1" x14ac:dyDescent="0.35">
      <c r="A3" s="42" t="s">
        <v>36</v>
      </c>
      <c r="B3" s="43"/>
      <c r="C3" s="40"/>
      <c r="D3" s="42" t="s">
        <v>37</v>
      </c>
      <c r="E3" s="43"/>
      <c r="F3" s="40"/>
      <c r="G3" s="40"/>
      <c r="H3" s="40"/>
      <c r="I3" s="40"/>
      <c r="J3" s="203"/>
      <c r="K3" s="203"/>
    </row>
    <row r="4" spans="1:15" ht="24" thickBot="1" x14ac:dyDescent="0.4">
      <c r="A4" s="42" t="s">
        <v>38</v>
      </c>
      <c r="B4" s="228"/>
      <c r="C4" s="34"/>
      <c r="D4" s="42" t="str">
        <f>IF(B4="Other","Other Type:","")</f>
        <v/>
      </c>
      <c r="E4" s="229"/>
      <c r="F4" s="34"/>
      <c r="G4" s="34"/>
      <c r="H4" s="34"/>
      <c r="I4" s="34"/>
      <c r="J4" s="203"/>
      <c r="K4" s="203"/>
    </row>
    <row r="5" spans="1:15" s="227" customFormat="1" ht="11.25" customHeight="1" x14ac:dyDescent="0.35">
      <c r="A5" s="222"/>
      <c r="B5" s="223"/>
      <c r="C5" s="224"/>
      <c r="D5" s="222"/>
      <c r="E5" s="225"/>
      <c r="F5" s="224"/>
      <c r="G5" s="224"/>
      <c r="H5" s="224"/>
      <c r="I5" s="224"/>
      <c r="J5" s="226"/>
      <c r="K5" s="226"/>
    </row>
    <row r="6" spans="1:15" s="10" customFormat="1" ht="30" customHeight="1" x14ac:dyDescent="0.25">
      <c r="A6" s="35" t="s">
        <v>39</v>
      </c>
      <c r="B6" s="36" t="s">
        <v>40</v>
      </c>
      <c r="C6" s="36" t="s">
        <v>41</v>
      </c>
      <c r="D6" s="36" t="s">
        <v>42</v>
      </c>
      <c r="E6" s="36" t="s">
        <v>43</v>
      </c>
      <c r="F6" s="36" t="s">
        <v>44</v>
      </c>
      <c r="G6" s="36" t="s">
        <v>2306</v>
      </c>
      <c r="H6" s="36" t="s">
        <v>2305</v>
      </c>
      <c r="I6" s="36" t="s">
        <v>46</v>
      </c>
      <c r="J6" s="36" t="s">
        <v>1507</v>
      </c>
      <c r="K6" s="71" t="s">
        <v>2299</v>
      </c>
      <c r="L6" s="36" t="s">
        <v>2310</v>
      </c>
      <c r="M6" s="36" t="s">
        <v>2308</v>
      </c>
      <c r="N6" s="36" t="s">
        <v>2309</v>
      </c>
      <c r="O6" s="36" t="s">
        <v>2311</v>
      </c>
    </row>
    <row r="7" spans="1:15" ht="26.25" x14ac:dyDescent="0.25">
      <c r="A7" s="37" t="s">
        <v>47</v>
      </c>
      <c r="B7" s="38" t="s">
        <v>48</v>
      </c>
      <c r="C7" s="38">
        <v>12</v>
      </c>
      <c r="D7" s="38" t="s">
        <v>198</v>
      </c>
      <c r="E7" s="38" t="s">
        <v>20</v>
      </c>
      <c r="F7" s="96" t="s">
        <v>50</v>
      </c>
      <c r="G7" s="220">
        <v>32</v>
      </c>
      <c r="H7" s="219" t="s">
        <v>2307</v>
      </c>
      <c r="I7" s="96" t="b">
        <v>0</v>
      </c>
      <c r="J7" s="39" t="s">
        <v>51</v>
      </c>
      <c r="K7" s="39"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3LDRCF-1K40-1</v>
      </c>
      <c r="L7" s="95" t="b">
        <f>IF(AND(VLOOKUP(Workbook[[#This Row],[Lutron Ballast Model Number]],Master_Reference[],MATCH("Control Eco",Master_Reference[#Headers],0),FALSE),VLOOKUP(Workbook[[#This Row],[Lutron Ballast Model Number]],Master_Reference[],MATCH("Control 3W",Master_Reference[#Headers],0),FALSE)),TRUE,FALSE)</f>
        <v>1</v>
      </c>
      <c r="M7" s="14" t="b">
        <f>IF(VLOOKUP(Workbook[[#This Row],[Lutron Ballast Model Number]],Master_Reference[],MATCH("Lamp Wattage",Master_Reference[#Headers],0),FALSE)="MW",TRUE,FALSE)</f>
        <v>1</v>
      </c>
      <c r="N7" s="14" t="b">
        <f>IF(VLOOKUP(Workbook[[#This Row],[Lutron Ballast Model Number]],Master_Reference[],MATCH("Lamp Type",Master_Reference[#Headers],0),FALSE)="T4",TRUE,FALSE)</f>
        <v>1</v>
      </c>
      <c r="O7" s="14" t="b">
        <f>IF(VLOOKUP(Workbook[[#This Row],[Lutron Ballast Model Number]],Master_Reference[],MATCH("Sensor Support",Master_Reference[#Headers],0),FALSE),TRUE,FALSE)</f>
        <v>0</v>
      </c>
    </row>
    <row r="8" spans="1:15" ht="33.75" customHeight="1" x14ac:dyDescent="0.25">
      <c r="A8" s="47"/>
      <c r="B8" s="48"/>
      <c r="C8" s="44"/>
      <c r="D8" s="44"/>
      <c r="E8" s="44"/>
      <c r="F8" s="94"/>
      <c r="G8" s="221"/>
      <c r="H8" s="94"/>
      <c r="I8" s="94"/>
      <c r="J8" s="45"/>
      <c r="K8" s="55"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8" s="14" t="e">
        <f>IF(AND(VLOOKUP(Workbook[[#This Row],[Lutron Ballast Model Number]],Master_Reference[],MATCH("Control Eco",Master_Reference[#Headers],0),FALSE),VLOOKUP(Workbook[[#This Row],[Lutron Ballast Model Number]],Master_Reference[],MATCH("Control 3W",Master_Reference[#Headers],0),FALSE)),TRUE,FALSE)</f>
        <v>#N/A</v>
      </c>
      <c r="M8" s="14" t="e">
        <f>IF(VLOOKUP(Workbook[[#This Row],[Lutron Ballast Model Number]],Master_Reference[],MATCH("Lamp Wattage",Master_Reference[#Headers],0),FALSE)="MW",TRUE,FALSE)</f>
        <v>#N/A</v>
      </c>
      <c r="N8" s="14" t="e">
        <f>IF(VLOOKUP(Workbook[[#This Row],[Lutron Ballast Model Number]],Master_Reference[],MATCH("Lamp Type",Master_Reference[#Headers],0),FALSE)="T4",TRUE,FALSE)</f>
        <v>#N/A</v>
      </c>
      <c r="O8" s="14" t="e">
        <f>IF(VLOOKUP(Workbook[[#This Row],[Lutron Ballast Model Number]],Master_Reference[],MATCH("Sensor Support",Master_Reference[#Headers],0),FALSE),TRUE,FALSE)</f>
        <v>#N/A</v>
      </c>
    </row>
    <row r="9" spans="1:15" ht="33.75" customHeight="1" x14ac:dyDescent="0.25">
      <c r="A9" s="47"/>
      <c r="B9" s="48"/>
      <c r="C9" s="44"/>
      <c r="D9" s="44"/>
      <c r="E9" s="44"/>
      <c r="F9" s="94"/>
      <c r="G9" s="221"/>
      <c r="H9" s="94"/>
      <c r="I9" s="94"/>
      <c r="J9" s="45"/>
      <c r="K9"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9" s="14" t="e">
        <f>IF(AND(VLOOKUP(Workbook[[#This Row],[Lutron Ballast Model Number]],Master_Reference[],MATCH("Control Eco",Master_Reference[#Headers],0),FALSE),VLOOKUP(Workbook[[#This Row],[Lutron Ballast Model Number]],Master_Reference[],MATCH("Control 3W",Master_Reference[#Headers],0),FALSE)),TRUE,FALSE)</f>
        <v>#N/A</v>
      </c>
      <c r="M9" s="14" t="e">
        <f>IF(VLOOKUP(Workbook[[#This Row],[Lutron Ballast Model Number]],Master_Reference[],MATCH("Lamp Wattage",Master_Reference[#Headers],0),FALSE)="MW",TRUE,FALSE)</f>
        <v>#N/A</v>
      </c>
      <c r="N9" s="14" t="e">
        <f>IF(VLOOKUP(Workbook[[#This Row],[Lutron Ballast Model Number]],Master_Reference[],MATCH("Lamp Type",Master_Reference[#Headers],0),FALSE)="T4",TRUE,FALSE)</f>
        <v>#N/A</v>
      </c>
      <c r="O9" s="14" t="e">
        <f>IF(VLOOKUP(Workbook[[#This Row],[Lutron Ballast Model Number]],Master_Reference[],MATCH("Sensor Support",Master_Reference[#Headers],0),FALSE),TRUE,FALSE)</f>
        <v>#N/A</v>
      </c>
    </row>
    <row r="10" spans="1:15" ht="33.75" customHeight="1" x14ac:dyDescent="0.25">
      <c r="A10" s="47"/>
      <c r="B10" s="48"/>
      <c r="C10" s="44"/>
      <c r="D10" s="44"/>
      <c r="E10" s="44"/>
      <c r="F10" s="94"/>
      <c r="G10" s="221"/>
      <c r="H10" s="94"/>
      <c r="I10" s="94"/>
      <c r="J10" s="45"/>
      <c r="K10"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10" s="14" t="e">
        <f>IF(AND(VLOOKUP(Workbook[[#This Row],[Lutron Ballast Model Number]],Master_Reference[],MATCH("Control Eco",Master_Reference[#Headers],0),FALSE),VLOOKUP(Workbook[[#This Row],[Lutron Ballast Model Number]],Master_Reference[],MATCH("Control 3W",Master_Reference[#Headers],0),FALSE)),TRUE,FALSE)</f>
        <v>#N/A</v>
      </c>
      <c r="M10" s="14" t="e">
        <f>IF(VLOOKUP(Workbook[[#This Row],[Lutron Ballast Model Number]],Master_Reference[],MATCH("Lamp Wattage",Master_Reference[#Headers],0),FALSE)="MW",TRUE,FALSE)</f>
        <v>#N/A</v>
      </c>
      <c r="N10" s="14" t="e">
        <f>IF(VLOOKUP(Workbook[[#This Row],[Lutron Ballast Model Number]],Master_Reference[],MATCH("Lamp Type",Master_Reference[#Headers],0),FALSE)="T4",TRUE,FALSE)</f>
        <v>#N/A</v>
      </c>
      <c r="O10" s="14" t="e">
        <f>IF(VLOOKUP(Workbook[[#This Row],[Lutron Ballast Model Number]],Master_Reference[],MATCH("Sensor Support",Master_Reference[#Headers],0),FALSE),TRUE,FALSE)</f>
        <v>#N/A</v>
      </c>
    </row>
    <row r="11" spans="1:15" ht="33.75" customHeight="1" x14ac:dyDescent="0.25">
      <c r="A11" s="47"/>
      <c r="B11" s="48"/>
      <c r="C11" s="44"/>
      <c r="D11" s="44"/>
      <c r="E11" s="44"/>
      <c r="F11" s="94"/>
      <c r="G11" s="221"/>
      <c r="H11" s="94"/>
      <c r="I11" s="94"/>
      <c r="J11" s="45"/>
      <c r="K11"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11" s="14" t="e">
        <f>IF(AND(VLOOKUP(Workbook[[#This Row],[Lutron Ballast Model Number]],Master_Reference[],MATCH("Control Eco",Master_Reference[#Headers],0),FALSE),VLOOKUP(Workbook[[#This Row],[Lutron Ballast Model Number]],Master_Reference[],MATCH("Control 3W",Master_Reference[#Headers],0),FALSE)),TRUE,FALSE)</f>
        <v>#N/A</v>
      </c>
      <c r="M11" s="14" t="e">
        <f>IF(VLOOKUP(Workbook[[#This Row],[Lutron Ballast Model Number]],Master_Reference[],MATCH("Lamp Wattage",Master_Reference[#Headers],0),FALSE)="MW",TRUE,FALSE)</f>
        <v>#N/A</v>
      </c>
      <c r="N11" s="14" t="e">
        <f>IF(VLOOKUP(Workbook[[#This Row],[Lutron Ballast Model Number]],Master_Reference[],MATCH("Lamp Type",Master_Reference[#Headers],0),FALSE)="T4",TRUE,FALSE)</f>
        <v>#N/A</v>
      </c>
      <c r="O11" s="14" t="e">
        <f>IF(VLOOKUP(Workbook[[#This Row],[Lutron Ballast Model Number]],Master_Reference[],MATCH("Sensor Support",Master_Reference[#Headers],0),FALSE),TRUE,FALSE)</f>
        <v>#N/A</v>
      </c>
    </row>
    <row r="12" spans="1:15" ht="33.75" customHeight="1" x14ac:dyDescent="0.25">
      <c r="A12" s="47"/>
      <c r="B12" s="48"/>
      <c r="C12" s="44"/>
      <c r="D12" s="44"/>
      <c r="E12" s="44"/>
      <c r="F12" s="94"/>
      <c r="G12" s="221"/>
      <c r="H12" s="94"/>
      <c r="I12" s="94"/>
      <c r="J12" s="45"/>
      <c r="K12"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12" s="14" t="e">
        <f>IF(AND(VLOOKUP(Workbook[[#This Row],[Lutron Ballast Model Number]],Master_Reference[],MATCH("Control Eco",Master_Reference[#Headers],0),FALSE),VLOOKUP(Workbook[[#This Row],[Lutron Ballast Model Number]],Master_Reference[],MATCH("Control 3W",Master_Reference[#Headers],0),FALSE)),TRUE,FALSE)</f>
        <v>#N/A</v>
      </c>
      <c r="M12" s="14" t="e">
        <f>IF(VLOOKUP(Workbook[[#This Row],[Lutron Ballast Model Number]],Master_Reference[],MATCH("Lamp Wattage",Master_Reference[#Headers],0),FALSE)="MW",TRUE,FALSE)</f>
        <v>#N/A</v>
      </c>
      <c r="N12" s="14" t="e">
        <f>IF(VLOOKUP(Workbook[[#This Row],[Lutron Ballast Model Number]],Master_Reference[],MATCH("Lamp Type",Master_Reference[#Headers],0),FALSE)="T4",TRUE,FALSE)</f>
        <v>#N/A</v>
      </c>
      <c r="O12" s="14" t="e">
        <f>IF(VLOOKUP(Workbook[[#This Row],[Lutron Ballast Model Number]],Master_Reference[],MATCH("Sensor Support",Master_Reference[#Headers],0),FALSE),TRUE,FALSE)</f>
        <v>#N/A</v>
      </c>
    </row>
    <row r="13" spans="1:15" ht="33.75" customHeight="1" x14ac:dyDescent="0.25">
      <c r="A13" s="47"/>
      <c r="B13" s="48"/>
      <c r="C13" s="44"/>
      <c r="D13" s="44"/>
      <c r="E13" s="44"/>
      <c r="F13" s="94"/>
      <c r="G13" s="221"/>
      <c r="H13" s="94"/>
      <c r="I13" s="94"/>
      <c r="J13" s="45"/>
      <c r="K13"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13" s="14" t="e">
        <f>IF(AND(VLOOKUP(Workbook[[#This Row],[Lutron Ballast Model Number]],Master_Reference[],MATCH("Control Eco",Master_Reference[#Headers],0),FALSE),VLOOKUP(Workbook[[#This Row],[Lutron Ballast Model Number]],Master_Reference[],MATCH("Control 3W",Master_Reference[#Headers],0),FALSE)),TRUE,FALSE)</f>
        <v>#N/A</v>
      </c>
      <c r="M13" s="14" t="e">
        <f>IF(VLOOKUP(Workbook[[#This Row],[Lutron Ballast Model Number]],Master_Reference[],MATCH("Lamp Wattage",Master_Reference[#Headers],0),FALSE)="MW",TRUE,FALSE)</f>
        <v>#N/A</v>
      </c>
      <c r="N13" s="14" t="e">
        <f>IF(VLOOKUP(Workbook[[#This Row],[Lutron Ballast Model Number]],Master_Reference[],MATCH("Lamp Type",Master_Reference[#Headers],0),FALSE)="T4",TRUE,FALSE)</f>
        <v>#N/A</v>
      </c>
      <c r="O13" s="14" t="e">
        <f>IF(VLOOKUP(Workbook[[#This Row],[Lutron Ballast Model Number]],Master_Reference[],MATCH("Sensor Support",Master_Reference[#Headers],0),FALSE),TRUE,FALSE)</f>
        <v>#N/A</v>
      </c>
    </row>
    <row r="14" spans="1:15" ht="33.75" customHeight="1" x14ac:dyDescent="0.25">
      <c r="A14" s="47"/>
      <c r="B14" s="48"/>
      <c r="C14" s="44"/>
      <c r="D14" s="44"/>
      <c r="E14" s="44"/>
      <c r="F14" s="94"/>
      <c r="G14" s="221"/>
      <c r="H14" s="94"/>
      <c r="I14" s="94"/>
      <c r="J14" s="45"/>
      <c r="K14"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14" s="14" t="e">
        <f>IF(AND(VLOOKUP(Workbook[[#This Row],[Lutron Ballast Model Number]],Master_Reference[],MATCH("Control Eco",Master_Reference[#Headers],0),FALSE),VLOOKUP(Workbook[[#This Row],[Lutron Ballast Model Number]],Master_Reference[],MATCH("Control 3W",Master_Reference[#Headers],0),FALSE)),TRUE,FALSE)</f>
        <v>#N/A</v>
      </c>
      <c r="M14" s="14" t="e">
        <f>IF(VLOOKUP(Workbook[[#This Row],[Lutron Ballast Model Number]],Master_Reference[],MATCH("Lamp Wattage",Master_Reference[#Headers],0),FALSE)="MW",TRUE,FALSE)</f>
        <v>#N/A</v>
      </c>
      <c r="N14" s="14" t="e">
        <f>IF(VLOOKUP(Workbook[[#This Row],[Lutron Ballast Model Number]],Master_Reference[],MATCH("Lamp Type",Master_Reference[#Headers],0),FALSE)="T4",TRUE,FALSE)</f>
        <v>#N/A</v>
      </c>
      <c r="O14" s="14" t="e">
        <f>IF(VLOOKUP(Workbook[[#This Row],[Lutron Ballast Model Number]],Master_Reference[],MATCH("Sensor Support",Master_Reference[#Headers],0),FALSE),TRUE,FALSE)</f>
        <v>#N/A</v>
      </c>
    </row>
    <row r="15" spans="1:15" ht="33.75" customHeight="1" x14ac:dyDescent="0.25">
      <c r="A15" s="47"/>
      <c r="B15" s="48"/>
      <c r="C15" s="44"/>
      <c r="D15" s="44"/>
      <c r="E15" s="44"/>
      <c r="F15" s="94"/>
      <c r="G15" s="221"/>
      <c r="H15" s="94"/>
      <c r="I15" s="94"/>
      <c r="J15" s="45"/>
      <c r="K15"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15" s="14" t="e">
        <f>IF(AND(VLOOKUP(Workbook[[#This Row],[Lutron Ballast Model Number]],Master_Reference[],MATCH("Control Eco",Master_Reference[#Headers],0),FALSE),VLOOKUP(Workbook[[#This Row],[Lutron Ballast Model Number]],Master_Reference[],MATCH("Control 3W",Master_Reference[#Headers],0),FALSE)),TRUE,FALSE)</f>
        <v>#N/A</v>
      </c>
      <c r="M15" s="14" t="e">
        <f>IF(VLOOKUP(Workbook[[#This Row],[Lutron Ballast Model Number]],Master_Reference[],MATCH("Lamp Wattage",Master_Reference[#Headers],0),FALSE)="MW",TRUE,FALSE)</f>
        <v>#N/A</v>
      </c>
      <c r="N15" s="14" t="e">
        <f>IF(VLOOKUP(Workbook[[#This Row],[Lutron Ballast Model Number]],Master_Reference[],MATCH("Lamp Type",Master_Reference[#Headers],0),FALSE)="T4",TRUE,FALSE)</f>
        <v>#N/A</v>
      </c>
      <c r="O15" s="14" t="e">
        <f>IF(VLOOKUP(Workbook[[#This Row],[Lutron Ballast Model Number]],Master_Reference[],MATCH("Sensor Support",Master_Reference[#Headers],0),FALSE),TRUE,FALSE)</f>
        <v>#N/A</v>
      </c>
    </row>
    <row r="16" spans="1:15" ht="33.75" customHeight="1" x14ac:dyDescent="0.25">
      <c r="A16" s="49"/>
      <c r="B16" s="50"/>
      <c r="C16" s="46"/>
      <c r="D16" s="44"/>
      <c r="E16" s="44"/>
      <c r="F16" s="94"/>
      <c r="G16" s="221"/>
      <c r="H16" s="94"/>
      <c r="I16" s="94"/>
      <c r="J16" s="45"/>
      <c r="K16"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16" s="14" t="e">
        <f>IF(AND(VLOOKUP(Workbook[[#This Row],[Lutron Ballast Model Number]],Master_Reference[],MATCH("Control Eco",Master_Reference[#Headers],0),FALSE),VLOOKUP(Workbook[[#This Row],[Lutron Ballast Model Number]],Master_Reference[],MATCH("Control 3W",Master_Reference[#Headers],0),FALSE)),TRUE,FALSE)</f>
        <v>#N/A</v>
      </c>
      <c r="M16" s="14" t="e">
        <f>IF(VLOOKUP(Workbook[[#This Row],[Lutron Ballast Model Number]],Master_Reference[],MATCH("Lamp Wattage",Master_Reference[#Headers],0),FALSE)="MW",TRUE,FALSE)</f>
        <v>#N/A</v>
      </c>
      <c r="N16" s="14" t="e">
        <f>IF(VLOOKUP(Workbook[[#This Row],[Lutron Ballast Model Number]],Master_Reference[],MATCH("Lamp Type",Master_Reference[#Headers],0),FALSE)="T4",TRUE,FALSE)</f>
        <v>#N/A</v>
      </c>
      <c r="O16" s="14" t="e">
        <f>IF(VLOOKUP(Workbook[[#This Row],[Lutron Ballast Model Number]],Master_Reference[],MATCH("Sensor Support",Master_Reference[#Headers],0),FALSE),TRUE,FALSE)</f>
        <v>#N/A</v>
      </c>
    </row>
    <row r="17" spans="1:15" ht="33.75" customHeight="1" x14ac:dyDescent="0.25">
      <c r="A17" s="51"/>
      <c r="B17" s="52"/>
      <c r="C17" s="53"/>
      <c r="D17" s="53"/>
      <c r="E17" s="53"/>
      <c r="F17" s="97"/>
      <c r="G17" s="221"/>
      <c r="H17" s="94"/>
      <c r="I17" s="97"/>
      <c r="J17" s="54"/>
      <c r="K17"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17" s="14" t="e">
        <f>IF(AND(VLOOKUP(Workbook[[#This Row],[Lutron Ballast Model Number]],Master_Reference[],MATCH("Control Eco",Master_Reference[#Headers],0),FALSE),VLOOKUP(Workbook[[#This Row],[Lutron Ballast Model Number]],Master_Reference[],MATCH("Control 3W",Master_Reference[#Headers],0),FALSE)),TRUE,FALSE)</f>
        <v>#N/A</v>
      </c>
      <c r="M17" s="14" t="e">
        <f>IF(VLOOKUP(Workbook[[#This Row],[Lutron Ballast Model Number]],Master_Reference[],MATCH("Lamp Wattage",Master_Reference[#Headers],0),FALSE)="MW",TRUE,FALSE)</f>
        <v>#N/A</v>
      </c>
      <c r="N17" s="14" t="e">
        <f>IF(VLOOKUP(Workbook[[#This Row],[Lutron Ballast Model Number]],Master_Reference[],MATCH("Lamp Type",Master_Reference[#Headers],0),FALSE)="T4",TRUE,FALSE)</f>
        <v>#N/A</v>
      </c>
      <c r="O17" s="14" t="e">
        <f>IF(VLOOKUP(Workbook[[#This Row],[Lutron Ballast Model Number]],Master_Reference[],MATCH("Sensor Support",Master_Reference[#Headers],0),FALSE),TRUE,FALSE)</f>
        <v>#N/A</v>
      </c>
    </row>
    <row r="18" spans="1:15" ht="33.75" customHeight="1" x14ac:dyDescent="0.25">
      <c r="A18" s="51"/>
      <c r="B18" s="52"/>
      <c r="C18" s="53"/>
      <c r="D18" s="53"/>
      <c r="E18" s="53"/>
      <c r="F18" s="97"/>
      <c r="G18" s="221"/>
      <c r="H18" s="94"/>
      <c r="I18" s="97"/>
      <c r="J18" s="54"/>
      <c r="K18"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18" s="14" t="e">
        <f>IF(AND(VLOOKUP(Workbook[[#This Row],[Lutron Ballast Model Number]],Master_Reference[],MATCH("Control Eco",Master_Reference[#Headers],0),FALSE),VLOOKUP(Workbook[[#This Row],[Lutron Ballast Model Number]],Master_Reference[],MATCH("Control 3W",Master_Reference[#Headers],0),FALSE)),TRUE,FALSE)</f>
        <v>#N/A</v>
      </c>
      <c r="M18" s="14" t="e">
        <f>IF(VLOOKUP(Workbook[[#This Row],[Lutron Ballast Model Number]],Master_Reference[],MATCH("Lamp Wattage",Master_Reference[#Headers],0),FALSE)="MW",TRUE,FALSE)</f>
        <v>#N/A</v>
      </c>
      <c r="N18" s="14" t="e">
        <f>IF(VLOOKUP(Workbook[[#This Row],[Lutron Ballast Model Number]],Master_Reference[],MATCH("Lamp Type",Master_Reference[#Headers],0),FALSE)="T4",TRUE,FALSE)</f>
        <v>#N/A</v>
      </c>
      <c r="O18" s="14" t="e">
        <f>IF(VLOOKUP(Workbook[[#This Row],[Lutron Ballast Model Number]],Master_Reference[],MATCH("Sensor Support",Master_Reference[#Headers],0),FALSE),TRUE,FALSE)</f>
        <v>#N/A</v>
      </c>
    </row>
    <row r="19" spans="1:15" ht="33.75" customHeight="1" x14ac:dyDescent="0.25">
      <c r="A19" s="51"/>
      <c r="B19" s="52"/>
      <c r="C19" s="53"/>
      <c r="D19" s="53"/>
      <c r="E19" s="53"/>
      <c r="F19" s="97"/>
      <c r="G19" s="221"/>
      <c r="H19" s="94"/>
      <c r="I19" s="97"/>
      <c r="J19" s="54"/>
      <c r="K19"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19" s="14" t="e">
        <f>IF(AND(VLOOKUP(Workbook[[#This Row],[Lutron Ballast Model Number]],Master_Reference[],MATCH("Control Eco",Master_Reference[#Headers],0),FALSE),VLOOKUP(Workbook[[#This Row],[Lutron Ballast Model Number]],Master_Reference[],MATCH("Control 3W",Master_Reference[#Headers],0),FALSE)),TRUE,FALSE)</f>
        <v>#N/A</v>
      </c>
      <c r="M19" s="14" t="e">
        <f>IF(VLOOKUP(Workbook[[#This Row],[Lutron Ballast Model Number]],Master_Reference[],MATCH("Lamp Wattage",Master_Reference[#Headers],0),FALSE)="MW",TRUE,FALSE)</f>
        <v>#N/A</v>
      </c>
      <c r="N19" s="14" t="e">
        <f>IF(VLOOKUP(Workbook[[#This Row],[Lutron Ballast Model Number]],Master_Reference[],MATCH("Lamp Type",Master_Reference[#Headers],0),FALSE)="T4",TRUE,FALSE)</f>
        <v>#N/A</v>
      </c>
      <c r="O19" s="14" t="e">
        <f>IF(VLOOKUP(Workbook[[#This Row],[Lutron Ballast Model Number]],Master_Reference[],MATCH("Sensor Support",Master_Reference[#Headers],0),FALSE),TRUE,FALSE)</f>
        <v>#N/A</v>
      </c>
    </row>
    <row r="20" spans="1:15" ht="33.75" customHeight="1" x14ac:dyDescent="0.25">
      <c r="A20" s="51"/>
      <c r="B20" s="52"/>
      <c r="C20" s="53"/>
      <c r="D20" s="53"/>
      <c r="E20" s="53"/>
      <c r="F20" s="97"/>
      <c r="G20" s="221"/>
      <c r="H20" s="94"/>
      <c r="I20" s="97"/>
      <c r="J20" s="54"/>
      <c r="K20"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20" s="14" t="e">
        <f>IF(AND(VLOOKUP(Workbook[[#This Row],[Lutron Ballast Model Number]],Master_Reference[],MATCH("Control Eco",Master_Reference[#Headers],0),FALSE),VLOOKUP(Workbook[[#This Row],[Lutron Ballast Model Number]],Master_Reference[],MATCH("Control 3W",Master_Reference[#Headers],0),FALSE)),TRUE,FALSE)</f>
        <v>#N/A</v>
      </c>
      <c r="M20" s="14" t="e">
        <f>IF(VLOOKUP(Workbook[[#This Row],[Lutron Ballast Model Number]],Master_Reference[],MATCH("Lamp Wattage",Master_Reference[#Headers],0),FALSE)="MW",TRUE,FALSE)</f>
        <v>#N/A</v>
      </c>
      <c r="N20" s="14" t="e">
        <f>IF(VLOOKUP(Workbook[[#This Row],[Lutron Ballast Model Number]],Master_Reference[],MATCH("Lamp Type",Master_Reference[#Headers],0),FALSE)="T4",TRUE,FALSE)</f>
        <v>#N/A</v>
      </c>
      <c r="O20" s="14" t="e">
        <f>IF(VLOOKUP(Workbook[[#This Row],[Lutron Ballast Model Number]],Master_Reference[],MATCH("Sensor Support",Master_Reference[#Headers],0),FALSE),TRUE,FALSE)</f>
        <v>#N/A</v>
      </c>
    </row>
    <row r="21" spans="1:15" ht="33.75" customHeight="1" x14ac:dyDescent="0.25">
      <c r="A21" s="51"/>
      <c r="B21" s="52"/>
      <c r="C21" s="53"/>
      <c r="D21" s="53"/>
      <c r="E21" s="53"/>
      <c r="F21" s="97"/>
      <c r="G21" s="221"/>
      <c r="H21" s="94"/>
      <c r="I21" s="97"/>
      <c r="J21" s="54"/>
      <c r="K21"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21" s="14" t="e">
        <f>IF(AND(VLOOKUP(Workbook[[#This Row],[Lutron Ballast Model Number]],Master_Reference[],MATCH("Control Eco",Master_Reference[#Headers],0),FALSE),VLOOKUP(Workbook[[#This Row],[Lutron Ballast Model Number]],Master_Reference[],MATCH("Control 3W",Master_Reference[#Headers],0),FALSE)),TRUE,FALSE)</f>
        <v>#N/A</v>
      </c>
      <c r="M21" s="14" t="e">
        <f>IF(VLOOKUP(Workbook[[#This Row],[Lutron Ballast Model Number]],Master_Reference[],MATCH("Lamp Wattage",Master_Reference[#Headers],0),FALSE)="MW",TRUE,FALSE)</f>
        <v>#N/A</v>
      </c>
      <c r="N21" s="14" t="e">
        <f>IF(VLOOKUP(Workbook[[#This Row],[Lutron Ballast Model Number]],Master_Reference[],MATCH("Lamp Type",Master_Reference[#Headers],0),FALSE)="T4",TRUE,FALSE)</f>
        <v>#N/A</v>
      </c>
      <c r="O21" s="14" t="e">
        <f>IF(VLOOKUP(Workbook[[#This Row],[Lutron Ballast Model Number]],Master_Reference[],MATCH("Sensor Support",Master_Reference[#Headers],0),FALSE),TRUE,FALSE)</f>
        <v>#N/A</v>
      </c>
    </row>
    <row r="22" spans="1:15" ht="33.75" customHeight="1" x14ac:dyDescent="0.25">
      <c r="A22" s="51"/>
      <c r="B22" s="52"/>
      <c r="C22" s="53"/>
      <c r="D22" s="53"/>
      <c r="E22" s="53"/>
      <c r="F22" s="97"/>
      <c r="G22" s="221"/>
      <c r="H22" s="94"/>
      <c r="I22" s="97"/>
      <c r="J22" s="54"/>
      <c r="K22"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22" s="14" t="e">
        <f>IF(AND(VLOOKUP(Workbook[[#This Row],[Lutron Ballast Model Number]],Master_Reference[],MATCH("Control Eco",Master_Reference[#Headers],0),FALSE),VLOOKUP(Workbook[[#This Row],[Lutron Ballast Model Number]],Master_Reference[],MATCH("Control 3W",Master_Reference[#Headers],0),FALSE)),TRUE,FALSE)</f>
        <v>#N/A</v>
      </c>
      <c r="M22" s="14" t="e">
        <f>IF(VLOOKUP(Workbook[[#This Row],[Lutron Ballast Model Number]],Master_Reference[],MATCH("Lamp Wattage",Master_Reference[#Headers],0),FALSE)="MW",TRUE,FALSE)</f>
        <v>#N/A</v>
      </c>
      <c r="N22" s="14" t="e">
        <f>IF(VLOOKUP(Workbook[[#This Row],[Lutron Ballast Model Number]],Master_Reference[],MATCH("Lamp Type",Master_Reference[#Headers],0),FALSE)="T4",TRUE,FALSE)</f>
        <v>#N/A</v>
      </c>
      <c r="O22" s="14" t="e">
        <f>IF(VLOOKUP(Workbook[[#This Row],[Lutron Ballast Model Number]],Master_Reference[],MATCH("Sensor Support",Master_Reference[#Headers],0),FALSE),TRUE,FALSE)</f>
        <v>#N/A</v>
      </c>
    </row>
    <row r="23" spans="1:15" ht="33.75" customHeight="1" x14ac:dyDescent="0.25">
      <c r="A23" s="51"/>
      <c r="B23" s="52"/>
      <c r="C23" s="53"/>
      <c r="D23" s="53"/>
      <c r="E23" s="53"/>
      <c r="F23" s="97"/>
      <c r="G23" s="221"/>
      <c r="H23" s="94"/>
      <c r="I23" s="97"/>
      <c r="J23" s="54"/>
      <c r="K23"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23" s="14" t="e">
        <f>IF(AND(VLOOKUP(Workbook[[#This Row],[Lutron Ballast Model Number]],Master_Reference[],MATCH("Control Eco",Master_Reference[#Headers],0),FALSE),VLOOKUP(Workbook[[#This Row],[Lutron Ballast Model Number]],Master_Reference[],MATCH("Control 3W",Master_Reference[#Headers],0),FALSE)),TRUE,FALSE)</f>
        <v>#N/A</v>
      </c>
      <c r="M23" s="14" t="e">
        <f>IF(VLOOKUP(Workbook[[#This Row],[Lutron Ballast Model Number]],Master_Reference[],MATCH("Lamp Wattage",Master_Reference[#Headers],0),FALSE)="MW",TRUE,FALSE)</f>
        <v>#N/A</v>
      </c>
      <c r="N23" s="14" t="e">
        <f>IF(VLOOKUP(Workbook[[#This Row],[Lutron Ballast Model Number]],Master_Reference[],MATCH("Lamp Type",Master_Reference[#Headers],0),FALSE)="T4",TRUE,FALSE)</f>
        <v>#N/A</v>
      </c>
      <c r="O23" s="14" t="e">
        <f>IF(VLOOKUP(Workbook[[#This Row],[Lutron Ballast Model Number]],Master_Reference[],MATCH("Sensor Support",Master_Reference[#Headers],0),FALSE),TRUE,FALSE)</f>
        <v>#N/A</v>
      </c>
    </row>
    <row r="24" spans="1:15" ht="33.75" customHeight="1" x14ac:dyDescent="0.25">
      <c r="A24" s="51"/>
      <c r="B24" s="52"/>
      <c r="C24" s="53"/>
      <c r="D24" s="53"/>
      <c r="E24" s="53"/>
      <c r="F24" s="97"/>
      <c r="G24" s="221"/>
      <c r="H24" s="94"/>
      <c r="I24" s="97"/>
      <c r="J24" s="54"/>
      <c r="K24"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24" s="14" t="e">
        <f>IF(AND(VLOOKUP(Workbook[[#This Row],[Lutron Ballast Model Number]],Master_Reference[],MATCH("Control Eco",Master_Reference[#Headers],0),FALSE),VLOOKUP(Workbook[[#This Row],[Lutron Ballast Model Number]],Master_Reference[],MATCH("Control 3W",Master_Reference[#Headers],0),FALSE)),TRUE,FALSE)</f>
        <v>#N/A</v>
      </c>
      <c r="M24" s="14" t="e">
        <f>IF(VLOOKUP(Workbook[[#This Row],[Lutron Ballast Model Number]],Master_Reference[],MATCH("Lamp Wattage",Master_Reference[#Headers],0),FALSE)="MW",TRUE,FALSE)</f>
        <v>#N/A</v>
      </c>
      <c r="N24" s="14" t="e">
        <f>IF(VLOOKUP(Workbook[[#This Row],[Lutron Ballast Model Number]],Master_Reference[],MATCH("Lamp Type",Master_Reference[#Headers],0),FALSE)="T4",TRUE,FALSE)</f>
        <v>#N/A</v>
      </c>
      <c r="O24" s="14" t="e">
        <f>IF(VLOOKUP(Workbook[[#This Row],[Lutron Ballast Model Number]],Master_Reference[],MATCH("Sensor Support",Master_Reference[#Headers],0),FALSE),TRUE,FALSE)</f>
        <v>#N/A</v>
      </c>
    </row>
    <row r="25" spans="1:15" ht="33.75" customHeight="1" x14ac:dyDescent="0.25">
      <c r="A25" s="51"/>
      <c r="B25" s="52"/>
      <c r="C25" s="53"/>
      <c r="D25" s="53"/>
      <c r="E25" s="53"/>
      <c r="F25" s="97"/>
      <c r="G25" s="221"/>
      <c r="H25" s="94"/>
      <c r="I25" s="97"/>
      <c r="J25" s="54"/>
      <c r="K25" s="72" t="str">
        <f>_xlfn.IFNA(SUBSTITUTE(VLOOKUP(SUBSTITUTE(SUBSTITUTE(SUBSTITUTE(VLOOKUP(Workbook[[#This Row],[Lutron Ballast Model Number]],Master_Reference[],MATCH(Workbook[[#This Row],[Control Type]]&amp;" C-Flex Kit Base",Master_Reference[#Headers],0),FALSE),"xx",LEFT(Workbook[[#This Row],[Lamp CCT]],2)),"ww",Workbook[[#This Row],[CFL Lamp Wattage]]),"m",LEFT(Workbook[[#This Row],[CFL Lamp Orientation]],1)),Lutron_CFlex_Lookup[],MATCH("Lutron Kit PN"&amp;IF(Workbook[[#This Row],[Ballast Sensor Connections?]]," with BMF",""),Lutron_CFlex_Lookup[#Headers],0),FALSE),"q","1"),"")</f>
        <v/>
      </c>
      <c r="L25" s="14" t="e">
        <f>IF(AND(VLOOKUP(Workbook[[#This Row],[Lutron Ballast Model Number]],Master_Reference[],MATCH("Control Eco",Master_Reference[#Headers],0),FALSE),VLOOKUP(Workbook[[#This Row],[Lutron Ballast Model Number]],Master_Reference[],MATCH("Control 3W",Master_Reference[#Headers],0),FALSE)),TRUE,FALSE)</f>
        <v>#N/A</v>
      </c>
      <c r="M25" s="14" t="e">
        <f>IF(VLOOKUP(Workbook[[#This Row],[Lutron Ballast Model Number]],Master_Reference[],MATCH("Lamp Wattage",Master_Reference[#Headers],0),FALSE)="MW",TRUE,FALSE)</f>
        <v>#N/A</v>
      </c>
      <c r="N25" s="14" t="e">
        <f>IF(VLOOKUP(Workbook[[#This Row],[Lutron Ballast Model Number]],Master_Reference[],MATCH("Lamp Type",Master_Reference[#Headers],0),FALSE)="T4",TRUE,FALSE)</f>
        <v>#N/A</v>
      </c>
      <c r="O25" s="14" t="e">
        <f>IF(VLOOKUP(Workbook[[#This Row],[Lutron Ballast Model Number]],Master_Reference[],MATCH("Sensor Support",Master_Reference[#Headers],0),FALSE),TRUE,FALSE)</f>
        <v>#N/A</v>
      </c>
    </row>
    <row r="26" spans="1:15" x14ac:dyDescent="0.25">
      <c r="A26" s="30" t="str">
        <f>Version</f>
        <v>Rev K</v>
      </c>
    </row>
    <row r="28" spans="1:15" x14ac:dyDescent="0.25">
      <c r="A28" s="32"/>
    </row>
    <row r="29" spans="1:15" x14ac:dyDescent="0.25">
      <c r="A29" s="30"/>
    </row>
    <row r="30" spans="1:15" x14ac:dyDescent="0.25">
      <c r="A30" s="30"/>
    </row>
    <row r="31" spans="1:15" x14ac:dyDescent="0.25">
      <c r="A31" s="31"/>
    </row>
    <row r="32" spans="1:15" x14ac:dyDescent="0.25">
      <c r="A32" s="31"/>
    </row>
    <row r="33" spans="1:1" x14ac:dyDescent="0.25">
      <c r="A33" s="31"/>
    </row>
    <row r="34" spans="1:1" x14ac:dyDescent="0.25">
      <c r="A34" s="31"/>
    </row>
    <row r="35" spans="1:1" x14ac:dyDescent="0.25">
      <c r="A35" s="31"/>
    </row>
  </sheetData>
  <sheetProtection algorithmName="SHA-512" hashValue="Aijxdgp8YQVZ9wXRH7scr87O4mxmBDQXdNFnGNB1nHcjYjUYlO08B9IkgDAJaMyZXB5RJE1r6Yi4tBYVx7V0XQ==" saltValue="1CqEMGOY9zulbeu3Tkhq/Q==" spinCount="100000" sheet="1" objects="1" scenarios="1"/>
  <mergeCells count="2">
    <mergeCell ref="J1:K4"/>
    <mergeCell ref="A2:I2"/>
  </mergeCells>
  <phoneticPr fontId="2" type="noConversion"/>
  <conditionalFormatting sqref="F7:F25">
    <cfRule type="expression" dxfId="6" priority="3">
      <formula>$L7</formula>
    </cfRule>
  </conditionalFormatting>
  <conditionalFormatting sqref="G7:G25">
    <cfRule type="expression" dxfId="5" priority="5">
      <formula>$M7</formula>
    </cfRule>
  </conditionalFormatting>
  <conditionalFormatting sqref="H7:H25">
    <cfRule type="expression" dxfId="4" priority="4">
      <formula>$N7</formula>
    </cfRule>
  </conditionalFormatting>
  <conditionalFormatting sqref="I7:I25">
    <cfRule type="expression" dxfId="3" priority="2">
      <formula>$O7</formula>
    </cfRule>
  </conditionalFormatting>
  <conditionalFormatting sqref="E4">
    <cfRule type="expression" dxfId="0" priority="1">
      <formula>$B$4="Other"</formula>
    </cfRule>
  </conditionalFormatting>
  <dataValidations count="8">
    <dataValidation type="list" allowBlank="1" showInputMessage="1" showErrorMessage="1" sqref="E7:E25" xr:uid="{D1B22A92-051F-40AF-A466-189CD280FC7D}">
      <formula1>CCT_List</formula1>
    </dataValidation>
    <dataValidation type="list" allowBlank="1" showInputMessage="1" showErrorMessage="1" sqref="F7:F16" xr:uid="{8B4EAA38-702A-483A-A589-1DD76D9A4288}">
      <formula1>ControlType_List</formula1>
    </dataValidation>
    <dataValidation type="list" allowBlank="1" showInputMessage="1" showErrorMessage="1" sqref="I7:I25" xr:uid="{BF842C6B-A9AB-446A-831A-B23EF2522AF6}">
      <formula1>"TRUE,FALSE"</formula1>
    </dataValidation>
    <dataValidation type="list" allowBlank="1" showInputMessage="1" showErrorMessage="1" sqref="J7:J25" xr:uid="{0E09EDE4-E111-4757-A3E9-29751629B0F8}">
      <formula1>UpgradePlan_List</formula1>
    </dataValidation>
    <dataValidation type="list" allowBlank="1" showInputMessage="1" showErrorMessage="1" sqref="D7:D25" xr:uid="{8024D8DF-82D0-42EA-A77C-3C8645D76E06}">
      <formula1>Ballast_List</formula1>
    </dataValidation>
    <dataValidation type="list" allowBlank="1" showInputMessage="1" showErrorMessage="1" sqref="B4:B5" xr:uid="{3CE0EFA6-5D32-4988-9750-2B85DA4BDDC0}">
      <formula1>SystemTypes_List</formula1>
    </dataValidation>
    <dataValidation type="list" allowBlank="1" showInputMessage="1" showErrorMessage="1" sqref="G7:G25" xr:uid="{A179E2E1-739A-42B3-9456-659C5290C941}">
      <formula1>"26,32"</formula1>
    </dataValidation>
    <dataValidation type="list" allowBlank="1" showInputMessage="1" showErrorMessage="1" sqref="H7:H25" xr:uid="{DCDAD9E4-36F7-47F1-BF03-354365344539}">
      <formula1>"Horizontal,Vertical"</formula1>
    </dataValidation>
  </dataValidations>
  <pageMargins left="0.25" right="0.25" top="0.75" bottom="0.75" header="0.3" footer="0.3"/>
  <pageSetup scale="64"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35797-2954-43C9-807A-950996C855D2}">
  <sheetPr codeName="Sheet11"/>
  <dimension ref="A1:AO1003"/>
  <sheetViews>
    <sheetView zoomScale="85" zoomScaleNormal="85" workbookViewId="0">
      <pane xSplit="1" topLeftCell="B1" activePane="topRight" state="frozen"/>
      <selection activeCell="C33" sqref="C33:F33"/>
      <selection pane="topRight" activeCell="E499" sqref="E499"/>
    </sheetView>
  </sheetViews>
  <sheetFormatPr defaultRowHeight="15" x14ac:dyDescent="0.25"/>
  <cols>
    <col min="1" max="1" width="21.5703125" customWidth="1"/>
    <col min="2" max="2" width="14.42578125" customWidth="1"/>
    <col min="3" max="3" width="15.140625" style="1" customWidth="1"/>
    <col min="4" max="4" width="14.140625" style="1" customWidth="1"/>
    <col min="5" max="5" width="14.85546875" style="1" customWidth="1"/>
    <col min="6" max="6" width="19.42578125" style="1" customWidth="1"/>
    <col min="8" max="18" width="10.7109375" style="1" customWidth="1"/>
    <col min="19" max="19" width="10.7109375" customWidth="1"/>
    <col min="20" max="21" width="10.5703125" style="1" customWidth="1"/>
    <col min="22" max="23" width="33.85546875" style="1" customWidth="1"/>
    <col min="24" max="25" width="33.85546875" customWidth="1"/>
    <col min="26" max="27" width="33.42578125" bestFit="1" customWidth="1"/>
    <col min="28" max="31" width="31.7109375" customWidth="1"/>
    <col min="32" max="32" width="31.7109375" bestFit="1" customWidth="1"/>
    <col min="33" max="33" width="33" customWidth="1"/>
    <col min="34" max="34" width="34.5703125" bestFit="1" customWidth="1"/>
    <col min="35" max="35" width="34.5703125" customWidth="1"/>
    <col min="36" max="38" width="34.5703125" style="1" bestFit="1" customWidth="1"/>
    <col min="39" max="39" width="34.5703125" style="1" customWidth="1"/>
    <col min="40" max="40" width="17.85546875" bestFit="1" customWidth="1"/>
    <col min="41" max="41" width="14.85546875" bestFit="1" customWidth="1"/>
  </cols>
  <sheetData>
    <row r="1" spans="1:41" s="5" customFormat="1" ht="45" x14ac:dyDescent="0.25">
      <c r="A1" s="62" t="s">
        <v>52</v>
      </c>
      <c r="B1" s="6" t="s">
        <v>53</v>
      </c>
      <c r="C1" s="6" t="s">
        <v>54</v>
      </c>
      <c r="D1" s="6" t="s">
        <v>55</v>
      </c>
      <c r="E1" s="6" t="s">
        <v>56</v>
      </c>
      <c r="F1" s="9" t="s">
        <v>57</v>
      </c>
      <c r="G1" s="9" t="s">
        <v>58</v>
      </c>
      <c r="H1" s="9" t="s">
        <v>59</v>
      </c>
      <c r="I1" s="9" t="s">
        <v>60</v>
      </c>
      <c r="J1" s="6" t="s">
        <v>61</v>
      </c>
      <c r="K1" s="6" t="s">
        <v>62</v>
      </c>
      <c r="L1" s="6" t="s">
        <v>63</v>
      </c>
      <c r="M1" s="6" t="s">
        <v>64</v>
      </c>
      <c r="N1" s="6" t="s">
        <v>45</v>
      </c>
      <c r="O1" s="6" t="s">
        <v>65</v>
      </c>
      <c r="P1" s="6" t="s">
        <v>66</v>
      </c>
      <c r="Q1" s="8" t="s">
        <v>67</v>
      </c>
      <c r="R1" s="7" t="s">
        <v>68</v>
      </c>
      <c r="S1" s="7" t="s">
        <v>69</v>
      </c>
      <c r="T1" s="7" t="s">
        <v>70</v>
      </c>
      <c r="U1" s="7" t="s">
        <v>71</v>
      </c>
      <c r="V1" s="11" t="s">
        <v>72</v>
      </c>
      <c r="W1" s="11" t="s">
        <v>73</v>
      </c>
      <c r="X1" s="11" t="s">
        <v>74</v>
      </c>
      <c r="Y1" s="11" t="s">
        <v>2243</v>
      </c>
      <c r="Z1" s="11" t="s">
        <v>75</v>
      </c>
      <c r="AA1" s="11" t="s">
        <v>76</v>
      </c>
      <c r="AB1" s="11" t="s">
        <v>77</v>
      </c>
      <c r="AC1" s="11" t="s">
        <v>2242</v>
      </c>
      <c r="AD1" s="84" t="s">
        <v>2127</v>
      </c>
      <c r="AE1" s="84" t="s">
        <v>2126</v>
      </c>
      <c r="AF1" s="83" t="s">
        <v>78</v>
      </c>
      <c r="AG1" s="83" t="s">
        <v>79</v>
      </c>
      <c r="AH1" s="83" t="s">
        <v>80</v>
      </c>
      <c r="AI1" s="83" t="s">
        <v>2300</v>
      </c>
      <c r="AJ1" s="83" t="s">
        <v>81</v>
      </c>
      <c r="AK1" s="83" t="s">
        <v>82</v>
      </c>
      <c r="AL1" s="83" t="s">
        <v>83</v>
      </c>
      <c r="AM1" s="83" t="s">
        <v>2301</v>
      </c>
      <c r="AN1" s="8" t="s">
        <v>84</v>
      </c>
      <c r="AO1" s="8" t="s">
        <v>85</v>
      </c>
    </row>
    <row r="2" spans="1:41" x14ac:dyDescent="0.25">
      <c r="A2" s="2" t="s">
        <v>86</v>
      </c>
      <c r="B2" s="1"/>
      <c r="D2" s="1" t="b">
        <v>1</v>
      </c>
      <c r="G2" s="1" t="str">
        <f>IF(OR(LEFT(RIGHT(Master_Reference[[#This Row],[Model Number]],3),1)="C",LEFT(RIGHT(Master_Reference[[#This Row],[Model Number]],4),1)="C"),TRUE,"")</f>
        <v/>
      </c>
      <c r="H2" s="1" t="str">
        <f>IF(LEFT(Master_Reference[[#This Row],[Model Number]],1)="U",TRUE,"")</f>
        <v/>
      </c>
      <c r="I2" s="1" t="str">
        <f>IF(Master_Reference[[#This Row],[Lamp Type]]="T4","",IF(Master_Reference[[#This Row],[Case Type]]="M","",TRUE))</f>
        <v/>
      </c>
      <c r="J2" s="1" t="s">
        <v>87</v>
      </c>
      <c r="K2" s="1">
        <v>18</v>
      </c>
      <c r="L2" s="1" t="s">
        <v>88</v>
      </c>
      <c r="M2" s="1">
        <v>2</v>
      </c>
      <c r="N2" s="1">
        <v>120</v>
      </c>
      <c r="O2" s="1" t="s">
        <v>89</v>
      </c>
      <c r="R2" t="b">
        <f>IF(COUNTBLANK(Master_Reference[[#This Row],[C-Flex 3000K Eco Part Number]:[C-Flex 4000K Eco Part Number]])=3,FALSE,TRUE)</f>
        <v>0</v>
      </c>
      <c r="S2" t="b">
        <f>IF(COUNTBLANK(Master_Reference[[#This Row],[C-Flex 3000K Eco Part Number]:[C-Flex 4000K Eco Part Number]])=3,FALSE,TRUE)</f>
        <v>0</v>
      </c>
      <c r="T2" t="b">
        <f>IF(COUNTBLANK(Master_Reference[[#This Row],[Lutron 3000K Eco Part Number]:[Lutron 4000K Eco Part Number]])=3,FALSE,TRUE)</f>
        <v>0</v>
      </c>
      <c r="U2" t="b">
        <f>IF(COUNTBLANK(Master_Reference[[#This Row],[Lutron 3000K 3W Part Number]:[Lutron 4000K 3W Part Number]])=3,FALSE,TRUE)</f>
        <v>0</v>
      </c>
      <c r="V2" s="12"/>
      <c r="W2" s="12"/>
      <c r="X2" s="12"/>
      <c r="Y2" t="s">
        <v>2125</v>
      </c>
      <c r="Z2" s="12"/>
      <c r="AA2" s="12"/>
      <c r="AB2" s="12"/>
      <c r="AC2" t="s">
        <v>2125</v>
      </c>
      <c r="AD2" t="str">
        <f>SUBSTITUTE(Master_Reference[[#This Row],[C-Flex 4000K Eco Part Number]],"40-","xx-")</f>
        <v/>
      </c>
      <c r="AE2" t="str">
        <f>SUBSTITUTE(Master_Reference[[#This Row],[C-Flex 4000K 3W Part Number]],"40-","xx-")</f>
        <v/>
      </c>
      <c r="AF2" s="1" t="str">
        <f>_xlfn.IFNA(VLOOKUP(Master_Reference[[#This Row],[C-Flex 3000K Eco Part Number]],Lutron_CFlex_Lookup[],MATCH("Lutron Kit PN",Lutron_CFlex_Lookup[#Headers],0),FALSE),"")</f>
        <v/>
      </c>
      <c r="AG2" s="1" t="str">
        <f>_xlfn.IFNA(VLOOKUP(Master_Reference[[#This Row],[C-Flex 3500K Eco Part Number]],Lutron_CFlex_Lookup[],MATCH("Lutron Kit PN",Lutron_CFlex_Lookup[#Headers],0),FALSE),"")</f>
        <v/>
      </c>
      <c r="AH2" s="1" t="str">
        <f>_xlfn.IFNA(VLOOKUP(Master_Reference[[#This Row],[C-Flex 4000K Eco Part Number]],Lutron_CFlex_Lookup[],MATCH("Lutron Kit PN",Lutron_CFlex_Lookup[#Headers],0),FALSE),"")</f>
        <v/>
      </c>
      <c r="AI2" s="1" t="str">
        <f>_xlfn.IFNA(VLOOKUP(Master_Reference[[#This Row],[C-Flex 5000K Eco Part Number]],Lutron_CFlex_Lookup[],MATCH("Lutron Kit PN",Lutron_CFlex_Lookup[#Headers],0),FALSE),"")</f>
        <v/>
      </c>
      <c r="AJ2" s="1" t="str">
        <f>_xlfn.IFNA(VLOOKUP(Master_Reference[[#This Row],[C-Flex 3000K 3W Part Number]],Lutron_CFlex_Lookup[],MATCH("Lutron Kit PN",Lutron_CFlex_Lookup[#Headers],0),FALSE),"")</f>
        <v/>
      </c>
      <c r="AK2" s="1" t="str">
        <f>_xlfn.IFNA(VLOOKUP(Master_Reference[[#This Row],[C-Flex 3500K 3W Part Number]],Lutron_CFlex_Lookup[],MATCH("Lutron Kit PN",Lutron_CFlex_Lookup[#Headers],0),FALSE),"")</f>
        <v/>
      </c>
      <c r="AL2" s="1" t="str">
        <f>_xlfn.IFNA(VLOOKUP(Master_Reference[[#This Row],[C-Flex 4000K 3W Part Number]],Lutron_CFlex_Lookup[],MATCH("Lutron Kit PN",Lutron_CFlex_Lookup[#Headers],0),FALSE),"")</f>
        <v/>
      </c>
      <c r="AM2" s="1" t="str">
        <f>_xlfn.IFNA(VLOOKUP(Master_Reference[[#This Row],[C-Flex 5000K 3W Part Number]],Lutron_CFlex_Lookup[],MATCH("Lutron Kit PN",Lutron_CFlex_Lookup[#Headers],0),FALSE),"")</f>
        <v/>
      </c>
      <c r="AN2" s="1" t="b">
        <f>NOT(ISNA(VLOOKUP(Master_Reference[[#This Row],[Model Number]],ObsoleteModels[],1,FALSE)))</f>
        <v>1</v>
      </c>
      <c r="AO2" s="1" t="str">
        <f>IF(LEFT(Master_Reference[[#This Row],[Model Number]],1)="U",LEFT(Master_Reference[[#This Row],[Model Number]],4),LEFT(Master_Reference[[#This Row],[Model Number]],3))</f>
        <v>2W-</v>
      </c>
    </row>
    <row r="3" spans="1:41" x14ac:dyDescent="0.25">
      <c r="A3" s="2" t="s">
        <v>90</v>
      </c>
      <c r="B3" s="1"/>
      <c r="D3" s="1" t="b">
        <v>1</v>
      </c>
      <c r="G3" s="1" t="str">
        <f>IF(OR(LEFT(RIGHT(Master_Reference[[#This Row],[Model Number]],3),1)="C",LEFT(RIGHT(Master_Reference[[#This Row],[Model Number]],4),1)="C"),TRUE,"")</f>
        <v/>
      </c>
      <c r="H3" s="1" t="str">
        <f>IF(LEFT(Master_Reference[[#This Row],[Model Number]],1)="U",TRUE,"")</f>
        <v/>
      </c>
      <c r="I3" s="1" t="str">
        <f>IF(Master_Reference[[#This Row],[Lamp Type]]="T4","",IF(Master_Reference[[#This Row],[Case Type]]="M","",TRUE))</f>
        <v/>
      </c>
      <c r="J3" s="1" t="s">
        <v>87</v>
      </c>
      <c r="K3" s="1">
        <v>18</v>
      </c>
      <c r="L3" s="1" t="s">
        <v>88</v>
      </c>
      <c r="M3" s="1">
        <v>2</v>
      </c>
      <c r="N3" s="1">
        <v>120</v>
      </c>
      <c r="O3" s="1" t="s">
        <v>89</v>
      </c>
      <c r="Q3" s="1" t="s">
        <v>91</v>
      </c>
      <c r="R3" t="b">
        <v>0</v>
      </c>
      <c r="S3" t="b">
        <v>0</v>
      </c>
      <c r="T3" t="b">
        <f>IF(COUNTBLANK(Master_Reference[[#This Row],[Lutron 3000K Eco Part Number]:[Lutron 4000K Eco Part Number]])=3,FALSE,TRUE)</f>
        <v>0</v>
      </c>
      <c r="U3" t="b">
        <f>IF(COUNTBLANK(Master_Reference[[#This Row],[Lutron 3000K 3W Part Number]:[Lutron 4000K 3W Part Number]])=3,FALSE,TRUE)</f>
        <v>0</v>
      </c>
      <c r="V3" s="12"/>
      <c r="W3" s="12"/>
      <c r="X3" s="12"/>
      <c r="Y3" t="s">
        <v>2125</v>
      </c>
      <c r="Z3" s="12"/>
      <c r="AA3" s="12"/>
      <c r="AB3" s="12"/>
      <c r="AC3" t="s">
        <v>2125</v>
      </c>
      <c r="AD3" t="str">
        <f>SUBSTITUTE(Master_Reference[[#This Row],[C-Flex 4000K Eco Part Number]],"40-","xx-")</f>
        <v/>
      </c>
      <c r="AE3" t="str">
        <f>SUBSTITUTE(Master_Reference[[#This Row],[C-Flex 4000K 3W Part Number]],"40-","xx-")</f>
        <v/>
      </c>
      <c r="AF3" s="1" t="str">
        <f>_xlfn.IFNA(VLOOKUP(Master_Reference[[#This Row],[C-Flex 3000K Eco Part Number]],Lutron_CFlex_Lookup[],MATCH("Lutron Kit PN",Lutron_CFlex_Lookup[#Headers],0),FALSE),"")</f>
        <v/>
      </c>
      <c r="AG3" s="1" t="str">
        <f>_xlfn.IFNA(VLOOKUP(Master_Reference[[#This Row],[C-Flex 3500K Eco Part Number]],Lutron_CFlex_Lookup[],MATCH("Lutron Kit PN",Lutron_CFlex_Lookup[#Headers],0),FALSE),"")</f>
        <v/>
      </c>
      <c r="AH3" s="1" t="str">
        <f>_xlfn.IFNA(VLOOKUP(Master_Reference[[#This Row],[C-Flex 4000K Eco Part Number]],Lutron_CFlex_Lookup[],MATCH("Lutron Kit PN",Lutron_CFlex_Lookup[#Headers],0),FALSE),"")</f>
        <v/>
      </c>
      <c r="AI3" s="1" t="str">
        <f>_xlfn.IFNA(VLOOKUP(Master_Reference[[#This Row],[C-Flex 5000K Eco Part Number]],Lutron_CFlex_Lookup[],MATCH("Lutron Kit PN",Lutron_CFlex_Lookup[#Headers],0),FALSE),"")</f>
        <v/>
      </c>
      <c r="AJ3" s="1" t="str">
        <f>_xlfn.IFNA(VLOOKUP(Master_Reference[[#This Row],[C-Flex 3000K 3W Part Number]],Lutron_CFlex_Lookup[],MATCH("Lutron Kit PN",Lutron_CFlex_Lookup[#Headers],0),FALSE),"")</f>
        <v/>
      </c>
      <c r="AK3" s="1" t="str">
        <f>_xlfn.IFNA(VLOOKUP(Master_Reference[[#This Row],[C-Flex 3500K 3W Part Number]],Lutron_CFlex_Lookup[],MATCH("Lutron Kit PN",Lutron_CFlex_Lookup[#Headers],0),FALSE),"")</f>
        <v/>
      </c>
      <c r="AL3" s="1" t="str">
        <f>_xlfn.IFNA(VLOOKUP(Master_Reference[[#This Row],[C-Flex 4000K 3W Part Number]],Lutron_CFlex_Lookup[],MATCH("Lutron Kit PN",Lutron_CFlex_Lookup[#Headers],0),FALSE),"")</f>
        <v/>
      </c>
      <c r="AM3" s="1" t="str">
        <f>_xlfn.IFNA(VLOOKUP(Master_Reference[[#This Row],[C-Flex 5000K 3W Part Number]],Lutron_CFlex_Lookup[],MATCH("Lutron Kit PN",Lutron_CFlex_Lookup[#Headers],0),FALSE),"")</f>
        <v/>
      </c>
      <c r="AN3" s="1" t="b">
        <f>NOT(ISNA(VLOOKUP(Master_Reference[[#This Row],[Model Number]],ObsoleteModels[],1,FALSE)))</f>
        <v>1</v>
      </c>
      <c r="AO3" s="1" t="str">
        <f>IF(LEFT(Master_Reference[[#This Row],[Model Number]],1)="U",LEFT(Master_Reference[[#This Row],[Model Number]],4),LEFT(Master_Reference[[#This Row],[Model Number]],3))</f>
        <v>2W-</v>
      </c>
    </row>
    <row r="4" spans="1:41" x14ac:dyDescent="0.25">
      <c r="A4" s="2" t="s">
        <v>92</v>
      </c>
      <c r="B4" s="1"/>
      <c r="D4" s="1" t="b">
        <v>1</v>
      </c>
      <c r="G4" s="1" t="str">
        <f>IF(OR(LEFT(RIGHT(Master_Reference[[#This Row],[Model Number]],3),1)="C",LEFT(RIGHT(Master_Reference[[#This Row],[Model Number]],4),1)="C"),TRUE,"")</f>
        <v/>
      </c>
      <c r="H4" s="1" t="str">
        <f>IF(LEFT(Master_Reference[[#This Row],[Model Number]],1)="U",TRUE,"")</f>
        <v/>
      </c>
      <c r="I4" s="1" t="str">
        <f>IF(Master_Reference[[#This Row],[Lamp Type]]="T4","",IF(Master_Reference[[#This Row],[Case Type]]="M","",TRUE))</f>
        <v/>
      </c>
      <c r="J4" s="1" t="s">
        <v>87</v>
      </c>
      <c r="K4" s="1">
        <v>18</v>
      </c>
      <c r="L4" s="1" t="s">
        <v>88</v>
      </c>
      <c r="M4" s="1">
        <v>2</v>
      </c>
      <c r="N4" s="1">
        <v>120</v>
      </c>
      <c r="O4" s="1" t="s">
        <v>89</v>
      </c>
      <c r="P4" s="1" t="b">
        <v>1</v>
      </c>
      <c r="R4" t="b">
        <v>0</v>
      </c>
      <c r="S4" t="b">
        <v>0</v>
      </c>
      <c r="T4" t="b">
        <f>IF(COUNTBLANK(Master_Reference[[#This Row],[Lutron 3000K Eco Part Number]:[Lutron 4000K Eco Part Number]])=3,FALSE,TRUE)</f>
        <v>0</v>
      </c>
      <c r="U4" t="b">
        <f>IF(COUNTBLANK(Master_Reference[[#This Row],[Lutron 3000K 3W Part Number]:[Lutron 4000K 3W Part Number]])=3,FALSE,TRUE)</f>
        <v>0</v>
      </c>
      <c r="V4" s="12"/>
      <c r="W4" s="12"/>
      <c r="X4" s="12"/>
      <c r="Y4" t="s">
        <v>2125</v>
      </c>
      <c r="Z4" s="12"/>
      <c r="AA4" s="12"/>
      <c r="AB4" s="12"/>
      <c r="AC4" t="s">
        <v>2125</v>
      </c>
      <c r="AD4" t="str">
        <f>SUBSTITUTE(Master_Reference[[#This Row],[C-Flex 4000K Eco Part Number]],"40-","xx-")</f>
        <v/>
      </c>
      <c r="AE4" t="str">
        <f>SUBSTITUTE(Master_Reference[[#This Row],[C-Flex 4000K 3W Part Number]],"40-","xx-")</f>
        <v/>
      </c>
      <c r="AF4" s="1" t="str">
        <f>_xlfn.IFNA(VLOOKUP(Master_Reference[[#This Row],[C-Flex 3000K Eco Part Number]],Lutron_CFlex_Lookup[],MATCH("Lutron Kit PN",Lutron_CFlex_Lookup[#Headers],0),FALSE),"")</f>
        <v/>
      </c>
      <c r="AG4" s="1" t="str">
        <f>_xlfn.IFNA(VLOOKUP(Master_Reference[[#This Row],[C-Flex 3500K Eco Part Number]],Lutron_CFlex_Lookup[],MATCH("Lutron Kit PN",Lutron_CFlex_Lookup[#Headers],0),FALSE),"")</f>
        <v/>
      </c>
      <c r="AH4" s="1" t="str">
        <f>_xlfn.IFNA(VLOOKUP(Master_Reference[[#This Row],[C-Flex 4000K Eco Part Number]],Lutron_CFlex_Lookup[],MATCH("Lutron Kit PN",Lutron_CFlex_Lookup[#Headers],0),FALSE),"")</f>
        <v/>
      </c>
      <c r="AI4" s="1" t="str">
        <f>_xlfn.IFNA(VLOOKUP(Master_Reference[[#This Row],[C-Flex 5000K Eco Part Number]],Lutron_CFlex_Lookup[],MATCH("Lutron Kit PN",Lutron_CFlex_Lookup[#Headers],0),FALSE),"")</f>
        <v/>
      </c>
      <c r="AJ4" s="1" t="str">
        <f>_xlfn.IFNA(VLOOKUP(Master_Reference[[#This Row],[C-Flex 3000K 3W Part Number]],Lutron_CFlex_Lookup[],MATCH("Lutron Kit PN",Lutron_CFlex_Lookup[#Headers],0),FALSE),"")</f>
        <v/>
      </c>
      <c r="AK4" s="1" t="str">
        <f>_xlfn.IFNA(VLOOKUP(Master_Reference[[#This Row],[C-Flex 3500K 3W Part Number]],Lutron_CFlex_Lookup[],MATCH("Lutron Kit PN",Lutron_CFlex_Lookup[#Headers],0),FALSE),"")</f>
        <v/>
      </c>
      <c r="AL4" s="1" t="str">
        <f>_xlfn.IFNA(VLOOKUP(Master_Reference[[#This Row],[C-Flex 4000K 3W Part Number]],Lutron_CFlex_Lookup[],MATCH("Lutron Kit PN",Lutron_CFlex_Lookup[#Headers],0),FALSE),"")</f>
        <v/>
      </c>
      <c r="AM4" s="1" t="str">
        <f>_xlfn.IFNA(VLOOKUP(Master_Reference[[#This Row],[C-Flex 5000K 3W Part Number]],Lutron_CFlex_Lookup[],MATCH("Lutron Kit PN",Lutron_CFlex_Lookup[#Headers],0),FALSE),"")</f>
        <v/>
      </c>
      <c r="AN4" s="1" t="b">
        <f>NOT(ISNA(VLOOKUP(Master_Reference[[#This Row],[Model Number]],ObsoleteModels[],1,FALSE)))</f>
        <v>1</v>
      </c>
      <c r="AO4" s="1" t="str">
        <f>IF(LEFT(Master_Reference[[#This Row],[Model Number]],1)="U",LEFT(Master_Reference[[#This Row],[Model Number]],4),LEFT(Master_Reference[[#This Row],[Model Number]],3))</f>
        <v>2W-</v>
      </c>
    </row>
    <row r="5" spans="1:41" x14ac:dyDescent="0.25">
      <c r="A5" s="2" t="s">
        <v>93</v>
      </c>
      <c r="B5" s="1"/>
      <c r="D5" s="1" t="b">
        <v>1</v>
      </c>
      <c r="G5" s="1" t="str">
        <f>IF(OR(LEFT(RIGHT(Master_Reference[[#This Row],[Model Number]],3),1)="C",LEFT(RIGHT(Master_Reference[[#This Row],[Model Number]],4),1)="C"),TRUE,"")</f>
        <v/>
      </c>
      <c r="H5" s="1" t="str">
        <f>IF(LEFT(Master_Reference[[#This Row],[Model Number]],1)="U",TRUE,"")</f>
        <v/>
      </c>
      <c r="I5" s="1" t="str">
        <f>IF(Master_Reference[[#This Row],[Lamp Type]]="T4","",IF(Master_Reference[[#This Row],[Case Type]]="M","",TRUE))</f>
        <v/>
      </c>
      <c r="J5" s="1" t="s">
        <v>87</v>
      </c>
      <c r="K5" s="1">
        <v>26</v>
      </c>
      <c r="L5" s="1" t="s">
        <v>88</v>
      </c>
      <c r="M5" s="1">
        <v>1</v>
      </c>
      <c r="N5" s="1">
        <v>120</v>
      </c>
      <c r="O5" s="1" t="s">
        <v>89</v>
      </c>
      <c r="R5" t="b">
        <v>0</v>
      </c>
      <c r="S5" t="b">
        <v>0</v>
      </c>
      <c r="T5" t="b">
        <f>IF(COUNTBLANK(Master_Reference[[#This Row],[Lutron 3000K Eco Part Number]:[Lutron 4000K Eco Part Number]])=3,FALSE,TRUE)</f>
        <v>0</v>
      </c>
      <c r="U5" t="b">
        <f>IF(COUNTBLANK(Master_Reference[[#This Row],[Lutron 3000K 3W Part Number]:[Lutron 4000K 3W Part Number]])=3,FALSE,TRUE)</f>
        <v>0</v>
      </c>
      <c r="V5" s="12"/>
      <c r="W5" s="12"/>
      <c r="X5" s="12"/>
      <c r="Y5" t="s">
        <v>2125</v>
      </c>
      <c r="Z5" s="12"/>
      <c r="AA5" s="12"/>
      <c r="AB5" s="12"/>
      <c r="AC5" t="s">
        <v>2125</v>
      </c>
      <c r="AD5" t="str">
        <f>SUBSTITUTE(Master_Reference[[#This Row],[C-Flex 4000K Eco Part Number]],"40-","xx-")</f>
        <v/>
      </c>
      <c r="AE5" t="str">
        <f>SUBSTITUTE(Master_Reference[[#This Row],[C-Flex 4000K 3W Part Number]],"40-","xx-")</f>
        <v/>
      </c>
      <c r="AF5" s="1" t="str">
        <f>_xlfn.IFNA(VLOOKUP(Master_Reference[[#This Row],[C-Flex 3000K Eco Part Number]],Lutron_CFlex_Lookup[],MATCH("Lutron Kit PN",Lutron_CFlex_Lookup[#Headers],0),FALSE),"")</f>
        <v/>
      </c>
      <c r="AG5" s="1" t="str">
        <f>_xlfn.IFNA(VLOOKUP(Master_Reference[[#This Row],[C-Flex 3500K Eco Part Number]],Lutron_CFlex_Lookup[],MATCH("Lutron Kit PN",Lutron_CFlex_Lookup[#Headers],0),FALSE),"")</f>
        <v/>
      </c>
      <c r="AH5" s="1" t="str">
        <f>_xlfn.IFNA(VLOOKUP(Master_Reference[[#This Row],[C-Flex 4000K Eco Part Number]],Lutron_CFlex_Lookup[],MATCH("Lutron Kit PN",Lutron_CFlex_Lookup[#Headers],0),FALSE),"")</f>
        <v/>
      </c>
      <c r="AI5" s="1" t="str">
        <f>_xlfn.IFNA(VLOOKUP(Master_Reference[[#This Row],[C-Flex 5000K Eco Part Number]],Lutron_CFlex_Lookup[],MATCH("Lutron Kit PN",Lutron_CFlex_Lookup[#Headers],0),FALSE),"")</f>
        <v/>
      </c>
      <c r="AJ5" s="1" t="str">
        <f>_xlfn.IFNA(VLOOKUP(Master_Reference[[#This Row],[C-Flex 3000K 3W Part Number]],Lutron_CFlex_Lookup[],MATCH("Lutron Kit PN",Lutron_CFlex_Lookup[#Headers],0),FALSE),"")</f>
        <v/>
      </c>
      <c r="AK5" s="1" t="str">
        <f>_xlfn.IFNA(VLOOKUP(Master_Reference[[#This Row],[C-Flex 3500K 3W Part Number]],Lutron_CFlex_Lookup[],MATCH("Lutron Kit PN",Lutron_CFlex_Lookup[#Headers],0),FALSE),"")</f>
        <v/>
      </c>
      <c r="AL5" s="1" t="str">
        <f>_xlfn.IFNA(VLOOKUP(Master_Reference[[#This Row],[C-Flex 4000K 3W Part Number]],Lutron_CFlex_Lookup[],MATCH("Lutron Kit PN",Lutron_CFlex_Lookup[#Headers],0),FALSE),"")</f>
        <v/>
      </c>
      <c r="AM5" s="1" t="str">
        <f>_xlfn.IFNA(VLOOKUP(Master_Reference[[#This Row],[C-Flex 5000K 3W Part Number]],Lutron_CFlex_Lookup[],MATCH("Lutron Kit PN",Lutron_CFlex_Lookup[#Headers],0),FALSE),"")</f>
        <v/>
      </c>
      <c r="AN5" s="1" t="b">
        <f>NOT(ISNA(VLOOKUP(Master_Reference[[#This Row],[Model Number]],ObsoleteModels[],1,FALSE)))</f>
        <v>1</v>
      </c>
      <c r="AO5" s="1" t="str">
        <f>IF(LEFT(Master_Reference[[#This Row],[Model Number]],1)="U",LEFT(Master_Reference[[#This Row],[Model Number]],4),LEFT(Master_Reference[[#This Row],[Model Number]],3))</f>
        <v>2W-</v>
      </c>
    </row>
    <row r="6" spans="1:41" x14ac:dyDescent="0.25">
      <c r="A6" s="2" t="s">
        <v>94</v>
      </c>
      <c r="B6" s="1"/>
      <c r="D6" s="1" t="b">
        <v>1</v>
      </c>
      <c r="G6" s="1" t="str">
        <f>IF(OR(LEFT(RIGHT(Master_Reference[[#This Row],[Model Number]],3),1)="C",LEFT(RIGHT(Master_Reference[[#This Row],[Model Number]],4),1)="C"),TRUE,"")</f>
        <v/>
      </c>
      <c r="H6" s="1" t="str">
        <f>IF(LEFT(Master_Reference[[#This Row],[Model Number]],1)="U",TRUE,"")</f>
        <v/>
      </c>
      <c r="I6" s="1" t="str">
        <f>IF(Master_Reference[[#This Row],[Lamp Type]]="T4","",IF(Master_Reference[[#This Row],[Case Type]]="M","",TRUE))</f>
        <v/>
      </c>
      <c r="J6" s="1" t="s">
        <v>87</v>
      </c>
      <c r="K6" s="1">
        <v>26</v>
      </c>
      <c r="L6" s="1" t="s">
        <v>88</v>
      </c>
      <c r="M6" s="1">
        <v>1</v>
      </c>
      <c r="N6" s="1">
        <v>120</v>
      </c>
      <c r="O6" s="1" t="s">
        <v>89</v>
      </c>
      <c r="Q6" s="1" t="s">
        <v>91</v>
      </c>
      <c r="R6" t="b">
        <v>0</v>
      </c>
      <c r="S6" t="b">
        <v>0</v>
      </c>
      <c r="T6" t="b">
        <f>IF(COUNTBLANK(Master_Reference[[#This Row],[Lutron 3000K Eco Part Number]:[Lutron 4000K Eco Part Number]])=3,FALSE,TRUE)</f>
        <v>0</v>
      </c>
      <c r="U6" t="b">
        <f>IF(COUNTBLANK(Master_Reference[[#This Row],[Lutron 3000K 3W Part Number]:[Lutron 4000K 3W Part Number]])=3,FALSE,TRUE)</f>
        <v>0</v>
      </c>
      <c r="V6" s="12"/>
      <c r="W6" s="12"/>
      <c r="X6" s="12"/>
      <c r="Y6" t="s">
        <v>2125</v>
      </c>
      <c r="Z6" s="12"/>
      <c r="AA6" s="12"/>
      <c r="AB6" s="12"/>
      <c r="AC6" t="s">
        <v>2125</v>
      </c>
      <c r="AD6" t="str">
        <f>SUBSTITUTE(Master_Reference[[#This Row],[C-Flex 4000K Eco Part Number]],"40-","xx-")</f>
        <v/>
      </c>
      <c r="AE6" t="str">
        <f>SUBSTITUTE(Master_Reference[[#This Row],[C-Flex 4000K 3W Part Number]],"40-","xx-")</f>
        <v/>
      </c>
      <c r="AF6" s="1" t="str">
        <f>_xlfn.IFNA(VLOOKUP(Master_Reference[[#This Row],[C-Flex 3000K Eco Part Number]],Lutron_CFlex_Lookup[],MATCH("Lutron Kit PN",Lutron_CFlex_Lookup[#Headers],0),FALSE),"")</f>
        <v/>
      </c>
      <c r="AG6" s="1" t="str">
        <f>_xlfn.IFNA(VLOOKUP(Master_Reference[[#This Row],[C-Flex 3500K Eco Part Number]],Lutron_CFlex_Lookup[],MATCH("Lutron Kit PN",Lutron_CFlex_Lookup[#Headers],0),FALSE),"")</f>
        <v/>
      </c>
      <c r="AH6" s="1" t="str">
        <f>_xlfn.IFNA(VLOOKUP(Master_Reference[[#This Row],[C-Flex 4000K Eco Part Number]],Lutron_CFlex_Lookup[],MATCH("Lutron Kit PN",Lutron_CFlex_Lookup[#Headers],0),FALSE),"")</f>
        <v/>
      </c>
      <c r="AI6" s="1" t="str">
        <f>_xlfn.IFNA(VLOOKUP(Master_Reference[[#This Row],[C-Flex 5000K Eco Part Number]],Lutron_CFlex_Lookup[],MATCH("Lutron Kit PN",Lutron_CFlex_Lookup[#Headers],0),FALSE),"")</f>
        <v/>
      </c>
      <c r="AJ6" s="1" t="str">
        <f>_xlfn.IFNA(VLOOKUP(Master_Reference[[#This Row],[C-Flex 3000K 3W Part Number]],Lutron_CFlex_Lookup[],MATCH("Lutron Kit PN",Lutron_CFlex_Lookup[#Headers],0),FALSE),"")</f>
        <v/>
      </c>
      <c r="AK6" s="1" t="str">
        <f>_xlfn.IFNA(VLOOKUP(Master_Reference[[#This Row],[C-Flex 3500K 3W Part Number]],Lutron_CFlex_Lookup[],MATCH("Lutron Kit PN",Lutron_CFlex_Lookup[#Headers],0),FALSE),"")</f>
        <v/>
      </c>
      <c r="AL6" s="1" t="str">
        <f>_xlfn.IFNA(VLOOKUP(Master_Reference[[#This Row],[C-Flex 4000K 3W Part Number]],Lutron_CFlex_Lookup[],MATCH("Lutron Kit PN",Lutron_CFlex_Lookup[#Headers],0),FALSE),"")</f>
        <v/>
      </c>
      <c r="AM6" s="1" t="str">
        <f>_xlfn.IFNA(VLOOKUP(Master_Reference[[#This Row],[C-Flex 5000K 3W Part Number]],Lutron_CFlex_Lookup[],MATCH("Lutron Kit PN",Lutron_CFlex_Lookup[#Headers],0),FALSE),"")</f>
        <v/>
      </c>
      <c r="AN6" s="1" t="b">
        <f>NOT(ISNA(VLOOKUP(Master_Reference[[#This Row],[Model Number]],ObsoleteModels[],1,FALSE)))</f>
        <v>1</v>
      </c>
      <c r="AO6" s="1" t="str">
        <f>IF(LEFT(Master_Reference[[#This Row],[Model Number]],1)="U",LEFT(Master_Reference[[#This Row],[Model Number]],4),LEFT(Master_Reference[[#This Row],[Model Number]],3))</f>
        <v>2W-</v>
      </c>
    </row>
    <row r="7" spans="1:41" x14ac:dyDescent="0.25">
      <c r="A7" s="2" t="s">
        <v>95</v>
      </c>
      <c r="B7" s="1"/>
      <c r="D7" s="1" t="b">
        <v>1</v>
      </c>
      <c r="G7" s="1" t="str">
        <f>IF(OR(LEFT(RIGHT(Master_Reference[[#This Row],[Model Number]],3),1)="C",LEFT(RIGHT(Master_Reference[[#This Row],[Model Number]],4),1)="C"),TRUE,"")</f>
        <v/>
      </c>
      <c r="H7" s="1" t="str">
        <f>IF(LEFT(Master_Reference[[#This Row],[Model Number]],1)="U",TRUE,"")</f>
        <v/>
      </c>
      <c r="I7" s="1" t="str">
        <f>IF(Master_Reference[[#This Row],[Lamp Type]]="T4","",IF(Master_Reference[[#This Row],[Case Type]]="M","",TRUE))</f>
        <v/>
      </c>
      <c r="J7" s="1" t="s">
        <v>87</v>
      </c>
      <c r="K7" s="1">
        <v>26</v>
      </c>
      <c r="L7" s="1" t="s">
        <v>88</v>
      </c>
      <c r="M7" s="1">
        <v>1</v>
      </c>
      <c r="N7" s="1">
        <v>120</v>
      </c>
      <c r="O7" s="1" t="s">
        <v>89</v>
      </c>
      <c r="P7" s="1" t="b">
        <v>1</v>
      </c>
      <c r="R7" t="b">
        <v>0</v>
      </c>
      <c r="S7" t="b">
        <v>0</v>
      </c>
      <c r="T7" t="b">
        <f>IF(COUNTBLANK(Master_Reference[[#This Row],[Lutron 3000K Eco Part Number]:[Lutron 4000K Eco Part Number]])=3,FALSE,TRUE)</f>
        <v>0</v>
      </c>
      <c r="U7" t="b">
        <f>IF(COUNTBLANK(Master_Reference[[#This Row],[Lutron 3000K 3W Part Number]:[Lutron 4000K 3W Part Number]])=3,FALSE,TRUE)</f>
        <v>0</v>
      </c>
      <c r="V7" s="12"/>
      <c r="W7" s="12"/>
      <c r="X7" s="12"/>
      <c r="Y7" t="s">
        <v>2125</v>
      </c>
      <c r="Z7" s="12"/>
      <c r="AA7" s="12"/>
      <c r="AB7" s="12"/>
      <c r="AC7" t="s">
        <v>2125</v>
      </c>
      <c r="AD7" t="str">
        <f>SUBSTITUTE(Master_Reference[[#This Row],[C-Flex 4000K Eco Part Number]],"40-","xx-")</f>
        <v/>
      </c>
      <c r="AE7" t="str">
        <f>SUBSTITUTE(Master_Reference[[#This Row],[C-Flex 4000K 3W Part Number]],"40-","xx-")</f>
        <v/>
      </c>
      <c r="AF7" s="1" t="str">
        <f>_xlfn.IFNA(VLOOKUP(Master_Reference[[#This Row],[C-Flex 3000K Eco Part Number]],Lutron_CFlex_Lookup[],MATCH("Lutron Kit PN",Lutron_CFlex_Lookup[#Headers],0),FALSE),"")</f>
        <v/>
      </c>
      <c r="AG7" s="1" t="str">
        <f>_xlfn.IFNA(VLOOKUP(Master_Reference[[#This Row],[C-Flex 3500K Eco Part Number]],Lutron_CFlex_Lookup[],MATCH("Lutron Kit PN",Lutron_CFlex_Lookup[#Headers],0),FALSE),"")</f>
        <v/>
      </c>
      <c r="AH7" s="1" t="str">
        <f>_xlfn.IFNA(VLOOKUP(Master_Reference[[#This Row],[C-Flex 4000K Eco Part Number]],Lutron_CFlex_Lookup[],MATCH("Lutron Kit PN",Lutron_CFlex_Lookup[#Headers],0),FALSE),"")</f>
        <v/>
      </c>
      <c r="AI7" s="1" t="str">
        <f>_xlfn.IFNA(VLOOKUP(Master_Reference[[#This Row],[C-Flex 5000K Eco Part Number]],Lutron_CFlex_Lookup[],MATCH("Lutron Kit PN",Lutron_CFlex_Lookup[#Headers],0),FALSE),"")</f>
        <v/>
      </c>
      <c r="AJ7" s="1" t="str">
        <f>_xlfn.IFNA(VLOOKUP(Master_Reference[[#This Row],[C-Flex 3000K 3W Part Number]],Lutron_CFlex_Lookup[],MATCH("Lutron Kit PN",Lutron_CFlex_Lookup[#Headers],0),FALSE),"")</f>
        <v/>
      </c>
      <c r="AK7" s="1" t="str">
        <f>_xlfn.IFNA(VLOOKUP(Master_Reference[[#This Row],[C-Flex 3500K 3W Part Number]],Lutron_CFlex_Lookup[],MATCH("Lutron Kit PN",Lutron_CFlex_Lookup[#Headers],0),FALSE),"")</f>
        <v/>
      </c>
      <c r="AL7" s="1" t="str">
        <f>_xlfn.IFNA(VLOOKUP(Master_Reference[[#This Row],[C-Flex 4000K 3W Part Number]],Lutron_CFlex_Lookup[],MATCH("Lutron Kit PN",Lutron_CFlex_Lookup[#Headers],0),FALSE),"")</f>
        <v/>
      </c>
      <c r="AM7" s="1" t="str">
        <f>_xlfn.IFNA(VLOOKUP(Master_Reference[[#This Row],[C-Flex 5000K 3W Part Number]],Lutron_CFlex_Lookup[],MATCH("Lutron Kit PN",Lutron_CFlex_Lookup[#Headers],0),FALSE),"")</f>
        <v/>
      </c>
      <c r="AN7" s="1" t="b">
        <f>NOT(ISNA(VLOOKUP(Master_Reference[[#This Row],[Model Number]],ObsoleteModels[],1,FALSE)))</f>
        <v>1</v>
      </c>
      <c r="AO7" s="1" t="str">
        <f>IF(LEFT(Master_Reference[[#This Row],[Model Number]],1)="U",LEFT(Master_Reference[[#This Row],[Model Number]],4),LEFT(Master_Reference[[#This Row],[Model Number]],3))</f>
        <v>2W-</v>
      </c>
    </row>
    <row r="8" spans="1:41" x14ac:dyDescent="0.25">
      <c r="A8" s="2" t="s">
        <v>96</v>
      </c>
      <c r="B8" s="1"/>
      <c r="D8" s="1" t="b">
        <v>1</v>
      </c>
      <c r="G8" s="1" t="str">
        <f>IF(OR(LEFT(RIGHT(Master_Reference[[#This Row],[Model Number]],3),1)="C",LEFT(RIGHT(Master_Reference[[#This Row],[Model Number]],4),1)="C"),TRUE,"")</f>
        <v/>
      </c>
      <c r="H8" s="1" t="str">
        <f>IF(LEFT(Master_Reference[[#This Row],[Model Number]],1)="U",TRUE,"")</f>
        <v/>
      </c>
      <c r="I8" s="1" t="str">
        <f>IF(Master_Reference[[#This Row],[Lamp Type]]="T4","",IF(Master_Reference[[#This Row],[Case Type]]="M","",TRUE))</f>
        <v/>
      </c>
      <c r="J8" s="1" t="s">
        <v>87</v>
      </c>
      <c r="K8" s="1">
        <v>26</v>
      </c>
      <c r="L8" s="1" t="s">
        <v>88</v>
      </c>
      <c r="M8" s="1">
        <v>1</v>
      </c>
      <c r="N8" s="1">
        <v>120</v>
      </c>
      <c r="O8" s="1" t="s">
        <v>89</v>
      </c>
      <c r="P8" s="1" t="b">
        <v>1</v>
      </c>
      <c r="Q8" s="1" t="s">
        <v>91</v>
      </c>
      <c r="R8" t="b">
        <v>0</v>
      </c>
      <c r="S8" t="b">
        <v>0</v>
      </c>
      <c r="T8" t="b">
        <f>IF(COUNTBLANK(Master_Reference[[#This Row],[Lutron 3000K Eco Part Number]:[Lutron 4000K Eco Part Number]])=3,FALSE,TRUE)</f>
        <v>0</v>
      </c>
      <c r="U8" t="b">
        <f>IF(COUNTBLANK(Master_Reference[[#This Row],[Lutron 3000K 3W Part Number]:[Lutron 4000K 3W Part Number]])=3,FALSE,TRUE)</f>
        <v>0</v>
      </c>
      <c r="V8" s="12"/>
      <c r="W8" s="12"/>
      <c r="X8" s="12"/>
      <c r="Y8" t="s">
        <v>2125</v>
      </c>
      <c r="Z8" s="12"/>
      <c r="AA8" s="12"/>
      <c r="AB8" s="12"/>
      <c r="AC8" t="s">
        <v>2125</v>
      </c>
      <c r="AD8" t="str">
        <f>SUBSTITUTE(Master_Reference[[#This Row],[C-Flex 4000K Eco Part Number]],"40-","xx-")</f>
        <v/>
      </c>
      <c r="AE8" t="str">
        <f>SUBSTITUTE(Master_Reference[[#This Row],[C-Flex 4000K 3W Part Number]],"40-","xx-")</f>
        <v/>
      </c>
      <c r="AF8" s="1" t="str">
        <f>_xlfn.IFNA(VLOOKUP(Master_Reference[[#This Row],[C-Flex 3000K Eco Part Number]],Lutron_CFlex_Lookup[],MATCH("Lutron Kit PN",Lutron_CFlex_Lookup[#Headers],0),FALSE),"")</f>
        <v/>
      </c>
      <c r="AG8" s="1" t="str">
        <f>_xlfn.IFNA(VLOOKUP(Master_Reference[[#This Row],[C-Flex 3500K Eco Part Number]],Lutron_CFlex_Lookup[],MATCH("Lutron Kit PN",Lutron_CFlex_Lookup[#Headers],0),FALSE),"")</f>
        <v/>
      </c>
      <c r="AH8" s="1" t="str">
        <f>_xlfn.IFNA(VLOOKUP(Master_Reference[[#This Row],[C-Flex 4000K Eco Part Number]],Lutron_CFlex_Lookup[],MATCH("Lutron Kit PN",Lutron_CFlex_Lookup[#Headers],0),FALSE),"")</f>
        <v/>
      </c>
      <c r="AI8" s="1" t="str">
        <f>_xlfn.IFNA(VLOOKUP(Master_Reference[[#This Row],[C-Flex 5000K Eco Part Number]],Lutron_CFlex_Lookup[],MATCH("Lutron Kit PN",Lutron_CFlex_Lookup[#Headers],0),FALSE),"")</f>
        <v/>
      </c>
      <c r="AJ8" s="1" t="str">
        <f>_xlfn.IFNA(VLOOKUP(Master_Reference[[#This Row],[C-Flex 3000K 3W Part Number]],Lutron_CFlex_Lookup[],MATCH("Lutron Kit PN",Lutron_CFlex_Lookup[#Headers],0),FALSE),"")</f>
        <v/>
      </c>
      <c r="AK8" s="1" t="str">
        <f>_xlfn.IFNA(VLOOKUP(Master_Reference[[#This Row],[C-Flex 3500K 3W Part Number]],Lutron_CFlex_Lookup[],MATCH("Lutron Kit PN",Lutron_CFlex_Lookup[#Headers],0),FALSE),"")</f>
        <v/>
      </c>
      <c r="AL8" s="1" t="str">
        <f>_xlfn.IFNA(VLOOKUP(Master_Reference[[#This Row],[C-Flex 4000K 3W Part Number]],Lutron_CFlex_Lookup[],MATCH("Lutron Kit PN",Lutron_CFlex_Lookup[#Headers],0),FALSE),"")</f>
        <v/>
      </c>
      <c r="AM8" s="1" t="str">
        <f>_xlfn.IFNA(VLOOKUP(Master_Reference[[#This Row],[C-Flex 5000K 3W Part Number]],Lutron_CFlex_Lookup[],MATCH("Lutron Kit PN",Lutron_CFlex_Lookup[#Headers],0),FALSE),"")</f>
        <v/>
      </c>
      <c r="AN8" s="1" t="b">
        <f>NOT(ISNA(VLOOKUP(Master_Reference[[#This Row],[Model Number]],ObsoleteModels[],1,FALSE)))</f>
        <v>1</v>
      </c>
      <c r="AO8" s="1" t="str">
        <f>IF(LEFT(Master_Reference[[#This Row],[Model Number]],1)="U",LEFT(Master_Reference[[#This Row],[Model Number]],4),LEFT(Master_Reference[[#This Row],[Model Number]],3))</f>
        <v>2W-</v>
      </c>
    </row>
    <row r="9" spans="1:41" x14ac:dyDescent="0.25">
      <c r="A9" s="2" t="s">
        <v>97</v>
      </c>
      <c r="B9" s="1"/>
      <c r="D9" s="1" t="b">
        <v>1</v>
      </c>
      <c r="G9" s="1" t="str">
        <f>IF(OR(LEFT(RIGHT(Master_Reference[[#This Row],[Model Number]],3),1)="C",LEFT(RIGHT(Master_Reference[[#This Row],[Model Number]],4),1)="C"),TRUE,"")</f>
        <v/>
      </c>
      <c r="H9" s="1" t="str">
        <f>IF(LEFT(Master_Reference[[#This Row],[Model Number]],1)="U",TRUE,"")</f>
        <v/>
      </c>
      <c r="I9" s="1" t="str">
        <f>IF(Master_Reference[[#This Row],[Lamp Type]]="T4","",IF(Master_Reference[[#This Row],[Case Type]]="M","",TRUE))</f>
        <v/>
      </c>
      <c r="J9" s="1" t="s">
        <v>87</v>
      </c>
      <c r="K9" s="1">
        <v>26</v>
      </c>
      <c r="L9" s="1" t="s">
        <v>88</v>
      </c>
      <c r="M9" s="1">
        <v>2</v>
      </c>
      <c r="N9" s="1">
        <v>120</v>
      </c>
      <c r="O9" s="1" t="s">
        <v>89</v>
      </c>
      <c r="R9" t="b">
        <v>0</v>
      </c>
      <c r="S9" t="b">
        <v>0</v>
      </c>
      <c r="T9" t="b">
        <f>IF(COUNTBLANK(Master_Reference[[#This Row],[Lutron 3000K Eco Part Number]:[Lutron 4000K Eco Part Number]])=3,FALSE,TRUE)</f>
        <v>0</v>
      </c>
      <c r="U9" t="b">
        <f>IF(COUNTBLANK(Master_Reference[[#This Row],[Lutron 3000K 3W Part Number]:[Lutron 4000K 3W Part Number]])=3,FALSE,TRUE)</f>
        <v>0</v>
      </c>
      <c r="V9" s="12"/>
      <c r="W9" s="12"/>
      <c r="X9" s="12"/>
      <c r="Y9" t="s">
        <v>2125</v>
      </c>
      <c r="Z9" s="12"/>
      <c r="AA9" s="12"/>
      <c r="AB9" s="12"/>
      <c r="AC9" t="s">
        <v>2125</v>
      </c>
      <c r="AD9" t="str">
        <f>SUBSTITUTE(Master_Reference[[#This Row],[C-Flex 4000K Eco Part Number]],"40-","xx-")</f>
        <v/>
      </c>
      <c r="AE9" t="str">
        <f>SUBSTITUTE(Master_Reference[[#This Row],[C-Flex 4000K 3W Part Number]],"40-","xx-")</f>
        <v/>
      </c>
      <c r="AF9" s="1" t="str">
        <f>_xlfn.IFNA(VLOOKUP(Master_Reference[[#This Row],[C-Flex 3000K Eco Part Number]],Lutron_CFlex_Lookup[],MATCH("Lutron Kit PN",Lutron_CFlex_Lookup[#Headers],0),FALSE),"")</f>
        <v/>
      </c>
      <c r="AG9" s="1" t="str">
        <f>_xlfn.IFNA(VLOOKUP(Master_Reference[[#This Row],[C-Flex 3500K Eco Part Number]],Lutron_CFlex_Lookup[],MATCH("Lutron Kit PN",Lutron_CFlex_Lookup[#Headers],0),FALSE),"")</f>
        <v/>
      </c>
      <c r="AH9" s="1" t="str">
        <f>_xlfn.IFNA(VLOOKUP(Master_Reference[[#This Row],[C-Flex 4000K Eco Part Number]],Lutron_CFlex_Lookup[],MATCH("Lutron Kit PN",Lutron_CFlex_Lookup[#Headers],0),FALSE),"")</f>
        <v/>
      </c>
      <c r="AI9" s="1" t="str">
        <f>_xlfn.IFNA(VLOOKUP(Master_Reference[[#This Row],[C-Flex 5000K Eco Part Number]],Lutron_CFlex_Lookup[],MATCH("Lutron Kit PN",Lutron_CFlex_Lookup[#Headers],0),FALSE),"")</f>
        <v/>
      </c>
      <c r="AJ9" s="1" t="str">
        <f>_xlfn.IFNA(VLOOKUP(Master_Reference[[#This Row],[C-Flex 3000K 3W Part Number]],Lutron_CFlex_Lookup[],MATCH("Lutron Kit PN",Lutron_CFlex_Lookup[#Headers],0),FALSE),"")</f>
        <v/>
      </c>
      <c r="AK9" s="1" t="str">
        <f>_xlfn.IFNA(VLOOKUP(Master_Reference[[#This Row],[C-Flex 3500K 3W Part Number]],Lutron_CFlex_Lookup[],MATCH("Lutron Kit PN",Lutron_CFlex_Lookup[#Headers],0),FALSE),"")</f>
        <v/>
      </c>
      <c r="AL9" s="1" t="str">
        <f>_xlfn.IFNA(VLOOKUP(Master_Reference[[#This Row],[C-Flex 4000K 3W Part Number]],Lutron_CFlex_Lookup[],MATCH("Lutron Kit PN",Lutron_CFlex_Lookup[#Headers],0),FALSE),"")</f>
        <v/>
      </c>
      <c r="AM9" s="1" t="str">
        <f>_xlfn.IFNA(VLOOKUP(Master_Reference[[#This Row],[C-Flex 5000K 3W Part Number]],Lutron_CFlex_Lookup[],MATCH("Lutron Kit PN",Lutron_CFlex_Lookup[#Headers],0),FALSE),"")</f>
        <v/>
      </c>
      <c r="AN9" s="1" t="b">
        <f>NOT(ISNA(VLOOKUP(Master_Reference[[#This Row],[Model Number]],ObsoleteModels[],1,FALSE)))</f>
        <v>1</v>
      </c>
      <c r="AO9" s="1" t="str">
        <f>IF(LEFT(Master_Reference[[#This Row],[Model Number]],1)="U",LEFT(Master_Reference[[#This Row],[Model Number]],4),LEFT(Master_Reference[[#This Row],[Model Number]],3))</f>
        <v>2W-</v>
      </c>
    </row>
    <row r="10" spans="1:41" x14ac:dyDescent="0.25">
      <c r="A10" s="2" t="s">
        <v>98</v>
      </c>
      <c r="B10" s="1"/>
      <c r="D10" s="1" t="b">
        <v>1</v>
      </c>
      <c r="G10" s="1" t="str">
        <f>IF(OR(LEFT(RIGHT(Master_Reference[[#This Row],[Model Number]],3),1)="C",LEFT(RIGHT(Master_Reference[[#This Row],[Model Number]],4),1)="C"),TRUE,"")</f>
        <v/>
      </c>
      <c r="H10" s="1" t="str">
        <f>IF(LEFT(Master_Reference[[#This Row],[Model Number]],1)="U",TRUE,"")</f>
        <v/>
      </c>
      <c r="I10" s="1" t="str">
        <f>IF(Master_Reference[[#This Row],[Lamp Type]]="T4","",IF(Master_Reference[[#This Row],[Case Type]]="M","",TRUE))</f>
        <v/>
      </c>
      <c r="J10" s="1" t="s">
        <v>87</v>
      </c>
      <c r="K10" s="1">
        <v>26</v>
      </c>
      <c r="L10" s="1" t="s">
        <v>88</v>
      </c>
      <c r="M10" s="1">
        <v>2</v>
      </c>
      <c r="N10" s="1">
        <v>120</v>
      </c>
      <c r="O10" s="1" t="s">
        <v>89</v>
      </c>
      <c r="Q10" s="1" t="s">
        <v>91</v>
      </c>
      <c r="R10" t="b">
        <v>0</v>
      </c>
      <c r="S10" t="b">
        <v>0</v>
      </c>
      <c r="T10" t="b">
        <f>IF(COUNTBLANK(Master_Reference[[#This Row],[Lutron 3000K Eco Part Number]:[Lutron 4000K Eco Part Number]])=3,FALSE,TRUE)</f>
        <v>0</v>
      </c>
      <c r="U10" t="b">
        <f>IF(COUNTBLANK(Master_Reference[[#This Row],[Lutron 3000K 3W Part Number]:[Lutron 4000K 3W Part Number]])=3,FALSE,TRUE)</f>
        <v>0</v>
      </c>
      <c r="V10" s="12"/>
      <c r="W10" s="12"/>
      <c r="X10" s="12"/>
      <c r="Y10" t="s">
        <v>2125</v>
      </c>
      <c r="Z10" s="12"/>
      <c r="AA10" s="12"/>
      <c r="AB10" s="12"/>
      <c r="AC10" t="s">
        <v>2125</v>
      </c>
      <c r="AD10" t="str">
        <f>SUBSTITUTE(Master_Reference[[#This Row],[C-Flex 4000K Eco Part Number]],"40-","xx-")</f>
        <v/>
      </c>
      <c r="AE10" t="str">
        <f>SUBSTITUTE(Master_Reference[[#This Row],[C-Flex 4000K 3W Part Number]],"40-","xx-")</f>
        <v/>
      </c>
      <c r="AF10" s="1" t="str">
        <f>_xlfn.IFNA(VLOOKUP(Master_Reference[[#This Row],[C-Flex 3000K Eco Part Number]],Lutron_CFlex_Lookup[],MATCH("Lutron Kit PN",Lutron_CFlex_Lookup[#Headers],0),FALSE),"")</f>
        <v/>
      </c>
      <c r="AG10" s="1" t="str">
        <f>_xlfn.IFNA(VLOOKUP(Master_Reference[[#This Row],[C-Flex 3500K Eco Part Number]],Lutron_CFlex_Lookup[],MATCH("Lutron Kit PN",Lutron_CFlex_Lookup[#Headers],0),FALSE),"")</f>
        <v/>
      </c>
      <c r="AH10" s="1" t="str">
        <f>_xlfn.IFNA(VLOOKUP(Master_Reference[[#This Row],[C-Flex 4000K Eco Part Number]],Lutron_CFlex_Lookup[],MATCH("Lutron Kit PN",Lutron_CFlex_Lookup[#Headers],0),FALSE),"")</f>
        <v/>
      </c>
      <c r="AI10" s="1" t="str">
        <f>_xlfn.IFNA(VLOOKUP(Master_Reference[[#This Row],[C-Flex 5000K Eco Part Number]],Lutron_CFlex_Lookup[],MATCH("Lutron Kit PN",Lutron_CFlex_Lookup[#Headers],0),FALSE),"")</f>
        <v/>
      </c>
      <c r="AJ10" s="1" t="str">
        <f>_xlfn.IFNA(VLOOKUP(Master_Reference[[#This Row],[C-Flex 3000K 3W Part Number]],Lutron_CFlex_Lookup[],MATCH("Lutron Kit PN",Lutron_CFlex_Lookup[#Headers],0),FALSE),"")</f>
        <v/>
      </c>
      <c r="AK10" s="1" t="str">
        <f>_xlfn.IFNA(VLOOKUP(Master_Reference[[#This Row],[C-Flex 3500K 3W Part Number]],Lutron_CFlex_Lookup[],MATCH("Lutron Kit PN",Lutron_CFlex_Lookup[#Headers],0),FALSE),"")</f>
        <v/>
      </c>
      <c r="AL10" s="1" t="str">
        <f>_xlfn.IFNA(VLOOKUP(Master_Reference[[#This Row],[C-Flex 4000K 3W Part Number]],Lutron_CFlex_Lookup[],MATCH("Lutron Kit PN",Lutron_CFlex_Lookup[#Headers],0),FALSE),"")</f>
        <v/>
      </c>
      <c r="AM10" s="1" t="str">
        <f>_xlfn.IFNA(VLOOKUP(Master_Reference[[#This Row],[C-Flex 5000K 3W Part Number]],Lutron_CFlex_Lookup[],MATCH("Lutron Kit PN",Lutron_CFlex_Lookup[#Headers],0),FALSE),"")</f>
        <v/>
      </c>
      <c r="AN10" s="1" t="b">
        <f>NOT(ISNA(VLOOKUP(Master_Reference[[#This Row],[Model Number]],ObsoleteModels[],1,FALSE)))</f>
        <v>1</v>
      </c>
      <c r="AO10" s="1" t="str">
        <f>IF(LEFT(Master_Reference[[#This Row],[Model Number]],1)="U",LEFT(Master_Reference[[#This Row],[Model Number]],4),LEFT(Master_Reference[[#This Row],[Model Number]],3))</f>
        <v>2W-</v>
      </c>
    </row>
    <row r="11" spans="1:41" x14ac:dyDescent="0.25">
      <c r="A11" s="2" t="s">
        <v>99</v>
      </c>
      <c r="B11" s="1"/>
      <c r="D11" s="1" t="b">
        <v>1</v>
      </c>
      <c r="G11" s="1" t="str">
        <f>IF(OR(LEFT(RIGHT(Master_Reference[[#This Row],[Model Number]],3),1)="C",LEFT(RIGHT(Master_Reference[[#This Row],[Model Number]],4),1)="C"),TRUE,"")</f>
        <v/>
      </c>
      <c r="H11" s="1" t="str">
        <f>IF(LEFT(Master_Reference[[#This Row],[Model Number]],1)="U",TRUE,"")</f>
        <v/>
      </c>
      <c r="I11" s="1" t="str">
        <f>IF(Master_Reference[[#This Row],[Lamp Type]]="T4","",IF(Master_Reference[[#This Row],[Case Type]]="M","",TRUE))</f>
        <v/>
      </c>
      <c r="J11" s="1" t="s">
        <v>87</v>
      </c>
      <c r="K11" s="1">
        <v>26</v>
      </c>
      <c r="L11" s="1" t="s">
        <v>88</v>
      </c>
      <c r="M11" s="1">
        <v>2</v>
      </c>
      <c r="N11" s="1">
        <v>120</v>
      </c>
      <c r="O11" s="1" t="s">
        <v>89</v>
      </c>
      <c r="P11" s="1" t="b">
        <v>1</v>
      </c>
      <c r="R11" t="b">
        <v>0</v>
      </c>
      <c r="S11" t="b">
        <v>0</v>
      </c>
      <c r="T11" t="b">
        <f>IF(COUNTBLANK(Master_Reference[[#This Row],[Lutron 3000K Eco Part Number]:[Lutron 4000K Eco Part Number]])=3,FALSE,TRUE)</f>
        <v>0</v>
      </c>
      <c r="U11" t="b">
        <f>IF(COUNTBLANK(Master_Reference[[#This Row],[Lutron 3000K 3W Part Number]:[Lutron 4000K 3W Part Number]])=3,FALSE,TRUE)</f>
        <v>0</v>
      </c>
      <c r="V11" s="12"/>
      <c r="W11" s="12"/>
      <c r="X11" s="12"/>
      <c r="Y11" t="s">
        <v>2125</v>
      </c>
      <c r="Z11" s="12"/>
      <c r="AA11" s="12"/>
      <c r="AB11" s="12"/>
      <c r="AC11" t="s">
        <v>2125</v>
      </c>
      <c r="AD11" t="str">
        <f>SUBSTITUTE(Master_Reference[[#This Row],[C-Flex 4000K Eco Part Number]],"40-","xx-")</f>
        <v/>
      </c>
      <c r="AE11" t="str">
        <f>SUBSTITUTE(Master_Reference[[#This Row],[C-Flex 4000K 3W Part Number]],"40-","xx-")</f>
        <v/>
      </c>
      <c r="AF11" s="1" t="str">
        <f>_xlfn.IFNA(VLOOKUP(Master_Reference[[#This Row],[C-Flex 3000K Eco Part Number]],Lutron_CFlex_Lookup[],MATCH("Lutron Kit PN",Lutron_CFlex_Lookup[#Headers],0),FALSE),"")</f>
        <v/>
      </c>
      <c r="AG11" s="1" t="str">
        <f>_xlfn.IFNA(VLOOKUP(Master_Reference[[#This Row],[C-Flex 3500K Eco Part Number]],Lutron_CFlex_Lookup[],MATCH("Lutron Kit PN",Lutron_CFlex_Lookup[#Headers],0),FALSE),"")</f>
        <v/>
      </c>
      <c r="AH11" s="1" t="str">
        <f>_xlfn.IFNA(VLOOKUP(Master_Reference[[#This Row],[C-Flex 4000K Eco Part Number]],Lutron_CFlex_Lookup[],MATCH("Lutron Kit PN",Lutron_CFlex_Lookup[#Headers],0),FALSE),"")</f>
        <v/>
      </c>
      <c r="AI11" s="1" t="str">
        <f>_xlfn.IFNA(VLOOKUP(Master_Reference[[#This Row],[C-Flex 5000K Eco Part Number]],Lutron_CFlex_Lookup[],MATCH("Lutron Kit PN",Lutron_CFlex_Lookup[#Headers],0),FALSE),"")</f>
        <v/>
      </c>
      <c r="AJ11" s="1" t="str">
        <f>_xlfn.IFNA(VLOOKUP(Master_Reference[[#This Row],[C-Flex 3000K 3W Part Number]],Lutron_CFlex_Lookup[],MATCH("Lutron Kit PN",Lutron_CFlex_Lookup[#Headers],0),FALSE),"")</f>
        <v/>
      </c>
      <c r="AK11" s="1" t="str">
        <f>_xlfn.IFNA(VLOOKUP(Master_Reference[[#This Row],[C-Flex 3500K 3W Part Number]],Lutron_CFlex_Lookup[],MATCH("Lutron Kit PN",Lutron_CFlex_Lookup[#Headers],0),FALSE),"")</f>
        <v/>
      </c>
      <c r="AL11" s="1" t="str">
        <f>_xlfn.IFNA(VLOOKUP(Master_Reference[[#This Row],[C-Flex 4000K 3W Part Number]],Lutron_CFlex_Lookup[],MATCH("Lutron Kit PN",Lutron_CFlex_Lookup[#Headers],0),FALSE),"")</f>
        <v/>
      </c>
      <c r="AM11" s="1" t="str">
        <f>_xlfn.IFNA(VLOOKUP(Master_Reference[[#This Row],[C-Flex 5000K 3W Part Number]],Lutron_CFlex_Lookup[],MATCH("Lutron Kit PN",Lutron_CFlex_Lookup[#Headers],0),FALSE),"")</f>
        <v/>
      </c>
      <c r="AN11" s="1" t="b">
        <f>NOT(ISNA(VLOOKUP(Master_Reference[[#This Row],[Model Number]],ObsoleteModels[],1,FALSE)))</f>
        <v>1</v>
      </c>
      <c r="AO11" s="1" t="str">
        <f>IF(LEFT(Master_Reference[[#This Row],[Model Number]],1)="U",LEFT(Master_Reference[[#This Row],[Model Number]],4),LEFT(Master_Reference[[#This Row],[Model Number]],3))</f>
        <v>2W-</v>
      </c>
    </row>
    <row r="12" spans="1:41" x14ac:dyDescent="0.25">
      <c r="A12" s="2" t="s">
        <v>100</v>
      </c>
      <c r="B12" s="1"/>
      <c r="D12" s="1" t="b">
        <v>1</v>
      </c>
      <c r="G12" s="1" t="str">
        <f>IF(OR(LEFT(RIGHT(Master_Reference[[#This Row],[Model Number]],3),1)="C",LEFT(RIGHT(Master_Reference[[#This Row],[Model Number]],4),1)="C"),TRUE,"")</f>
        <v/>
      </c>
      <c r="H12" s="1" t="str">
        <f>IF(LEFT(Master_Reference[[#This Row],[Model Number]],1)="U",TRUE,"")</f>
        <v/>
      </c>
      <c r="I12" s="1" t="str">
        <f>IF(Master_Reference[[#This Row],[Lamp Type]]="T4","",IF(Master_Reference[[#This Row],[Case Type]]="M","",TRUE))</f>
        <v/>
      </c>
      <c r="J12" s="1" t="s">
        <v>87</v>
      </c>
      <c r="K12" s="1">
        <v>26</v>
      </c>
      <c r="L12" s="1" t="s">
        <v>88</v>
      </c>
      <c r="M12" s="1">
        <v>2</v>
      </c>
      <c r="N12" s="1">
        <v>120</v>
      </c>
      <c r="O12" s="1" t="s">
        <v>89</v>
      </c>
      <c r="P12" s="1" t="b">
        <v>1</v>
      </c>
      <c r="Q12" s="1" t="s">
        <v>91</v>
      </c>
      <c r="R12" t="b">
        <v>0</v>
      </c>
      <c r="S12" t="b">
        <v>0</v>
      </c>
      <c r="T12" t="b">
        <f>IF(COUNTBLANK(Master_Reference[[#This Row],[Lutron 3000K Eco Part Number]:[Lutron 4000K Eco Part Number]])=3,FALSE,TRUE)</f>
        <v>0</v>
      </c>
      <c r="U12" t="b">
        <f>IF(COUNTBLANK(Master_Reference[[#This Row],[Lutron 3000K 3W Part Number]:[Lutron 4000K 3W Part Number]])=3,FALSE,TRUE)</f>
        <v>0</v>
      </c>
      <c r="V12" s="12"/>
      <c r="W12" s="12"/>
      <c r="X12" s="12"/>
      <c r="Y12" t="s">
        <v>2125</v>
      </c>
      <c r="Z12" s="12"/>
      <c r="AA12" s="12"/>
      <c r="AB12" s="12"/>
      <c r="AC12" t="s">
        <v>2125</v>
      </c>
      <c r="AD12" t="str">
        <f>SUBSTITUTE(Master_Reference[[#This Row],[C-Flex 4000K Eco Part Number]],"40-","xx-")</f>
        <v/>
      </c>
      <c r="AE12" t="str">
        <f>SUBSTITUTE(Master_Reference[[#This Row],[C-Flex 4000K 3W Part Number]],"40-","xx-")</f>
        <v/>
      </c>
      <c r="AF12" s="1" t="str">
        <f>_xlfn.IFNA(VLOOKUP(Master_Reference[[#This Row],[C-Flex 3000K Eco Part Number]],Lutron_CFlex_Lookup[],MATCH("Lutron Kit PN",Lutron_CFlex_Lookup[#Headers],0),FALSE),"")</f>
        <v/>
      </c>
      <c r="AG12" s="1" t="str">
        <f>_xlfn.IFNA(VLOOKUP(Master_Reference[[#This Row],[C-Flex 3500K Eco Part Number]],Lutron_CFlex_Lookup[],MATCH("Lutron Kit PN",Lutron_CFlex_Lookup[#Headers],0),FALSE),"")</f>
        <v/>
      </c>
      <c r="AH12" s="1" t="str">
        <f>_xlfn.IFNA(VLOOKUP(Master_Reference[[#This Row],[C-Flex 4000K Eco Part Number]],Lutron_CFlex_Lookup[],MATCH("Lutron Kit PN",Lutron_CFlex_Lookup[#Headers],0),FALSE),"")</f>
        <v/>
      </c>
      <c r="AI12" s="1" t="str">
        <f>_xlfn.IFNA(VLOOKUP(Master_Reference[[#This Row],[C-Flex 5000K Eco Part Number]],Lutron_CFlex_Lookup[],MATCH("Lutron Kit PN",Lutron_CFlex_Lookup[#Headers],0),FALSE),"")</f>
        <v/>
      </c>
      <c r="AJ12" s="1" t="str">
        <f>_xlfn.IFNA(VLOOKUP(Master_Reference[[#This Row],[C-Flex 3000K 3W Part Number]],Lutron_CFlex_Lookup[],MATCH("Lutron Kit PN",Lutron_CFlex_Lookup[#Headers],0),FALSE),"")</f>
        <v/>
      </c>
      <c r="AK12" s="1" t="str">
        <f>_xlfn.IFNA(VLOOKUP(Master_Reference[[#This Row],[C-Flex 3500K 3W Part Number]],Lutron_CFlex_Lookup[],MATCH("Lutron Kit PN",Lutron_CFlex_Lookup[#Headers],0),FALSE),"")</f>
        <v/>
      </c>
      <c r="AL12" s="1" t="str">
        <f>_xlfn.IFNA(VLOOKUP(Master_Reference[[#This Row],[C-Flex 4000K 3W Part Number]],Lutron_CFlex_Lookup[],MATCH("Lutron Kit PN",Lutron_CFlex_Lookup[#Headers],0),FALSE),"")</f>
        <v/>
      </c>
      <c r="AM12" s="1" t="str">
        <f>_xlfn.IFNA(VLOOKUP(Master_Reference[[#This Row],[C-Flex 5000K 3W Part Number]],Lutron_CFlex_Lookup[],MATCH("Lutron Kit PN",Lutron_CFlex_Lookup[#Headers],0),FALSE),"")</f>
        <v/>
      </c>
      <c r="AN12" s="1" t="b">
        <f>NOT(ISNA(VLOOKUP(Master_Reference[[#This Row],[Model Number]],ObsoleteModels[],1,FALSE)))</f>
        <v>1</v>
      </c>
      <c r="AO12" s="1" t="str">
        <f>IF(LEFT(Master_Reference[[#This Row],[Model Number]],1)="U",LEFT(Master_Reference[[#This Row],[Model Number]],4),LEFT(Master_Reference[[#This Row],[Model Number]],3))</f>
        <v>2W-</v>
      </c>
    </row>
    <row r="13" spans="1:41" x14ac:dyDescent="0.25">
      <c r="A13" s="2" t="s">
        <v>101</v>
      </c>
      <c r="B13" s="1"/>
      <c r="D13" s="1" t="b">
        <v>1</v>
      </c>
      <c r="G13" s="1" t="str">
        <f>IF(OR(LEFT(RIGHT(Master_Reference[[#This Row],[Model Number]],3),1)="C",LEFT(RIGHT(Master_Reference[[#This Row],[Model Number]],4),1)="C"),TRUE,"")</f>
        <v/>
      </c>
      <c r="H13" s="1" t="str">
        <f>IF(LEFT(Master_Reference[[#This Row],[Model Number]],1)="U",TRUE,"")</f>
        <v/>
      </c>
      <c r="I13" s="1" t="str">
        <f>IF(Master_Reference[[#This Row],[Lamp Type]]="T4","",IF(Master_Reference[[#This Row],[Case Type]]="M","",TRUE))</f>
        <v/>
      </c>
      <c r="J13" s="1" t="s">
        <v>87</v>
      </c>
      <c r="K13" s="1">
        <v>32</v>
      </c>
      <c r="L13" s="1" t="s">
        <v>88</v>
      </c>
      <c r="M13" s="1">
        <v>1</v>
      </c>
      <c r="N13" s="1">
        <v>120</v>
      </c>
      <c r="O13" s="1" t="s">
        <v>89</v>
      </c>
      <c r="R13" t="b">
        <v>0</v>
      </c>
      <c r="S13" t="b">
        <v>0</v>
      </c>
      <c r="T13" t="b">
        <f>IF(COUNTBLANK(Master_Reference[[#This Row],[Lutron 3000K Eco Part Number]:[Lutron 4000K Eco Part Number]])=3,FALSE,TRUE)</f>
        <v>0</v>
      </c>
      <c r="U13" t="b">
        <f>IF(COUNTBLANK(Master_Reference[[#This Row],[Lutron 3000K 3W Part Number]:[Lutron 4000K 3W Part Number]])=3,FALSE,TRUE)</f>
        <v>0</v>
      </c>
      <c r="V13" s="12"/>
      <c r="W13" s="12"/>
      <c r="X13" s="12"/>
      <c r="Y13" t="s">
        <v>2125</v>
      </c>
      <c r="Z13" s="12"/>
      <c r="AA13" s="12"/>
      <c r="AB13" s="12"/>
      <c r="AC13" t="s">
        <v>2125</v>
      </c>
      <c r="AD13" t="str">
        <f>SUBSTITUTE(Master_Reference[[#This Row],[C-Flex 4000K Eco Part Number]],"40-","xx-")</f>
        <v/>
      </c>
      <c r="AE13" t="str">
        <f>SUBSTITUTE(Master_Reference[[#This Row],[C-Flex 4000K 3W Part Number]],"40-","xx-")</f>
        <v/>
      </c>
      <c r="AF13" s="1" t="str">
        <f>_xlfn.IFNA(VLOOKUP(Master_Reference[[#This Row],[C-Flex 3000K Eco Part Number]],Lutron_CFlex_Lookup[],MATCH("Lutron Kit PN",Lutron_CFlex_Lookup[#Headers],0),FALSE),"")</f>
        <v/>
      </c>
      <c r="AG13" s="1" t="str">
        <f>_xlfn.IFNA(VLOOKUP(Master_Reference[[#This Row],[C-Flex 3500K Eco Part Number]],Lutron_CFlex_Lookup[],MATCH("Lutron Kit PN",Lutron_CFlex_Lookup[#Headers],0),FALSE),"")</f>
        <v/>
      </c>
      <c r="AH13" s="1" t="str">
        <f>_xlfn.IFNA(VLOOKUP(Master_Reference[[#This Row],[C-Flex 4000K Eco Part Number]],Lutron_CFlex_Lookup[],MATCH("Lutron Kit PN",Lutron_CFlex_Lookup[#Headers],0),FALSE),"")</f>
        <v/>
      </c>
      <c r="AI13" s="1" t="str">
        <f>_xlfn.IFNA(VLOOKUP(Master_Reference[[#This Row],[C-Flex 5000K Eco Part Number]],Lutron_CFlex_Lookup[],MATCH("Lutron Kit PN",Lutron_CFlex_Lookup[#Headers],0),FALSE),"")</f>
        <v/>
      </c>
      <c r="AJ13" s="1" t="str">
        <f>_xlfn.IFNA(VLOOKUP(Master_Reference[[#This Row],[C-Flex 3000K 3W Part Number]],Lutron_CFlex_Lookup[],MATCH("Lutron Kit PN",Lutron_CFlex_Lookup[#Headers],0),FALSE),"")</f>
        <v/>
      </c>
      <c r="AK13" s="1" t="str">
        <f>_xlfn.IFNA(VLOOKUP(Master_Reference[[#This Row],[C-Flex 3500K 3W Part Number]],Lutron_CFlex_Lookup[],MATCH("Lutron Kit PN",Lutron_CFlex_Lookup[#Headers],0),FALSE),"")</f>
        <v/>
      </c>
      <c r="AL13" s="1" t="str">
        <f>_xlfn.IFNA(VLOOKUP(Master_Reference[[#This Row],[C-Flex 4000K 3W Part Number]],Lutron_CFlex_Lookup[],MATCH("Lutron Kit PN",Lutron_CFlex_Lookup[#Headers],0),FALSE),"")</f>
        <v/>
      </c>
      <c r="AM13" s="1" t="str">
        <f>_xlfn.IFNA(VLOOKUP(Master_Reference[[#This Row],[C-Flex 5000K 3W Part Number]],Lutron_CFlex_Lookup[],MATCH("Lutron Kit PN",Lutron_CFlex_Lookup[#Headers],0),FALSE),"")</f>
        <v/>
      </c>
      <c r="AN13" s="1" t="b">
        <f>NOT(ISNA(VLOOKUP(Master_Reference[[#This Row],[Model Number]],ObsoleteModels[],1,FALSE)))</f>
        <v>1</v>
      </c>
      <c r="AO13" s="1" t="str">
        <f>IF(LEFT(Master_Reference[[#This Row],[Model Number]],1)="U",LEFT(Master_Reference[[#This Row],[Model Number]],4),LEFT(Master_Reference[[#This Row],[Model Number]],3))</f>
        <v>2W-</v>
      </c>
    </row>
    <row r="14" spans="1:41" x14ac:dyDescent="0.25">
      <c r="A14" s="2" t="s">
        <v>102</v>
      </c>
      <c r="B14" s="1"/>
      <c r="D14" s="1" t="b">
        <v>1</v>
      </c>
      <c r="G14" s="1" t="str">
        <f>IF(OR(LEFT(RIGHT(Master_Reference[[#This Row],[Model Number]],3),1)="C",LEFT(RIGHT(Master_Reference[[#This Row],[Model Number]],4),1)="C"),TRUE,"")</f>
        <v/>
      </c>
      <c r="H14" s="1" t="str">
        <f>IF(LEFT(Master_Reference[[#This Row],[Model Number]],1)="U",TRUE,"")</f>
        <v/>
      </c>
      <c r="I14" s="1" t="str">
        <f>IF(Master_Reference[[#This Row],[Lamp Type]]="T4","",IF(Master_Reference[[#This Row],[Case Type]]="M","",TRUE))</f>
        <v/>
      </c>
      <c r="J14" s="1" t="s">
        <v>87</v>
      </c>
      <c r="K14" s="1">
        <v>32</v>
      </c>
      <c r="L14" s="1" t="s">
        <v>88</v>
      </c>
      <c r="M14" s="1">
        <v>1</v>
      </c>
      <c r="N14" s="1">
        <v>120</v>
      </c>
      <c r="O14" s="1" t="s">
        <v>89</v>
      </c>
      <c r="Q14" s="1" t="s">
        <v>91</v>
      </c>
      <c r="R14" t="b">
        <v>0</v>
      </c>
      <c r="S14" t="b">
        <v>0</v>
      </c>
      <c r="T14" t="b">
        <f>IF(COUNTBLANK(Master_Reference[[#This Row],[Lutron 3000K Eco Part Number]:[Lutron 4000K Eco Part Number]])=3,FALSE,TRUE)</f>
        <v>0</v>
      </c>
      <c r="U14" t="b">
        <f>IF(COUNTBLANK(Master_Reference[[#This Row],[Lutron 3000K 3W Part Number]:[Lutron 4000K 3W Part Number]])=3,FALSE,TRUE)</f>
        <v>0</v>
      </c>
      <c r="V14" s="12"/>
      <c r="W14" s="12"/>
      <c r="X14" s="12"/>
      <c r="Y14" t="s">
        <v>2125</v>
      </c>
      <c r="Z14" s="12"/>
      <c r="AA14" s="12"/>
      <c r="AB14" s="12"/>
      <c r="AC14" t="s">
        <v>2125</v>
      </c>
      <c r="AD14" t="str">
        <f>SUBSTITUTE(Master_Reference[[#This Row],[C-Flex 4000K Eco Part Number]],"40-","xx-")</f>
        <v/>
      </c>
      <c r="AE14" t="str">
        <f>SUBSTITUTE(Master_Reference[[#This Row],[C-Flex 4000K 3W Part Number]],"40-","xx-")</f>
        <v/>
      </c>
      <c r="AF14" s="1" t="str">
        <f>_xlfn.IFNA(VLOOKUP(Master_Reference[[#This Row],[C-Flex 3000K Eco Part Number]],Lutron_CFlex_Lookup[],MATCH("Lutron Kit PN",Lutron_CFlex_Lookup[#Headers],0),FALSE),"")</f>
        <v/>
      </c>
      <c r="AG14" s="1" t="str">
        <f>_xlfn.IFNA(VLOOKUP(Master_Reference[[#This Row],[C-Flex 3500K Eco Part Number]],Lutron_CFlex_Lookup[],MATCH("Lutron Kit PN",Lutron_CFlex_Lookup[#Headers],0),FALSE),"")</f>
        <v/>
      </c>
      <c r="AH14" s="1" t="str">
        <f>_xlfn.IFNA(VLOOKUP(Master_Reference[[#This Row],[C-Flex 4000K Eco Part Number]],Lutron_CFlex_Lookup[],MATCH("Lutron Kit PN",Lutron_CFlex_Lookup[#Headers],0),FALSE),"")</f>
        <v/>
      </c>
      <c r="AI14" s="1" t="str">
        <f>_xlfn.IFNA(VLOOKUP(Master_Reference[[#This Row],[C-Flex 5000K Eco Part Number]],Lutron_CFlex_Lookup[],MATCH("Lutron Kit PN",Lutron_CFlex_Lookup[#Headers],0),FALSE),"")</f>
        <v/>
      </c>
      <c r="AJ14" s="1" t="str">
        <f>_xlfn.IFNA(VLOOKUP(Master_Reference[[#This Row],[C-Flex 3000K 3W Part Number]],Lutron_CFlex_Lookup[],MATCH("Lutron Kit PN",Lutron_CFlex_Lookup[#Headers],0),FALSE),"")</f>
        <v/>
      </c>
      <c r="AK14" s="1" t="str">
        <f>_xlfn.IFNA(VLOOKUP(Master_Reference[[#This Row],[C-Flex 3500K 3W Part Number]],Lutron_CFlex_Lookup[],MATCH("Lutron Kit PN",Lutron_CFlex_Lookup[#Headers],0),FALSE),"")</f>
        <v/>
      </c>
      <c r="AL14" s="1" t="str">
        <f>_xlfn.IFNA(VLOOKUP(Master_Reference[[#This Row],[C-Flex 4000K 3W Part Number]],Lutron_CFlex_Lookup[],MATCH("Lutron Kit PN",Lutron_CFlex_Lookup[#Headers],0),FALSE),"")</f>
        <v/>
      </c>
      <c r="AM14" s="1" t="str">
        <f>_xlfn.IFNA(VLOOKUP(Master_Reference[[#This Row],[C-Flex 5000K 3W Part Number]],Lutron_CFlex_Lookup[],MATCH("Lutron Kit PN",Lutron_CFlex_Lookup[#Headers],0),FALSE),"")</f>
        <v/>
      </c>
      <c r="AN14" s="1" t="b">
        <f>NOT(ISNA(VLOOKUP(Master_Reference[[#This Row],[Model Number]],ObsoleteModels[],1,FALSE)))</f>
        <v>1</v>
      </c>
      <c r="AO14" s="1" t="str">
        <f>IF(LEFT(Master_Reference[[#This Row],[Model Number]],1)="U",LEFT(Master_Reference[[#This Row],[Model Number]],4),LEFT(Master_Reference[[#This Row],[Model Number]],3))</f>
        <v>2W-</v>
      </c>
    </row>
    <row r="15" spans="1:41" x14ac:dyDescent="0.25">
      <c r="A15" s="2" t="s">
        <v>103</v>
      </c>
      <c r="B15" s="1"/>
      <c r="D15" s="1" t="b">
        <v>1</v>
      </c>
      <c r="G15" s="1" t="str">
        <f>IF(OR(LEFT(RIGHT(Master_Reference[[#This Row],[Model Number]],3),1)="C",LEFT(RIGHT(Master_Reference[[#This Row],[Model Number]],4),1)="C"),TRUE,"")</f>
        <v/>
      </c>
      <c r="H15" s="1" t="str">
        <f>IF(LEFT(Master_Reference[[#This Row],[Model Number]],1)="U",TRUE,"")</f>
        <v/>
      </c>
      <c r="I15" s="1" t="str">
        <f>IF(Master_Reference[[#This Row],[Lamp Type]]="T4","",IF(Master_Reference[[#This Row],[Case Type]]="M","",TRUE))</f>
        <v/>
      </c>
      <c r="J15" s="1" t="s">
        <v>87</v>
      </c>
      <c r="K15" s="1">
        <v>32</v>
      </c>
      <c r="L15" s="1" t="s">
        <v>88</v>
      </c>
      <c r="M15" s="1">
        <v>1</v>
      </c>
      <c r="N15" s="1">
        <v>120</v>
      </c>
      <c r="O15" s="1" t="s">
        <v>89</v>
      </c>
      <c r="P15" s="1" t="b">
        <v>1</v>
      </c>
      <c r="R15" t="b">
        <v>0</v>
      </c>
      <c r="S15" t="b">
        <v>0</v>
      </c>
      <c r="T15" t="b">
        <f>IF(COUNTBLANK(Master_Reference[[#This Row],[Lutron 3000K Eco Part Number]:[Lutron 4000K Eco Part Number]])=3,FALSE,TRUE)</f>
        <v>0</v>
      </c>
      <c r="U15" t="b">
        <f>IF(COUNTBLANK(Master_Reference[[#This Row],[Lutron 3000K 3W Part Number]:[Lutron 4000K 3W Part Number]])=3,FALSE,TRUE)</f>
        <v>0</v>
      </c>
      <c r="V15" s="12"/>
      <c r="W15" s="12"/>
      <c r="X15" s="12"/>
      <c r="Y15" t="s">
        <v>2125</v>
      </c>
      <c r="Z15" s="12"/>
      <c r="AA15" s="12"/>
      <c r="AB15" s="12"/>
      <c r="AC15" t="s">
        <v>2125</v>
      </c>
      <c r="AD15" t="str">
        <f>SUBSTITUTE(Master_Reference[[#This Row],[C-Flex 4000K Eco Part Number]],"40-","xx-")</f>
        <v/>
      </c>
      <c r="AE15" t="str">
        <f>SUBSTITUTE(Master_Reference[[#This Row],[C-Flex 4000K 3W Part Number]],"40-","xx-")</f>
        <v/>
      </c>
      <c r="AF15" s="1" t="str">
        <f>_xlfn.IFNA(VLOOKUP(Master_Reference[[#This Row],[C-Flex 3000K Eco Part Number]],Lutron_CFlex_Lookup[],MATCH("Lutron Kit PN",Lutron_CFlex_Lookup[#Headers],0),FALSE),"")</f>
        <v/>
      </c>
      <c r="AG15" s="1" t="str">
        <f>_xlfn.IFNA(VLOOKUP(Master_Reference[[#This Row],[C-Flex 3500K Eco Part Number]],Lutron_CFlex_Lookup[],MATCH("Lutron Kit PN",Lutron_CFlex_Lookup[#Headers],0),FALSE),"")</f>
        <v/>
      </c>
      <c r="AH15" s="1" t="str">
        <f>_xlfn.IFNA(VLOOKUP(Master_Reference[[#This Row],[C-Flex 4000K Eco Part Number]],Lutron_CFlex_Lookup[],MATCH("Lutron Kit PN",Lutron_CFlex_Lookup[#Headers],0),FALSE),"")</f>
        <v/>
      </c>
      <c r="AI15" s="1" t="str">
        <f>_xlfn.IFNA(VLOOKUP(Master_Reference[[#This Row],[C-Flex 5000K Eco Part Number]],Lutron_CFlex_Lookup[],MATCH("Lutron Kit PN",Lutron_CFlex_Lookup[#Headers],0),FALSE),"")</f>
        <v/>
      </c>
      <c r="AJ15" s="1" t="str">
        <f>_xlfn.IFNA(VLOOKUP(Master_Reference[[#This Row],[C-Flex 3000K 3W Part Number]],Lutron_CFlex_Lookup[],MATCH("Lutron Kit PN",Lutron_CFlex_Lookup[#Headers],0),FALSE),"")</f>
        <v/>
      </c>
      <c r="AK15" s="1" t="str">
        <f>_xlfn.IFNA(VLOOKUP(Master_Reference[[#This Row],[C-Flex 3500K 3W Part Number]],Lutron_CFlex_Lookup[],MATCH("Lutron Kit PN",Lutron_CFlex_Lookup[#Headers],0),FALSE),"")</f>
        <v/>
      </c>
      <c r="AL15" s="1" t="str">
        <f>_xlfn.IFNA(VLOOKUP(Master_Reference[[#This Row],[C-Flex 4000K 3W Part Number]],Lutron_CFlex_Lookup[],MATCH("Lutron Kit PN",Lutron_CFlex_Lookup[#Headers],0),FALSE),"")</f>
        <v/>
      </c>
      <c r="AM15" s="1" t="str">
        <f>_xlfn.IFNA(VLOOKUP(Master_Reference[[#This Row],[C-Flex 5000K 3W Part Number]],Lutron_CFlex_Lookup[],MATCH("Lutron Kit PN",Lutron_CFlex_Lookup[#Headers],0),FALSE),"")</f>
        <v/>
      </c>
      <c r="AN15" s="1" t="b">
        <f>NOT(ISNA(VLOOKUP(Master_Reference[[#This Row],[Model Number]],ObsoleteModels[],1,FALSE)))</f>
        <v>1</v>
      </c>
      <c r="AO15" s="1" t="str">
        <f>IF(LEFT(Master_Reference[[#This Row],[Model Number]],1)="U",LEFT(Master_Reference[[#This Row],[Model Number]],4),LEFT(Master_Reference[[#This Row],[Model Number]],3))</f>
        <v>2W-</v>
      </c>
    </row>
    <row r="16" spans="1:41" x14ac:dyDescent="0.25">
      <c r="A16" s="2" t="s">
        <v>104</v>
      </c>
      <c r="B16" s="1"/>
      <c r="D16" s="1" t="b">
        <v>1</v>
      </c>
      <c r="G16" s="1" t="str">
        <f>IF(OR(LEFT(RIGHT(Master_Reference[[#This Row],[Model Number]],3),1)="C",LEFT(RIGHT(Master_Reference[[#This Row],[Model Number]],4),1)="C"),TRUE,"")</f>
        <v/>
      </c>
      <c r="H16" s="1" t="str">
        <f>IF(LEFT(Master_Reference[[#This Row],[Model Number]],1)="U",TRUE,"")</f>
        <v/>
      </c>
      <c r="I16" s="1" t="str">
        <f>IF(Master_Reference[[#This Row],[Lamp Type]]="T4","",IF(Master_Reference[[#This Row],[Case Type]]="M","",TRUE))</f>
        <v/>
      </c>
      <c r="J16" s="1" t="s">
        <v>87</v>
      </c>
      <c r="K16" s="1">
        <v>32</v>
      </c>
      <c r="L16" s="1" t="s">
        <v>88</v>
      </c>
      <c r="M16" s="1">
        <v>1</v>
      </c>
      <c r="N16" s="1">
        <v>120</v>
      </c>
      <c r="O16" s="1" t="s">
        <v>89</v>
      </c>
      <c r="P16" s="1" t="b">
        <v>1</v>
      </c>
      <c r="Q16" s="1" t="s">
        <v>91</v>
      </c>
      <c r="R16" t="b">
        <v>0</v>
      </c>
      <c r="S16" t="b">
        <v>0</v>
      </c>
      <c r="T16" t="b">
        <f>IF(COUNTBLANK(Master_Reference[[#This Row],[Lutron 3000K Eco Part Number]:[Lutron 4000K Eco Part Number]])=3,FALSE,TRUE)</f>
        <v>0</v>
      </c>
      <c r="U16" t="b">
        <f>IF(COUNTBLANK(Master_Reference[[#This Row],[Lutron 3000K 3W Part Number]:[Lutron 4000K 3W Part Number]])=3,FALSE,TRUE)</f>
        <v>0</v>
      </c>
      <c r="V16" s="12"/>
      <c r="W16" s="12"/>
      <c r="X16" s="12"/>
      <c r="Y16" t="s">
        <v>2125</v>
      </c>
      <c r="Z16" s="12"/>
      <c r="AA16" s="12"/>
      <c r="AB16" s="12"/>
      <c r="AC16" t="s">
        <v>2125</v>
      </c>
      <c r="AD16" t="str">
        <f>SUBSTITUTE(Master_Reference[[#This Row],[C-Flex 4000K Eco Part Number]],"40-","xx-")</f>
        <v/>
      </c>
      <c r="AE16" t="str">
        <f>SUBSTITUTE(Master_Reference[[#This Row],[C-Flex 4000K 3W Part Number]],"40-","xx-")</f>
        <v/>
      </c>
      <c r="AF16" s="1" t="str">
        <f>_xlfn.IFNA(VLOOKUP(Master_Reference[[#This Row],[C-Flex 3000K Eco Part Number]],Lutron_CFlex_Lookup[],MATCH("Lutron Kit PN",Lutron_CFlex_Lookup[#Headers],0),FALSE),"")</f>
        <v/>
      </c>
      <c r="AG16" s="1" t="str">
        <f>_xlfn.IFNA(VLOOKUP(Master_Reference[[#This Row],[C-Flex 3500K Eco Part Number]],Lutron_CFlex_Lookup[],MATCH("Lutron Kit PN",Lutron_CFlex_Lookup[#Headers],0),FALSE),"")</f>
        <v/>
      </c>
      <c r="AH16" s="1" t="str">
        <f>_xlfn.IFNA(VLOOKUP(Master_Reference[[#This Row],[C-Flex 4000K Eco Part Number]],Lutron_CFlex_Lookup[],MATCH("Lutron Kit PN",Lutron_CFlex_Lookup[#Headers],0),FALSE),"")</f>
        <v/>
      </c>
      <c r="AI16" s="1" t="str">
        <f>_xlfn.IFNA(VLOOKUP(Master_Reference[[#This Row],[C-Flex 5000K Eco Part Number]],Lutron_CFlex_Lookup[],MATCH("Lutron Kit PN",Lutron_CFlex_Lookup[#Headers],0),FALSE),"")</f>
        <v/>
      </c>
      <c r="AJ16" s="1" t="str">
        <f>_xlfn.IFNA(VLOOKUP(Master_Reference[[#This Row],[C-Flex 3000K 3W Part Number]],Lutron_CFlex_Lookup[],MATCH("Lutron Kit PN",Lutron_CFlex_Lookup[#Headers],0),FALSE),"")</f>
        <v/>
      </c>
      <c r="AK16" s="1" t="str">
        <f>_xlfn.IFNA(VLOOKUP(Master_Reference[[#This Row],[C-Flex 3500K 3W Part Number]],Lutron_CFlex_Lookup[],MATCH("Lutron Kit PN",Lutron_CFlex_Lookup[#Headers],0),FALSE),"")</f>
        <v/>
      </c>
      <c r="AL16" s="1" t="str">
        <f>_xlfn.IFNA(VLOOKUP(Master_Reference[[#This Row],[C-Flex 4000K 3W Part Number]],Lutron_CFlex_Lookup[],MATCH("Lutron Kit PN",Lutron_CFlex_Lookup[#Headers],0),FALSE),"")</f>
        <v/>
      </c>
      <c r="AM16" s="1" t="str">
        <f>_xlfn.IFNA(VLOOKUP(Master_Reference[[#This Row],[C-Flex 5000K 3W Part Number]],Lutron_CFlex_Lookup[],MATCH("Lutron Kit PN",Lutron_CFlex_Lookup[#Headers],0),FALSE),"")</f>
        <v/>
      </c>
      <c r="AN16" s="1" t="b">
        <f>NOT(ISNA(VLOOKUP(Master_Reference[[#This Row],[Model Number]],ObsoleteModels[],1,FALSE)))</f>
        <v>1</v>
      </c>
      <c r="AO16" s="1" t="str">
        <f>IF(LEFT(Master_Reference[[#This Row],[Model Number]],1)="U",LEFT(Master_Reference[[#This Row],[Model Number]],4),LEFT(Master_Reference[[#This Row],[Model Number]],3))</f>
        <v>2W-</v>
      </c>
    </row>
    <row r="17" spans="1:41" x14ac:dyDescent="0.25">
      <c r="A17" s="2" t="s">
        <v>105</v>
      </c>
      <c r="B17" s="1"/>
      <c r="D17" s="1" t="b">
        <v>1</v>
      </c>
      <c r="G17" s="1" t="str">
        <f>IF(OR(LEFT(RIGHT(Master_Reference[[#This Row],[Model Number]],3),1)="C",LEFT(RIGHT(Master_Reference[[#This Row],[Model Number]],4),1)="C"),TRUE,"")</f>
        <v/>
      </c>
      <c r="H17" s="1" t="str">
        <f>IF(LEFT(Master_Reference[[#This Row],[Model Number]],1)="U",TRUE,"")</f>
        <v/>
      </c>
      <c r="I17" s="1" t="str">
        <f>IF(Master_Reference[[#This Row],[Lamp Type]]="T4","",IF(Master_Reference[[#This Row],[Case Type]]="M","",TRUE))</f>
        <v/>
      </c>
      <c r="J17" s="1" t="s">
        <v>87</v>
      </c>
      <c r="K17" s="1">
        <v>32</v>
      </c>
      <c r="L17" s="1" t="s">
        <v>88</v>
      </c>
      <c r="M17" s="1">
        <v>2</v>
      </c>
      <c r="N17" s="1">
        <v>120</v>
      </c>
      <c r="O17" s="1" t="s">
        <v>106</v>
      </c>
      <c r="R17" t="b">
        <v>0</v>
      </c>
      <c r="S17" t="b">
        <v>0</v>
      </c>
      <c r="T17" t="b">
        <f>IF(COUNTBLANK(Master_Reference[[#This Row],[Lutron 3000K Eco Part Number]:[Lutron 4000K Eco Part Number]])=3,FALSE,TRUE)</f>
        <v>0</v>
      </c>
      <c r="U17" t="b">
        <f>IF(COUNTBLANK(Master_Reference[[#This Row],[Lutron 3000K 3W Part Number]:[Lutron 4000K 3W Part Number]])=3,FALSE,TRUE)</f>
        <v>0</v>
      </c>
      <c r="V17" s="12"/>
      <c r="W17" s="12"/>
      <c r="X17" s="12"/>
      <c r="Y17" t="s">
        <v>2125</v>
      </c>
      <c r="Z17" s="12"/>
      <c r="AA17" s="12"/>
      <c r="AB17" s="12"/>
      <c r="AC17" t="s">
        <v>2125</v>
      </c>
      <c r="AD17" t="str">
        <f>SUBSTITUTE(Master_Reference[[#This Row],[C-Flex 4000K Eco Part Number]],"40-","xx-")</f>
        <v/>
      </c>
      <c r="AE17" t="str">
        <f>SUBSTITUTE(Master_Reference[[#This Row],[C-Flex 4000K 3W Part Number]],"40-","xx-")</f>
        <v/>
      </c>
      <c r="AF17" s="1" t="str">
        <f>_xlfn.IFNA(VLOOKUP(Master_Reference[[#This Row],[C-Flex 3000K Eco Part Number]],Lutron_CFlex_Lookup[],MATCH("Lutron Kit PN",Lutron_CFlex_Lookup[#Headers],0),FALSE),"")</f>
        <v/>
      </c>
      <c r="AG17" s="1" t="str">
        <f>_xlfn.IFNA(VLOOKUP(Master_Reference[[#This Row],[C-Flex 3500K Eco Part Number]],Lutron_CFlex_Lookup[],MATCH("Lutron Kit PN",Lutron_CFlex_Lookup[#Headers],0),FALSE),"")</f>
        <v/>
      </c>
      <c r="AH17" s="1" t="str">
        <f>_xlfn.IFNA(VLOOKUP(Master_Reference[[#This Row],[C-Flex 4000K Eco Part Number]],Lutron_CFlex_Lookup[],MATCH("Lutron Kit PN",Lutron_CFlex_Lookup[#Headers],0),FALSE),"")</f>
        <v/>
      </c>
      <c r="AI17" s="1" t="str">
        <f>_xlfn.IFNA(VLOOKUP(Master_Reference[[#This Row],[C-Flex 5000K Eco Part Number]],Lutron_CFlex_Lookup[],MATCH("Lutron Kit PN",Lutron_CFlex_Lookup[#Headers],0),FALSE),"")</f>
        <v/>
      </c>
      <c r="AJ17" s="1" t="str">
        <f>_xlfn.IFNA(VLOOKUP(Master_Reference[[#This Row],[C-Flex 3000K 3W Part Number]],Lutron_CFlex_Lookup[],MATCH("Lutron Kit PN",Lutron_CFlex_Lookup[#Headers],0),FALSE),"")</f>
        <v/>
      </c>
      <c r="AK17" s="1" t="str">
        <f>_xlfn.IFNA(VLOOKUP(Master_Reference[[#This Row],[C-Flex 3500K 3W Part Number]],Lutron_CFlex_Lookup[],MATCH("Lutron Kit PN",Lutron_CFlex_Lookup[#Headers],0),FALSE),"")</f>
        <v/>
      </c>
      <c r="AL17" s="1" t="str">
        <f>_xlfn.IFNA(VLOOKUP(Master_Reference[[#This Row],[C-Flex 4000K 3W Part Number]],Lutron_CFlex_Lookup[],MATCH("Lutron Kit PN",Lutron_CFlex_Lookup[#Headers],0),FALSE),"")</f>
        <v/>
      </c>
      <c r="AM17" s="1" t="str">
        <f>_xlfn.IFNA(VLOOKUP(Master_Reference[[#This Row],[C-Flex 5000K 3W Part Number]],Lutron_CFlex_Lookup[],MATCH("Lutron Kit PN",Lutron_CFlex_Lookup[#Headers],0),FALSE),"")</f>
        <v/>
      </c>
      <c r="AN17" s="1" t="b">
        <f>NOT(ISNA(VLOOKUP(Master_Reference[[#This Row],[Model Number]],ObsoleteModels[],1,FALSE)))</f>
        <v>1</v>
      </c>
      <c r="AO17" s="1" t="str">
        <f>IF(LEFT(Master_Reference[[#This Row],[Model Number]],1)="U",LEFT(Master_Reference[[#This Row],[Model Number]],4),LEFT(Master_Reference[[#This Row],[Model Number]],3))</f>
        <v>2W-</v>
      </c>
    </row>
    <row r="18" spans="1:41" x14ac:dyDescent="0.25">
      <c r="A18" s="2" t="s">
        <v>107</v>
      </c>
      <c r="B18" s="1"/>
      <c r="D18" s="1" t="b">
        <v>1</v>
      </c>
      <c r="G18" s="1" t="str">
        <f>IF(OR(LEFT(RIGHT(Master_Reference[[#This Row],[Model Number]],3),1)="C",LEFT(RIGHT(Master_Reference[[#This Row],[Model Number]],4),1)="C"),TRUE,"")</f>
        <v/>
      </c>
      <c r="H18" s="1" t="str">
        <f>IF(LEFT(Master_Reference[[#This Row],[Model Number]],1)="U",TRUE,"")</f>
        <v/>
      </c>
      <c r="I18" s="1" t="str">
        <f>IF(Master_Reference[[#This Row],[Lamp Type]]="T4","",IF(Master_Reference[[#This Row],[Case Type]]="M","",TRUE))</f>
        <v/>
      </c>
      <c r="J18" s="1" t="s">
        <v>87</v>
      </c>
      <c r="K18" s="1">
        <v>32</v>
      </c>
      <c r="L18" s="1" t="s">
        <v>88</v>
      </c>
      <c r="M18" s="1">
        <v>2</v>
      </c>
      <c r="N18" s="1">
        <v>120</v>
      </c>
      <c r="O18" s="1" t="s">
        <v>106</v>
      </c>
      <c r="Q18" s="1" t="s">
        <v>91</v>
      </c>
      <c r="R18" t="b">
        <v>0</v>
      </c>
      <c r="S18" t="b">
        <v>0</v>
      </c>
      <c r="T18" t="b">
        <f>IF(COUNTBLANK(Master_Reference[[#This Row],[Lutron 3000K Eco Part Number]:[Lutron 4000K Eco Part Number]])=3,FALSE,TRUE)</f>
        <v>0</v>
      </c>
      <c r="U18" t="b">
        <f>IF(COUNTBLANK(Master_Reference[[#This Row],[Lutron 3000K 3W Part Number]:[Lutron 4000K 3W Part Number]])=3,FALSE,TRUE)</f>
        <v>0</v>
      </c>
      <c r="V18" s="12"/>
      <c r="W18" s="12"/>
      <c r="X18" s="12"/>
      <c r="Y18" t="s">
        <v>2125</v>
      </c>
      <c r="Z18" s="12"/>
      <c r="AA18" s="12"/>
      <c r="AB18" s="12"/>
      <c r="AC18" t="s">
        <v>2125</v>
      </c>
      <c r="AD18" t="str">
        <f>SUBSTITUTE(Master_Reference[[#This Row],[C-Flex 4000K Eco Part Number]],"40-","xx-")</f>
        <v/>
      </c>
      <c r="AE18" t="str">
        <f>SUBSTITUTE(Master_Reference[[#This Row],[C-Flex 4000K 3W Part Number]],"40-","xx-")</f>
        <v/>
      </c>
      <c r="AF18" s="1" t="str">
        <f>_xlfn.IFNA(VLOOKUP(Master_Reference[[#This Row],[C-Flex 3000K Eco Part Number]],Lutron_CFlex_Lookup[],MATCH("Lutron Kit PN",Lutron_CFlex_Lookup[#Headers],0),FALSE),"")</f>
        <v/>
      </c>
      <c r="AG18" s="1" t="str">
        <f>_xlfn.IFNA(VLOOKUP(Master_Reference[[#This Row],[C-Flex 3500K Eco Part Number]],Lutron_CFlex_Lookup[],MATCH("Lutron Kit PN",Lutron_CFlex_Lookup[#Headers],0),FALSE),"")</f>
        <v/>
      </c>
      <c r="AH18" s="1" t="str">
        <f>_xlfn.IFNA(VLOOKUP(Master_Reference[[#This Row],[C-Flex 4000K Eco Part Number]],Lutron_CFlex_Lookup[],MATCH("Lutron Kit PN",Lutron_CFlex_Lookup[#Headers],0),FALSE),"")</f>
        <v/>
      </c>
      <c r="AI18" s="1" t="str">
        <f>_xlfn.IFNA(VLOOKUP(Master_Reference[[#This Row],[C-Flex 5000K Eco Part Number]],Lutron_CFlex_Lookup[],MATCH("Lutron Kit PN",Lutron_CFlex_Lookup[#Headers],0),FALSE),"")</f>
        <v/>
      </c>
      <c r="AJ18" s="1" t="str">
        <f>_xlfn.IFNA(VLOOKUP(Master_Reference[[#This Row],[C-Flex 3000K 3W Part Number]],Lutron_CFlex_Lookup[],MATCH("Lutron Kit PN",Lutron_CFlex_Lookup[#Headers],0),FALSE),"")</f>
        <v/>
      </c>
      <c r="AK18" s="1" t="str">
        <f>_xlfn.IFNA(VLOOKUP(Master_Reference[[#This Row],[C-Flex 3500K 3W Part Number]],Lutron_CFlex_Lookup[],MATCH("Lutron Kit PN",Lutron_CFlex_Lookup[#Headers],0),FALSE),"")</f>
        <v/>
      </c>
      <c r="AL18" s="1" t="str">
        <f>_xlfn.IFNA(VLOOKUP(Master_Reference[[#This Row],[C-Flex 4000K 3W Part Number]],Lutron_CFlex_Lookup[],MATCH("Lutron Kit PN",Lutron_CFlex_Lookup[#Headers],0),FALSE),"")</f>
        <v/>
      </c>
      <c r="AM18" s="1" t="str">
        <f>_xlfn.IFNA(VLOOKUP(Master_Reference[[#This Row],[C-Flex 5000K 3W Part Number]],Lutron_CFlex_Lookup[],MATCH("Lutron Kit PN",Lutron_CFlex_Lookup[#Headers],0),FALSE),"")</f>
        <v/>
      </c>
      <c r="AN18" s="1" t="b">
        <f>NOT(ISNA(VLOOKUP(Master_Reference[[#This Row],[Model Number]],ObsoleteModels[],1,FALSE)))</f>
        <v>1</v>
      </c>
      <c r="AO18" s="1" t="str">
        <f>IF(LEFT(Master_Reference[[#This Row],[Model Number]],1)="U",LEFT(Master_Reference[[#This Row],[Model Number]],4),LEFT(Master_Reference[[#This Row],[Model Number]],3))</f>
        <v>2W-</v>
      </c>
    </row>
    <row r="19" spans="1:41" x14ac:dyDescent="0.25">
      <c r="A19" s="2" t="s">
        <v>108</v>
      </c>
      <c r="B19" s="1"/>
      <c r="D19" s="1" t="b">
        <v>1</v>
      </c>
      <c r="G19" s="1" t="str">
        <f>IF(OR(LEFT(RIGHT(Master_Reference[[#This Row],[Model Number]],3),1)="C",LEFT(RIGHT(Master_Reference[[#This Row],[Model Number]],4),1)="C"),TRUE,"")</f>
        <v/>
      </c>
      <c r="H19" s="1" t="str">
        <f>IF(LEFT(Master_Reference[[#This Row],[Model Number]],1)="U",TRUE,"")</f>
        <v/>
      </c>
      <c r="I19" s="1" t="str">
        <f>IF(Master_Reference[[#This Row],[Lamp Type]]="T4","",IF(Master_Reference[[#This Row],[Case Type]]="M","",TRUE))</f>
        <v/>
      </c>
      <c r="J19" s="1" t="s">
        <v>87</v>
      </c>
      <c r="K19" s="1">
        <v>32</v>
      </c>
      <c r="L19" s="1" t="s">
        <v>88</v>
      </c>
      <c r="M19" s="1">
        <v>2</v>
      </c>
      <c r="N19" s="1">
        <v>120</v>
      </c>
      <c r="O19" s="1" t="s">
        <v>106</v>
      </c>
      <c r="P19" s="1" t="b">
        <v>1</v>
      </c>
      <c r="R19" t="b">
        <v>0</v>
      </c>
      <c r="S19" t="b">
        <v>0</v>
      </c>
      <c r="T19" t="b">
        <f>IF(COUNTBLANK(Master_Reference[[#This Row],[Lutron 3000K Eco Part Number]:[Lutron 4000K Eco Part Number]])=3,FALSE,TRUE)</f>
        <v>0</v>
      </c>
      <c r="U19" t="b">
        <f>IF(COUNTBLANK(Master_Reference[[#This Row],[Lutron 3000K 3W Part Number]:[Lutron 4000K 3W Part Number]])=3,FALSE,TRUE)</f>
        <v>0</v>
      </c>
      <c r="V19" s="12"/>
      <c r="W19" s="12"/>
      <c r="X19" s="12"/>
      <c r="Y19" t="s">
        <v>2125</v>
      </c>
      <c r="Z19" s="12"/>
      <c r="AA19" s="12"/>
      <c r="AB19" s="12"/>
      <c r="AC19" t="s">
        <v>2125</v>
      </c>
      <c r="AD19" t="str">
        <f>SUBSTITUTE(Master_Reference[[#This Row],[C-Flex 4000K Eco Part Number]],"40-","xx-")</f>
        <v/>
      </c>
      <c r="AE19" t="str">
        <f>SUBSTITUTE(Master_Reference[[#This Row],[C-Flex 4000K 3W Part Number]],"40-","xx-")</f>
        <v/>
      </c>
      <c r="AF19" s="1" t="str">
        <f>_xlfn.IFNA(VLOOKUP(Master_Reference[[#This Row],[C-Flex 3000K Eco Part Number]],Lutron_CFlex_Lookup[],MATCH("Lutron Kit PN",Lutron_CFlex_Lookup[#Headers],0),FALSE),"")</f>
        <v/>
      </c>
      <c r="AG19" s="1" t="str">
        <f>_xlfn.IFNA(VLOOKUP(Master_Reference[[#This Row],[C-Flex 3500K Eco Part Number]],Lutron_CFlex_Lookup[],MATCH("Lutron Kit PN",Lutron_CFlex_Lookup[#Headers],0),FALSE),"")</f>
        <v/>
      </c>
      <c r="AH19" s="1" t="str">
        <f>_xlfn.IFNA(VLOOKUP(Master_Reference[[#This Row],[C-Flex 4000K Eco Part Number]],Lutron_CFlex_Lookup[],MATCH("Lutron Kit PN",Lutron_CFlex_Lookup[#Headers],0),FALSE),"")</f>
        <v/>
      </c>
      <c r="AI19" s="1" t="str">
        <f>_xlfn.IFNA(VLOOKUP(Master_Reference[[#This Row],[C-Flex 5000K Eco Part Number]],Lutron_CFlex_Lookup[],MATCH("Lutron Kit PN",Lutron_CFlex_Lookup[#Headers],0),FALSE),"")</f>
        <v/>
      </c>
      <c r="AJ19" s="1" t="str">
        <f>_xlfn.IFNA(VLOOKUP(Master_Reference[[#This Row],[C-Flex 3000K 3W Part Number]],Lutron_CFlex_Lookup[],MATCH("Lutron Kit PN",Lutron_CFlex_Lookup[#Headers],0),FALSE),"")</f>
        <v/>
      </c>
      <c r="AK19" s="1" t="str">
        <f>_xlfn.IFNA(VLOOKUP(Master_Reference[[#This Row],[C-Flex 3500K 3W Part Number]],Lutron_CFlex_Lookup[],MATCH("Lutron Kit PN",Lutron_CFlex_Lookup[#Headers],0),FALSE),"")</f>
        <v/>
      </c>
      <c r="AL19" s="1" t="str">
        <f>_xlfn.IFNA(VLOOKUP(Master_Reference[[#This Row],[C-Flex 4000K 3W Part Number]],Lutron_CFlex_Lookup[],MATCH("Lutron Kit PN",Lutron_CFlex_Lookup[#Headers],0),FALSE),"")</f>
        <v/>
      </c>
      <c r="AM19" s="1" t="str">
        <f>_xlfn.IFNA(VLOOKUP(Master_Reference[[#This Row],[C-Flex 5000K 3W Part Number]],Lutron_CFlex_Lookup[],MATCH("Lutron Kit PN",Lutron_CFlex_Lookup[#Headers],0),FALSE),"")</f>
        <v/>
      </c>
      <c r="AN19" s="1" t="b">
        <f>NOT(ISNA(VLOOKUP(Master_Reference[[#This Row],[Model Number]],ObsoleteModels[],1,FALSE)))</f>
        <v>1</v>
      </c>
      <c r="AO19" s="1" t="str">
        <f>IF(LEFT(Master_Reference[[#This Row],[Model Number]],1)="U",LEFT(Master_Reference[[#This Row],[Model Number]],4),LEFT(Master_Reference[[#This Row],[Model Number]],3))</f>
        <v>2W-</v>
      </c>
    </row>
    <row r="20" spans="1:41" x14ac:dyDescent="0.25">
      <c r="A20" s="2" t="s">
        <v>109</v>
      </c>
      <c r="B20" s="1"/>
      <c r="D20" s="1" t="b">
        <v>1</v>
      </c>
      <c r="G20" s="1" t="str">
        <f>IF(OR(LEFT(RIGHT(Master_Reference[[#This Row],[Model Number]],3),1)="C",LEFT(RIGHT(Master_Reference[[#This Row],[Model Number]],4),1)="C"),TRUE,"")</f>
        <v/>
      </c>
      <c r="H20" s="1" t="str">
        <f>IF(LEFT(Master_Reference[[#This Row],[Model Number]],1)="U",TRUE,"")</f>
        <v/>
      </c>
      <c r="I20" s="1" t="str">
        <f>IF(Master_Reference[[#This Row],[Lamp Type]]="T4","",IF(Master_Reference[[#This Row],[Case Type]]="M","",TRUE))</f>
        <v/>
      </c>
      <c r="J20" s="1" t="s">
        <v>87</v>
      </c>
      <c r="K20" s="1">
        <v>32</v>
      </c>
      <c r="L20" s="1" t="s">
        <v>88</v>
      </c>
      <c r="M20" s="1">
        <v>2</v>
      </c>
      <c r="N20" s="1">
        <v>120</v>
      </c>
      <c r="O20" s="1" t="s">
        <v>106</v>
      </c>
      <c r="P20" s="1" t="b">
        <v>1</v>
      </c>
      <c r="Q20" s="1" t="s">
        <v>91</v>
      </c>
      <c r="R20" t="b">
        <v>0</v>
      </c>
      <c r="S20" t="b">
        <v>0</v>
      </c>
      <c r="T20" t="b">
        <f>IF(COUNTBLANK(Master_Reference[[#This Row],[Lutron 3000K Eco Part Number]:[Lutron 4000K Eco Part Number]])=3,FALSE,TRUE)</f>
        <v>0</v>
      </c>
      <c r="U20" t="b">
        <f>IF(COUNTBLANK(Master_Reference[[#This Row],[Lutron 3000K 3W Part Number]:[Lutron 4000K 3W Part Number]])=3,FALSE,TRUE)</f>
        <v>0</v>
      </c>
      <c r="V20" s="12"/>
      <c r="W20" s="12"/>
      <c r="X20" s="12"/>
      <c r="Y20" t="s">
        <v>2125</v>
      </c>
      <c r="Z20" s="12"/>
      <c r="AA20" s="12"/>
      <c r="AB20" s="12"/>
      <c r="AC20" t="s">
        <v>2125</v>
      </c>
      <c r="AD20" t="str">
        <f>SUBSTITUTE(Master_Reference[[#This Row],[C-Flex 4000K Eco Part Number]],"40-","xx-")</f>
        <v/>
      </c>
      <c r="AE20" t="str">
        <f>SUBSTITUTE(Master_Reference[[#This Row],[C-Flex 4000K 3W Part Number]],"40-","xx-")</f>
        <v/>
      </c>
      <c r="AF20" s="1" t="str">
        <f>_xlfn.IFNA(VLOOKUP(Master_Reference[[#This Row],[C-Flex 3000K Eco Part Number]],Lutron_CFlex_Lookup[],MATCH("Lutron Kit PN",Lutron_CFlex_Lookup[#Headers],0),FALSE),"")</f>
        <v/>
      </c>
      <c r="AG20" s="1" t="str">
        <f>_xlfn.IFNA(VLOOKUP(Master_Reference[[#This Row],[C-Flex 3500K Eco Part Number]],Lutron_CFlex_Lookup[],MATCH("Lutron Kit PN",Lutron_CFlex_Lookup[#Headers],0),FALSE),"")</f>
        <v/>
      </c>
      <c r="AH20" s="1" t="str">
        <f>_xlfn.IFNA(VLOOKUP(Master_Reference[[#This Row],[C-Flex 4000K Eco Part Number]],Lutron_CFlex_Lookup[],MATCH("Lutron Kit PN",Lutron_CFlex_Lookup[#Headers],0),FALSE),"")</f>
        <v/>
      </c>
      <c r="AI20" s="1" t="str">
        <f>_xlfn.IFNA(VLOOKUP(Master_Reference[[#This Row],[C-Flex 5000K Eco Part Number]],Lutron_CFlex_Lookup[],MATCH("Lutron Kit PN",Lutron_CFlex_Lookup[#Headers],0),FALSE),"")</f>
        <v/>
      </c>
      <c r="AJ20" s="1" t="str">
        <f>_xlfn.IFNA(VLOOKUP(Master_Reference[[#This Row],[C-Flex 3000K 3W Part Number]],Lutron_CFlex_Lookup[],MATCH("Lutron Kit PN",Lutron_CFlex_Lookup[#Headers],0),FALSE),"")</f>
        <v/>
      </c>
      <c r="AK20" s="1" t="str">
        <f>_xlfn.IFNA(VLOOKUP(Master_Reference[[#This Row],[C-Flex 3500K 3W Part Number]],Lutron_CFlex_Lookup[],MATCH("Lutron Kit PN",Lutron_CFlex_Lookup[#Headers],0),FALSE),"")</f>
        <v/>
      </c>
      <c r="AL20" s="1" t="str">
        <f>_xlfn.IFNA(VLOOKUP(Master_Reference[[#This Row],[C-Flex 4000K 3W Part Number]],Lutron_CFlex_Lookup[],MATCH("Lutron Kit PN",Lutron_CFlex_Lookup[#Headers],0),FALSE),"")</f>
        <v/>
      </c>
      <c r="AM20" s="1" t="str">
        <f>_xlfn.IFNA(VLOOKUP(Master_Reference[[#This Row],[C-Flex 5000K 3W Part Number]],Lutron_CFlex_Lookup[],MATCH("Lutron Kit PN",Lutron_CFlex_Lookup[#Headers],0),FALSE),"")</f>
        <v/>
      </c>
      <c r="AN20" s="1" t="b">
        <f>NOT(ISNA(VLOOKUP(Master_Reference[[#This Row],[Model Number]],ObsoleteModels[],1,FALSE)))</f>
        <v>1</v>
      </c>
      <c r="AO20" s="1" t="str">
        <f>IF(LEFT(Master_Reference[[#This Row],[Model Number]],1)="U",LEFT(Master_Reference[[#This Row],[Model Number]],4),LEFT(Master_Reference[[#This Row],[Model Number]],3))</f>
        <v>2W-</v>
      </c>
    </row>
    <row r="21" spans="1:41" x14ac:dyDescent="0.25">
      <c r="A21" s="2" t="s">
        <v>110</v>
      </c>
      <c r="B21" s="1"/>
      <c r="D21" s="1" t="b">
        <v>1</v>
      </c>
      <c r="G21" s="1" t="str">
        <f>IF(OR(LEFT(RIGHT(Master_Reference[[#This Row],[Model Number]],3),1)="C",LEFT(RIGHT(Master_Reference[[#This Row],[Model Number]],4),1)="C"),TRUE,"")</f>
        <v/>
      </c>
      <c r="H21" s="1" t="str">
        <f>IF(LEFT(Master_Reference[[#This Row],[Model Number]],1)="U",TRUE,"")</f>
        <v/>
      </c>
      <c r="I21" s="1" t="b">
        <f>IF(Master_Reference[[#This Row],[Lamp Type]]="T4","",IF(Master_Reference[[#This Row],[Case Type]]="M","",TRUE))</f>
        <v>1</v>
      </c>
      <c r="J21" s="1" t="s">
        <v>111</v>
      </c>
      <c r="K21" s="1">
        <v>17</v>
      </c>
      <c r="L21" s="1" t="s">
        <v>112</v>
      </c>
      <c r="M21" s="1">
        <v>2</v>
      </c>
      <c r="N21" s="1">
        <v>120</v>
      </c>
      <c r="O21" s="1" t="s">
        <v>113</v>
      </c>
      <c r="R21" t="b">
        <v>0</v>
      </c>
      <c r="S21" t="b">
        <v>0</v>
      </c>
      <c r="T21" t="b">
        <f>IF(COUNTBLANK(Master_Reference[[#This Row],[Lutron 3000K Eco Part Number]:[Lutron 4000K Eco Part Number]])=3,FALSE,TRUE)</f>
        <v>0</v>
      </c>
      <c r="U21" t="b">
        <f>IF(COUNTBLANK(Master_Reference[[#This Row],[Lutron 3000K 3W Part Number]:[Lutron 4000K 3W Part Number]])=3,FALSE,TRUE)</f>
        <v>0</v>
      </c>
      <c r="V21" s="12"/>
      <c r="W21" s="12"/>
      <c r="X21" s="12"/>
      <c r="Y21" t="s">
        <v>2125</v>
      </c>
      <c r="Z21" s="12"/>
      <c r="AA21" s="12"/>
      <c r="AB21" s="12"/>
      <c r="AC21" t="s">
        <v>2125</v>
      </c>
      <c r="AD21" t="str">
        <f>SUBSTITUTE(Master_Reference[[#This Row],[C-Flex 4000K Eco Part Number]],"40-","xx-")</f>
        <v/>
      </c>
      <c r="AE21" t="str">
        <f>SUBSTITUTE(Master_Reference[[#This Row],[C-Flex 4000K 3W Part Number]],"40-","xx-")</f>
        <v/>
      </c>
      <c r="AF21" s="1" t="str">
        <f>_xlfn.IFNA(VLOOKUP(Master_Reference[[#This Row],[C-Flex 3000K Eco Part Number]],Lutron_CFlex_Lookup[],MATCH("Lutron Kit PN",Lutron_CFlex_Lookup[#Headers],0),FALSE),"")</f>
        <v/>
      </c>
      <c r="AG21" s="1" t="str">
        <f>_xlfn.IFNA(VLOOKUP(Master_Reference[[#This Row],[C-Flex 3500K Eco Part Number]],Lutron_CFlex_Lookup[],MATCH("Lutron Kit PN",Lutron_CFlex_Lookup[#Headers],0),FALSE),"")</f>
        <v/>
      </c>
      <c r="AH21" s="1" t="str">
        <f>_xlfn.IFNA(VLOOKUP(Master_Reference[[#This Row],[C-Flex 4000K Eco Part Number]],Lutron_CFlex_Lookup[],MATCH("Lutron Kit PN",Lutron_CFlex_Lookup[#Headers],0),FALSE),"")</f>
        <v/>
      </c>
      <c r="AI21" s="1" t="str">
        <f>_xlfn.IFNA(VLOOKUP(Master_Reference[[#This Row],[C-Flex 5000K Eco Part Number]],Lutron_CFlex_Lookup[],MATCH("Lutron Kit PN",Lutron_CFlex_Lookup[#Headers],0),FALSE),"")</f>
        <v/>
      </c>
      <c r="AJ21" s="1" t="str">
        <f>_xlfn.IFNA(VLOOKUP(Master_Reference[[#This Row],[C-Flex 3000K 3W Part Number]],Lutron_CFlex_Lookup[],MATCH("Lutron Kit PN",Lutron_CFlex_Lookup[#Headers],0),FALSE),"")</f>
        <v/>
      </c>
      <c r="AK21" s="1" t="str">
        <f>_xlfn.IFNA(VLOOKUP(Master_Reference[[#This Row],[C-Flex 3500K 3W Part Number]],Lutron_CFlex_Lookup[],MATCH("Lutron Kit PN",Lutron_CFlex_Lookup[#Headers],0),FALSE),"")</f>
        <v/>
      </c>
      <c r="AL21" s="1" t="str">
        <f>_xlfn.IFNA(VLOOKUP(Master_Reference[[#This Row],[C-Flex 4000K 3W Part Number]],Lutron_CFlex_Lookup[],MATCH("Lutron Kit PN",Lutron_CFlex_Lookup[#Headers],0),FALSE),"")</f>
        <v/>
      </c>
      <c r="AM21" s="1" t="str">
        <f>_xlfn.IFNA(VLOOKUP(Master_Reference[[#This Row],[C-Flex 5000K 3W Part Number]],Lutron_CFlex_Lookup[],MATCH("Lutron Kit PN",Lutron_CFlex_Lookup[#Headers],0),FALSE),"")</f>
        <v/>
      </c>
      <c r="AN21" s="1" t="b">
        <f>NOT(ISNA(VLOOKUP(Master_Reference[[#This Row],[Model Number]],ObsoleteModels[],1,FALSE)))</f>
        <v>1</v>
      </c>
      <c r="AO21" s="1" t="str">
        <f>IF(LEFT(Master_Reference[[#This Row],[Model Number]],1)="U",LEFT(Master_Reference[[#This Row],[Model Number]],4),LEFT(Master_Reference[[#This Row],[Model Number]],3))</f>
        <v>2W-</v>
      </c>
    </row>
    <row r="22" spans="1:41" x14ac:dyDescent="0.25">
      <c r="A22" s="2" t="s">
        <v>114</v>
      </c>
      <c r="B22" s="1"/>
      <c r="D22" s="1" t="b">
        <v>1</v>
      </c>
      <c r="G22" s="1" t="str">
        <f>IF(OR(LEFT(RIGHT(Master_Reference[[#This Row],[Model Number]],3),1)="C",LEFT(RIGHT(Master_Reference[[#This Row],[Model Number]],4),1)="C"),TRUE,"")</f>
        <v/>
      </c>
      <c r="H22" s="1" t="str">
        <f>IF(LEFT(Master_Reference[[#This Row],[Model Number]],1)="U",TRUE,"")</f>
        <v/>
      </c>
      <c r="I22" s="1" t="b">
        <f>IF(Master_Reference[[#This Row],[Lamp Type]]="T4","",IF(Master_Reference[[#This Row],[Case Type]]="M","",TRUE))</f>
        <v>1</v>
      </c>
      <c r="J22" s="1" t="s">
        <v>111</v>
      </c>
      <c r="K22" s="1">
        <v>25</v>
      </c>
      <c r="L22" s="1" t="s">
        <v>115</v>
      </c>
      <c r="M22" s="1">
        <v>1</v>
      </c>
      <c r="N22" s="1">
        <v>120</v>
      </c>
      <c r="O22" s="1" t="s">
        <v>113</v>
      </c>
      <c r="R22" t="b">
        <v>0</v>
      </c>
      <c r="S22" t="b">
        <v>0</v>
      </c>
      <c r="T22" t="b">
        <f>IF(COUNTBLANK(Master_Reference[[#This Row],[Lutron 3000K Eco Part Number]:[Lutron 4000K Eco Part Number]])=3,FALSE,TRUE)</f>
        <v>0</v>
      </c>
      <c r="U22" t="b">
        <f>IF(COUNTBLANK(Master_Reference[[#This Row],[Lutron 3000K 3W Part Number]:[Lutron 4000K 3W Part Number]])=3,FALSE,TRUE)</f>
        <v>0</v>
      </c>
      <c r="V22" s="12"/>
      <c r="W22" s="12"/>
      <c r="X22" s="12"/>
      <c r="Y22" t="s">
        <v>2125</v>
      </c>
      <c r="Z22" s="12"/>
      <c r="AA22" s="12"/>
      <c r="AB22" s="12"/>
      <c r="AC22" t="s">
        <v>2125</v>
      </c>
      <c r="AD22" t="str">
        <f>SUBSTITUTE(Master_Reference[[#This Row],[C-Flex 4000K Eco Part Number]],"40-","xx-")</f>
        <v/>
      </c>
      <c r="AE22" t="str">
        <f>SUBSTITUTE(Master_Reference[[#This Row],[C-Flex 4000K 3W Part Number]],"40-","xx-")</f>
        <v/>
      </c>
      <c r="AF22" s="1" t="str">
        <f>_xlfn.IFNA(VLOOKUP(Master_Reference[[#This Row],[C-Flex 3000K Eco Part Number]],Lutron_CFlex_Lookup[],MATCH("Lutron Kit PN",Lutron_CFlex_Lookup[#Headers],0),FALSE),"")</f>
        <v/>
      </c>
      <c r="AG22" s="1" t="str">
        <f>_xlfn.IFNA(VLOOKUP(Master_Reference[[#This Row],[C-Flex 3500K Eco Part Number]],Lutron_CFlex_Lookup[],MATCH("Lutron Kit PN",Lutron_CFlex_Lookup[#Headers],0),FALSE),"")</f>
        <v/>
      </c>
      <c r="AH22" s="1" t="str">
        <f>_xlfn.IFNA(VLOOKUP(Master_Reference[[#This Row],[C-Flex 4000K Eco Part Number]],Lutron_CFlex_Lookup[],MATCH("Lutron Kit PN",Lutron_CFlex_Lookup[#Headers],0),FALSE),"")</f>
        <v/>
      </c>
      <c r="AI22" s="1" t="str">
        <f>_xlfn.IFNA(VLOOKUP(Master_Reference[[#This Row],[C-Flex 5000K Eco Part Number]],Lutron_CFlex_Lookup[],MATCH("Lutron Kit PN",Lutron_CFlex_Lookup[#Headers],0),FALSE),"")</f>
        <v/>
      </c>
      <c r="AJ22" s="1" t="str">
        <f>_xlfn.IFNA(VLOOKUP(Master_Reference[[#This Row],[C-Flex 3000K 3W Part Number]],Lutron_CFlex_Lookup[],MATCH("Lutron Kit PN",Lutron_CFlex_Lookup[#Headers],0),FALSE),"")</f>
        <v/>
      </c>
      <c r="AK22" s="1" t="str">
        <f>_xlfn.IFNA(VLOOKUP(Master_Reference[[#This Row],[C-Flex 3500K 3W Part Number]],Lutron_CFlex_Lookup[],MATCH("Lutron Kit PN",Lutron_CFlex_Lookup[#Headers],0),FALSE),"")</f>
        <v/>
      </c>
      <c r="AL22" s="1" t="str">
        <f>_xlfn.IFNA(VLOOKUP(Master_Reference[[#This Row],[C-Flex 4000K 3W Part Number]],Lutron_CFlex_Lookup[],MATCH("Lutron Kit PN",Lutron_CFlex_Lookup[#Headers],0),FALSE),"")</f>
        <v/>
      </c>
      <c r="AM22" s="1" t="str">
        <f>_xlfn.IFNA(VLOOKUP(Master_Reference[[#This Row],[C-Flex 5000K 3W Part Number]],Lutron_CFlex_Lookup[],MATCH("Lutron Kit PN",Lutron_CFlex_Lookup[#Headers],0),FALSE),"")</f>
        <v/>
      </c>
      <c r="AN22" s="1" t="b">
        <f>NOT(ISNA(VLOOKUP(Master_Reference[[#This Row],[Model Number]],ObsoleteModels[],1,FALSE)))</f>
        <v>1</v>
      </c>
      <c r="AO22" s="1" t="str">
        <f>IF(LEFT(Master_Reference[[#This Row],[Model Number]],1)="U",LEFT(Master_Reference[[#This Row],[Model Number]],4),LEFT(Master_Reference[[#This Row],[Model Number]],3))</f>
        <v>2W-</v>
      </c>
    </row>
    <row r="23" spans="1:41" x14ac:dyDescent="0.25">
      <c r="A23" s="2" t="s">
        <v>116</v>
      </c>
      <c r="B23" s="1"/>
      <c r="D23" s="1" t="b">
        <v>1</v>
      </c>
      <c r="G23" s="1" t="str">
        <f>IF(OR(LEFT(RIGHT(Master_Reference[[#This Row],[Model Number]],3),1)="C",LEFT(RIGHT(Master_Reference[[#This Row],[Model Number]],4),1)="C"),TRUE,"")</f>
        <v/>
      </c>
      <c r="H23" s="1" t="str">
        <f>IF(LEFT(Master_Reference[[#This Row],[Model Number]],1)="U",TRUE,"")</f>
        <v/>
      </c>
      <c r="I23" s="1" t="b">
        <f>IF(Master_Reference[[#This Row],[Lamp Type]]="T4","",IF(Master_Reference[[#This Row],[Case Type]]="M","",TRUE))</f>
        <v>1</v>
      </c>
      <c r="J23" s="1" t="s">
        <v>111</v>
      </c>
      <c r="K23" s="1">
        <v>25</v>
      </c>
      <c r="L23" s="1" t="s">
        <v>115</v>
      </c>
      <c r="M23" s="1">
        <v>2</v>
      </c>
      <c r="N23" s="1">
        <v>120</v>
      </c>
      <c r="O23" s="1" t="s">
        <v>113</v>
      </c>
      <c r="R23" t="b">
        <v>0</v>
      </c>
      <c r="S23" t="b">
        <v>0</v>
      </c>
      <c r="T23" t="b">
        <f>IF(COUNTBLANK(Master_Reference[[#This Row],[Lutron 3000K Eco Part Number]:[Lutron 4000K Eco Part Number]])=3,FALSE,TRUE)</f>
        <v>0</v>
      </c>
      <c r="U23" t="b">
        <f>IF(COUNTBLANK(Master_Reference[[#This Row],[Lutron 3000K 3W Part Number]:[Lutron 4000K 3W Part Number]])=3,FALSE,TRUE)</f>
        <v>0</v>
      </c>
      <c r="V23" s="12"/>
      <c r="W23" s="12"/>
      <c r="X23" s="12"/>
      <c r="Y23" t="s">
        <v>2125</v>
      </c>
      <c r="Z23" s="12"/>
      <c r="AA23" s="12"/>
      <c r="AB23" s="12"/>
      <c r="AC23" t="s">
        <v>2125</v>
      </c>
      <c r="AD23" t="str">
        <f>SUBSTITUTE(Master_Reference[[#This Row],[C-Flex 4000K Eco Part Number]],"40-","xx-")</f>
        <v/>
      </c>
      <c r="AE23" t="str">
        <f>SUBSTITUTE(Master_Reference[[#This Row],[C-Flex 4000K 3W Part Number]],"40-","xx-")</f>
        <v/>
      </c>
      <c r="AF23" s="1" t="str">
        <f>_xlfn.IFNA(VLOOKUP(Master_Reference[[#This Row],[C-Flex 3000K Eco Part Number]],Lutron_CFlex_Lookup[],MATCH("Lutron Kit PN",Lutron_CFlex_Lookup[#Headers],0),FALSE),"")</f>
        <v/>
      </c>
      <c r="AG23" s="1" t="str">
        <f>_xlfn.IFNA(VLOOKUP(Master_Reference[[#This Row],[C-Flex 3500K Eco Part Number]],Lutron_CFlex_Lookup[],MATCH("Lutron Kit PN",Lutron_CFlex_Lookup[#Headers],0),FALSE),"")</f>
        <v/>
      </c>
      <c r="AH23" s="1" t="str">
        <f>_xlfn.IFNA(VLOOKUP(Master_Reference[[#This Row],[C-Flex 4000K Eco Part Number]],Lutron_CFlex_Lookup[],MATCH("Lutron Kit PN",Lutron_CFlex_Lookup[#Headers],0),FALSE),"")</f>
        <v/>
      </c>
      <c r="AI23" s="1" t="str">
        <f>_xlfn.IFNA(VLOOKUP(Master_Reference[[#This Row],[C-Flex 5000K Eco Part Number]],Lutron_CFlex_Lookup[],MATCH("Lutron Kit PN",Lutron_CFlex_Lookup[#Headers],0),FALSE),"")</f>
        <v/>
      </c>
      <c r="AJ23" s="1" t="str">
        <f>_xlfn.IFNA(VLOOKUP(Master_Reference[[#This Row],[C-Flex 3000K 3W Part Number]],Lutron_CFlex_Lookup[],MATCH("Lutron Kit PN",Lutron_CFlex_Lookup[#Headers],0),FALSE),"")</f>
        <v/>
      </c>
      <c r="AK23" s="1" t="str">
        <f>_xlfn.IFNA(VLOOKUP(Master_Reference[[#This Row],[C-Flex 3500K 3W Part Number]],Lutron_CFlex_Lookup[],MATCH("Lutron Kit PN",Lutron_CFlex_Lookup[#Headers],0),FALSE),"")</f>
        <v/>
      </c>
      <c r="AL23" s="1" t="str">
        <f>_xlfn.IFNA(VLOOKUP(Master_Reference[[#This Row],[C-Flex 4000K 3W Part Number]],Lutron_CFlex_Lookup[],MATCH("Lutron Kit PN",Lutron_CFlex_Lookup[#Headers],0),FALSE),"")</f>
        <v/>
      </c>
      <c r="AM23" s="1" t="str">
        <f>_xlfn.IFNA(VLOOKUP(Master_Reference[[#This Row],[C-Flex 5000K 3W Part Number]],Lutron_CFlex_Lookup[],MATCH("Lutron Kit PN",Lutron_CFlex_Lookup[#Headers],0),FALSE),"")</f>
        <v/>
      </c>
      <c r="AN23" s="1" t="b">
        <f>NOT(ISNA(VLOOKUP(Master_Reference[[#This Row],[Model Number]],ObsoleteModels[],1,FALSE)))</f>
        <v>1</v>
      </c>
      <c r="AO23" s="1" t="str">
        <f>IF(LEFT(Master_Reference[[#This Row],[Model Number]],1)="U",LEFT(Master_Reference[[#This Row],[Model Number]],4),LEFT(Master_Reference[[#This Row],[Model Number]],3))</f>
        <v>2W-</v>
      </c>
    </row>
    <row r="24" spans="1:41" x14ac:dyDescent="0.25">
      <c r="A24" s="2" t="s">
        <v>117</v>
      </c>
      <c r="B24" s="1"/>
      <c r="D24" s="1" t="b">
        <v>1</v>
      </c>
      <c r="G24" s="1" t="str">
        <f>IF(OR(LEFT(RIGHT(Master_Reference[[#This Row],[Model Number]],3),1)="C",LEFT(RIGHT(Master_Reference[[#This Row],[Model Number]],4),1)="C"),TRUE,"")</f>
        <v/>
      </c>
      <c r="H24" s="1" t="str">
        <f>IF(LEFT(Master_Reference[[#This Row],[Model Number]],1)="U",TRUE,"")</f>
        <v/>
      </c>
      <c r="I24" s="1" t="b">
        <f>IF(Master_Reference[[#This Row],[Lamp Type]]="T4","",IF(Master_Reference[[#This Row],[Case Type]]="M","",TRUE))</f>
        <v>1</v>
      </c>
      <c r="J24" s="1" t="s">
        <v>111</v>
      </c>
      <c r="K24" s="1">
        <v>32</v>
      </c>
      <c r="L24" s="1" t="s">
        <v>118</v>
      </c>
      <c r="M24" s="1">
        <v>1</v>
      </c>
      <c r="N24" s="1">
        <v>120</v>
      </c>
      <c r="O24" s="1" t="s">
        <v>113</v>
      </c>
      <c r="R24" t="b">
        <v>0</v>
      </c>
      <c r="S24" t="b">
        <v>0</v>
      </c>
      <c r="T24" t="b">
        <f>IF(COUNTBLANK(Master_Reference[[#This Row],[Lutron 3000K Eco Part Number]:[Lutron 4000K Eco Part Number]])=3,FALSE,TRUE)</f>
        <v>0</v>
      </c>
      <c r="U24" t="b">
        <f>IF(COUNTBLANK(Master_Reference[[#This Row],[Lutron 3000K 3W Part Number]:[Lutron 4000K 3W Part Number]])=3,FALSE,TRUE)</f>
        <v>0</v>
      </c>
      <c r="V24" s="12"/>
      <c r="W24" s="12"/>
      <c r="X24" s="12"/>
      <c r="Y24" t="s">
        <v>2125</v>
      </c>
      <c r="Z24" s="12"/>
      <c r="AA24" s="12"/>
      <c r="AB24" s="12"/>
      <c r="AC24" t="s">
        <v>2125</v>
      </c>
      <c r="AD24" t="str">
        <f>SUBSTITUTE(Master_Reference[[#This Row],[C-Flex 4000K Eco Part Number]],"40-","xx-")</f>
        <v/>
      </c>
      <c r="AE24" t="str">
        <f>SUBSTITUTE(Master_Reference[[#This Row],[C-Flex 4000K 3W Part Number]],"40-","xx-")</f>
        <v/>
      </c>
      <c r="AF24" s="1" t="str">
        <f>_xlfn.IFNA(VLOOKUP(Master_Reference[[#This Row],[C-Flex 3000K Eco Part Number]],Lutron_CFlex_Lookup[],MATCH("Lutron Kit PN",Lutron_CFlex_Lookup[#Headers],0),FALSE),"")</f>
        <v/>
      </c>
      <c r="AG24" s="1" t="str">
        <f>_xlfn.IFNA(VLOOKUP(Master_Reference[[#This Row],[C-Flex 3500K Eco Part Number]],Lutron_CFlex_Lookup[],MATCH("Lutron Kit PN",Lutron_CFlex_Lookup[#Headers],0),FALSE),"")</f>
        <v/>
      </c>
      <c r="AH24" s="1" t="str">
        <f>_xlfn.IFNA(VLOOKUP(Master_Reference[[#This Row],[C-Flex 4000K Eco Part Number]],Lutron_CFlex_Lookup[],MATCH("Lutron Kit PN",Lutron_CFlex_Lookup[#Headers],0),FALSE),"")</f>
        <v/>
      </c>
      <c r="AI24" s="1" t="str">
        <f>_xlfn.IFNA(VLOOKUP(Master_Reference[[#This Row],[C-Flex 5000K Eco Part Number]],Lutron_CFlex_Lookup[],MATCH("Lutron Kit PN",Lutron_CFlex_Lookup[#Headers],0),FALSE),"")</f>
        <v/>
      </c>
      <c r="AJ24" s="1" t="str">
        <f>_xlfn.IFNA(VLOOKUP(Master_Reference[[#This Row],[C-Flex 3000K 3W Part Number]],Lutron_CFlex_Lookup[],MATCH("Lutron Kit PN",Lutron_CFlex_Lookup[#Headers],0),FALSE),"")</f>
        <v/>
      </c>
      <c r="AK24" s="1" t="str">
        <f>_xlfn.IFNA(VLOOKUP(Master_Reference[[#This Row],[C-Flex 3500K 3W Part Number]],Lutron_CFlex_Lookup[],MATCH("Lutron Kit PN",Lutron_CFlex_Lookup[#Headers],0),FALSE),"")</f>
        <v/>
      </c>
      <c r="AL24" s="1" t="str">
        <f>_xlfn.IFNA(VLOOKUP(Master_Reference[[#This Row],[C-Flex 4000K 3W Part Number]],Lutron_CFlex_Lookup[],MATCH("Lutron Kit PN",Lutron_CFlex_Lookup[#Headers],0),FALSE),"")</f>
        <v/>
      </c>
      <c r="AM24" s="1" t="str">
        <f>_xlfn.IFNA(VLOOKUP(Master_Reference[[#This Row],[C-Flex 5000K 3W Part Number]],Lutron_CFlex_Lookup[],MATCH("Lutron Kit PN",Lutron_CFlex_Lookup[#Headers],0),FALSE),"")</f>
        <v/>
      </c>
      <c r="AN24" s="1" t="b">
        <f>NOT(ISNA(VLOOKUP(Master_Reference[[#This Row],[Model Number]],ObsoleteModels[],1,FALSE)))</f>
        <v>1</v>
      </c>
      <c r="AO24" s="1" t="str">
        <f>IF(LEFT(Master_Reference[[#This Row],[Model Number]],1)="U",LEFT(Master_Reference[[#This Row],[Model Number]],4),LEFT(Master_Reference[[#This Row],[Model Number]],3))</f>
        <v>2W-</v>
      </c>
    </row>
    <row r="25" spans="1:41" x14ac:dyDescent="0.25">
      <c r="A25" s="2" t="s">
        <v>119</v>
      </c>
      <c r="B25" s="1"/>
      <c r="D25" s="1" t="b">
        <v>1</v>
      </c>
      <c r="G25" s="1" t="str">
        <f>IF(OR(LEFT(RIGHT(Master_Reference[[#This Row],[Model Number]],3),1)="C",LEFT(RIGHT(Master_Reference[[#This Row],[Model Number]],4),1)="C"),TRUE,"")</f>
        <v/>
      </c>
      <c r="H25" s="1" t="str">
        <f>IF(LEFT(Master_Reference[[#This Row],[Model Number]],1)="U",TRUE,"")</f>
        <v/>
      </c>
      <c r="I25" s="1" t="b">
        <f>IF(Master_Reference[[#This Row],[Lamp Type]]="T4","",IF(Master_Reference[[#This Row],[Case Type]]="M","",TRUE))</f>
        <v>1</v>
      </c>
      <c r="J25" s="1" t="s">
        <v>111</v>
      </c>
      <c r="K25" s="1">
        <v>32</v>
      </c>
      <c r="L25" s="1" t="s">
        <v>118</v>
      </c>
      <c r="M25" s="1">
        <v>1</v>
      </c>
      <c r="N25" s="1">
        <v>120</v>
      </c>
      <c r="O25" s="1" t="s">
        <v>113</v>
      </c>
      <c r="Q25" s="1" t="s">
        <v>91</v>
      </c>
      <c r="R25" t="b">
        <v>0</v>
      </c>
      <c r="S25" t="b">
        <v>0</v>
      </c>
      <c r="T25" t="b">
        <f>IF(COUNTBLANK(Master_Reference[[#This Row],[Lutron 3000K Eco Part Number]:[Lutron 4000K Eco Part Number]])=3,FALSE,TRUE)</f>
        <v>0</v>
      </c>
      <c r="U25" t="b">
        <f>IF(COUNTBLANK(Master_Reference[[#This Row],[Lutron 3000K 3W Part Number]:[Lutron 4000K 3W Part Number]])=3,FALSE,TRUE)</f>
        <v>0</v>
      </c>
      <c r="V25" s="12"/>
      <c r="W25" s="12"/>
      <c r="X25" s="12"/>
      <c r="Y25" t="s">
        <v>2125</v>
      </c>
      <c r="Z25" s="12"/>
      <c r="AA25" s="12"/>
      <c r="AB25" s="12"/>
      <c r="AC25" t="s">
        <v>2125</v>
      </c>
      <c r="AD25" t="str">
        <f>SUBSTITUTE(Master_Reference[[#This Row],[C-Flex 4000K Eco Part Number]],"40-","xx-")</f>
        <v/>
      </c>
      <c r="AE25" t="str">
        <f>SUBSTITUTE(Master_Reference[[#This Row],[C-Flex 4000K 3W Part Number]],"40-","xx-")</f>
        <v/>
      </c>
      <c r="AF25" s="1" t="str">
        <f>_xlfn.IFNA(VLOOKUP(Master_Reference[[#This Row],[C-Flex 3000K Eco Part Number]],Lutron_CFlex_Lookup[],MATCH("Lutron Kit PN",Lutron_CFlex_Lookup[#Headers],0),FALSE),"")</f>
        <v/>
      </c>
      <c r="AG25" s="1" t="str">
        <f>_xlfn.IFNA(VLOOKUP(Master_Reference[[#This Row],[C-Flex 3500K Eco Part Number]],Lutron_CFlex_Lookup[],MATCH("Lutron Kit PN",Lutron_CFlex_Lookup[#Headers],0),FALSE),"")</f>
        <v/>
      </c>
      <c r="AH25" s="1" t="str">
        <f>_xlfn.IFNA(VLOOKUP(Master_Reference[[#This Row],[C-Flex 4000K Eco Part Number]],Lutron_CFlex_Lookup[],MATCH("Lutron Kit PN",Lutron_CFlex_Lookup[#Headers],0),FALSE),"")</f>
        <v/>
      </c>
      <c r="AI25" s="1" t="str">
        <f>_xlfn.IFNA(VLOOKUP(Master_Reference[[#This Row],[C-Flex 5000K Eco Part Number]],Lutron_CFlex_Lookup[],MATCH("Lutron Kit PN",Lutron_CFlex_Lookup[#Headers],0),FALSE),"")</f>
        <v/>
      </c>
      <c r="AJ25" s="1" t="str">
        <f>_xlfn.IFNA(VLOOKUP(Master_Reference[[#This Row],[C-Flex 3000K 3W Part Number]],Lutron_CFlex_Lookup[],MATCH("Lutron Kit PN",Lutron_CFlex_Lookup[#Headers],0),FALSE),"")</f>
        <v/>
      </c>
      <c r="AK25" s="1" t="str">
        <f>_xlfn.IFNA(VLOOKUP(Master_Reference[[#This Row],[C-Flex 3500K 3W Part Number]],Lutron_CFlex_Lookup[],MATCH("Lutron Kit PN",Lutron_CFlex_Lookup[#Headers],0),FALSE),"")</f>
        <v/>
      </c>
      <c r="AL25" s="1" t="str">
        <f>_xlfn.IFNA(VLOOKUP(Master_Reference[[#This Row],[C-Flex 4000K 3W Part Number]],Lutron_CFlex_Lookup[],MATCH("Lutron Kit PN",Lutron_CFlex_Lookup[#Headers],0),FALSE),"")</f>
        <v/>
      </c>
      <c r="AM25" s="1" t="str">
        <f>_xlfn.IFNA(VLOOKUP(Master_Reference[[#This Row],[C-Flex 5000K 3W Part Number]],Lutron_CFlex_Lookup[],MATCH("Lutron Kit PN",Lutron_CFlex_Lookup[#Headers],0),FALSE),"")</f>
        <v/>
      </c>
      <c r="AN25" s="1" t="b">
        <f>NOT(ISNA(VLOOKUP(Master_Reference[[#This Row],[Model Number]],ObsoleteModels[],1,FALSE)))</f>
        <v>1</v>
      </c>
      <c r="AO25" s="1" t="str">
        <f>IF(LEFT(Master_Reference[[#This Row],[Model Number]],1)="U",LEFT(Master_Reference[[#This Row],[Model Number]],4),LEFT(Master_Reference[[#This Row],[Model Number]],3))</f>
        <v>2W-</v>
      </c>
    </row>
    <row r="26" spans="1:41" x14ac:dyDescent="0.25">
      <c r="A26" s="2" t="s">
        <v>120</v>
      </c>
      <c r="B26" s="1"/>
      <c r="D26" s="1" t="b">
        <v>1</v>
      </c>
      <c r="G26" s="1" t="str">
        <f>IF(OR(LEFT(RIGHT(Master_Reference[[#This Row],[Model Number]],3),1)="C",LEFT(RIGHT(Master_Reference[[#This Row],[Model Number]],4),1)="C"),TRUE,"")</f>
        <v/>
      </c>
      <c r="H26" s="1" t="str">
        <f>IF(LEFT(Master_Reference[[#This Row],[Model Number]],1)="U",TRUE,"")</f>
        <v/>
      </c>
      <c r="I26" s="1" t="b">
        <f>IF(Master_Reference[[#This Row],[Lamp Type]]="T4","",IF(Master_Reference[[#This Row],[Case Type]]="M","",TRUE))</f>
        <v>1</v>
      </c>
      <c r="J26" s="1" t="s">
        <v>111</v>
      </c>
      <c r="K26" s="1">
        <v>32</v>
      </c>
      <c r="L26" s="1" t="s">
        <v>118</v>
      </c>
      <c r="M26" s="1">
        <v>2</v>
      </c>
      <c r="N26" s="1">
        <v>120</v>
      </c>
      <c r="O26" s="1" t="s">
        <v>113</v>
      </c>
      <c r="R26" t="b">
        <v>0</v>
      </c>
      <c r="S26" t="b">
        <v>0</v>
      </c>
      <c r="T26" t="b">
        <f>IF(COUNTBLANK(Master_Reference[[#This Row],[Lutron 3000K Eco Part Number]:[Lutron 4000K Eco Part Number]])=3,FALSE,TRUE)</f>
        <v>0</v>
      </c>
      <c r="U26" t="b">
        <f>IF(COUNTBLANK(Master_Reference[[#This Row],[Lutron 3000K 3W Part Number]:[Lutron 4000K 3W Part Number]])=3,FALSE,TRUE)</f>
        <v>0</v>
      </c>
      <c r="V26" s="12"/>
      <c r="W26" s="12"/>
      <c r="X26" s="12"/>
      <c r="Y26" t="s">
        <v>2125</v>
      </c>
      <c r="Z26" s="12"/>
      <c r="AA26" s="12"/>
      <c r="AB26" s="12"/>
      <c r="AC26" t="s">
        <v>2125</v>
      </c>
      <c r="AD26" t="str">
        <f>SUBSTITUTE(Master_Reference[[#This Row],[C-Flex 4000K Eco Part Number]],"40-","xx-")</f>
        <v/>
      </c>
      <c r="AE26" t="str">
        <f>SUBSTITUTE(Master_Reference[[#This Row],[C-Flex 4000K 3W Part Number]],"40-","xx-")</f>
        <v/>
      </c>
      <c r="AF26" s="1" t="str">
        <f>_xlfn.IFNA(VLOOKUP(Master_Reference[[#This Row],[C-Flex 3000K Eco Part Number]],Lutron_CFlex_Lookup[],MATCH("Lutron Kit PN",Lutron_CFlex_Lookup[#Headers],0),FALSE),"")</f>
        <v/>
      </c>
      <c r="AG26" s="1" t="str">
        <f>_xlfn.IFNA(VLOOKUP(Master_Reference[[#This Row],[C-Flex 3500K Eco Part Number]],Lutron_CFlex_Lookup[],MATCH("Lutron Kit PN",Lutron_CFlex_Lookup[#Headers],0),FALSE),"")</f>
        <v/>
      </c>
      <c r="AH26" s="1" t="str">
        <f>_xlfn.IFNA(VLOOKUP(Master_Reference[[#This Row],[C-Flex 4000K Eco Part Number]],Lutron_CFlex_Lookup[],MATCH("Lutron Kit PN",Lutron_CFlex_Lookup[#Headers],0),FALSE),"")</f>
        <v/>
      </c>
      <c r="AI26" s="1" t="str">
        <f>_xlfn.IFNA(VLOOKUP(Master_Reference[[#This Row],[C-Flex 5000K Eco Part Number]],Lutron_CFlex_Lookup[],MATCH("Lutron Kit PN",Lutron_CFlex_Lookup[#Headers],0),FALSE),"")</f>
        <v/>
      </c>
      <c r="AJ26" s="1" t="str">
        <f>_xlfn.IFNA(VLOOKUP(Master_Reference[[#This Row],[C-Flex 3000K 3W Part Number]],Lutron_CFlex_Lookup[],MATCH("Lutron Kit PN",Lutron_CFlex_Lookup[#Headers],0),FALSE),"")</f>
        <v/>
      </c>
      <c r="AK26" s="1" t="str">
        <f>_xlfn.IFNA(VLOOKUP(Master_Reference[[#This Row],[C-Flex 3500K 3W Part Number]],Lutron_CFlex_Lookup[],MATCH("Lutron Kit PN",Lutron_CFlex_Lookup[#Headers],0),FALSE),"")</f>
        <v/>
      </c>
      <c r="AL26" s="1" t="str">
        <f>_xlfn.IFNA(VLOOKUP(Master_Reference[[#This Row],[C-Flex 4000K 3W Part Number]],Lutron_CFlex_Lookup[],MATCH("Lutron Kit PN",Lutron_CFlex_Lookup[#Headers],0),FALSE),"")</f>
        <v/>
      </c>
      <c r="AM26" s="1" t="str">
        <f>_xlfn.IFNA(VLOOKUP(Master_Reference[[#This Row],[C-Flex 5000K 3W Part Number]],Lutron_CFlex_Lookup[],MATCH("Lutron Kit PN",Lutron_CFlex_Lookup[#Headers],0),FALSE),"")</f>
        <v/>
      </c>
      <c r="AN26" s="1" t="b">
        <f>NOT(ISNA(VLOOKUP(Master_Reference[[#This Row],[Model Number]],ObsoleteModels[],1,FALSE)))</f>
        <v>1</v>
      </c>
      <c r="AO26" s="1" t="str">
        <f>IF(LEFT(Master_Reference[[#This Row],[Model Number]],1)="U",LEFT(Master_Reference[[#This Row],[Model Number]],4),LEFT(Master_Reference[[#This Row],[Model Number]],3))</f>
        <v>2W-</v>
      </c>
    </row>
    <row r="27" spans="1:41" x14ac:dyDescent="0.25">
      <c r="A27" s="2" t="s">
        <v>121</v>
      </c>
      <c r="B27" s="1"/>
      <c r="D27" s="1" t="b">
        <v>1</v>
      </c>
      <c r="G27" s="1" t="str">
        <f>IF(OR(LEFT(RIGHT(Master_Reference[[#This Row],[Model Number]],3),1)="C",LEFT(RIGHT(Master_Reference[[#This Row],[Model Number]],4),1)="C"),TRUE,"")</f>
        <v/>
      </c>
      <c r="H27" s="1" t="str">
        <f>IF(LEFT(Master_Reference[[#This Row],[Model Number]],1)="U",TRUE,"")</f>
        <v/>
      </c>
      <c r="I27" s="1" t="b">
        <f>IF(Master_Reference[[#This Row],[Lamp Type]]="T4","",IF(Master_Reference[[#This Row],[Case Type]]="M","",TRUE))</f>
        <v>1</v>
      </c>
      <c r="J27" s="1" t="s">
        <v>111</v>
      </c>
      <c r="K27" s="1">
        <v>32</v>
      </c>
      <c r="L27" s="1" t="s">
        <v>118</v>
      </c>
      <c r="M27" s="1">
        <v>2</v>
      </c>
      <c r="N27" s="1">
        <v>120</v>
      </c>
      <c r="O27" s="1" t="s">
        <v>113</v>
      </c>
      <c r="Q27" s="1" t="s">
        <v>91</v>
      </c>
      <c r="R27" t="b">
        <v>0</v>
      </c>
      <c r="S27" t="b">
        <v>0</v>
      </c>
      <c r="T27" t="b">
        <f>IF(COUNTBLANK(Master_Reference[[#This Row],[Lutron 3000K Eco Part Number]:[Lutron 4000K Eco Part Number]])=3,FALSE,TRUE)</f>
        <v>0</v>
      </c>
      <c r="U27" t="b">
        <f>IF(COUNTBLANK(Master_Reference[[#This Row],[Lutron 3000K 3W Part Number]:[Lutron 4000K 3W Part Number]])=3,FALSE,TRUE)</f>
        <v>0</v>
      </c>
      <c r="V27" s="12"/>
      <c r="W27" s="12"/>
      <c r="X27" s="12"/>
      <c r="Y27" t="s">
        <v>2125</v>
      </c>
      <c r="Z27" s="12"/>
      <c r="AA27" s="12"/>
      <c r="AB27" s="12"/>
      <c r="AC27" t="s">
        <v>2125</v>
      </c>
      <c r="AD27" t="str">
        <f>SUBSTITUTE(Master_Reference[[#This Row],[C-Flex 4000K Eco Part Number]],"40-","xx-")</f>
        <v/>
      </c>
      <c r="AE27" t="str">
        <f>SUBSTITUTE(Master_Reference[[#This Row],[C-Flex 4000K 3W Part Number]],"40-","xx-")</f>
        <v/>
      </c>
      <c r="AF27" s="1" t="str">
        <f>_xlfn.IFNA(VLOOKUP(Master_Reference[[#This Row],[C-Flex 3000K Eco Part Number]],Lutron_CFlex_Lookup[],MATCH("Lutron Kit PN",Lutron_CFlex_Lookup[#Headers],0),FALSE),"")</f>
        <v/>
      </c>
      <c r="AG27" s="1" t="str">
        <f>_xlfn.IFNA(VLOOKUP(Master_Reference[[#This Row],[C-Flex 3500K Eco Part Number]],Lutron_CFlex_Lookup[],MATCH("Lutron Kit PN",Lutron_CFlex_Lookup[#Headers],0),FALSE),"")</f>
        <v/>
      </c>
      <c r="AH27" s="1" t="str">
        <f>_xlfn.IFNA(VLOOKUP(Master_Reference[[#This Row],[C-Flex 4000K Eco Part Number]],Lutron_CFlex_Lookup[],MATCH("Lutron Kit PN",Lutron_CFlex_Lookup[#Headers],0),FALSE),"")</f>
        <v/>
      </c>
      <c r="AI27" s="1" t="str">
        <f>_xlfn.IFNA(VLOOKUP(Master_Reference[[#This Row],[C-Flex 5000K Eco Part Number]],Lutron_CFlex_Lookup[],MATCH("Lutron Kit PN",Lutron_CFlex_Lookup[#Headers],0),FALSE),"")</f>
        <v/>
      </c>
      <c r="AJ27" s="1" t="str">
        <f>_xlfn.IFNA(VLOOKUP(Master_Reference[[#This Row],[C-Flex 3000K 3W Part Number]],Lutron_CFlex_Lookup[],MATCH("Lutron Kit PN",Lutron_CFlex_Lookup[#Headers],0),FALSE),"")</f>
        <v/>
      </c>
      <c r="AK27" s="1" t="str">
        <f>_xlfn.IFNA(VLOOKUP(Master_Reference[[#This Row],[C-Flex 3500K 3W Part Number]],Lutron_CFlex_Lookup[],MATCH("Lutron Kit PN",Lutron_CFlex_Lookup[#Headers],0),FALSE),"")</f>
        <v/>
      </c>
      <c r="AL27" s="1" t="str">
        <f>_xlfn.IFNA(VLOOKUP(Master_Reference[[#This Row],[C-Flex 4000K 3W Part Number]],Lutron_CFlex_Lookup[],MATCH("Lutron Kit PN",Lutron_CFlex_Lookup[#Headers],0),FALSE),"")</f>
        <v/>
      </c>
      <c r="AM27" s="1" t="str">
        <f>_xlfn.IFNA(VLOOKUP(Master_Reference[[#This Row],[C-Flex 5000K 3W Part Number]],Lutron_CFlex_Lookup[],MATCH("Lutron Kit PN",Lutron_CFlex_Lookup[#Headers],0),FALSE),"")</f>
        <v/>
      </c>
      <c r="AN27" s="1" t="b">
        <f>NOT(ISNA(VLOOKUP(Master_Reference[[#This Row],[Model Number]],ObsoleteModels[],1,FALSE)))</f>
        <v>1</v>
      </c>
      <c r="AO27" s="1" t="str">
        <f>IF(LEFT(Master_Reference[[#This Row],[Model Number]],1)="U",LEFT(Master_Reference[[#This Row],[Model Number]],4),LEFT(Master_Reference[[#This Row],[Model Number]],3))</f>
        <v>2W-</v>
      </c>
    </row>
    <row r="28" spans="1:41" x14ac:dyDescent="0.25">
      <c r="A28" s="2" t="s">
        <v>122</v>
      </c>
      <c r="B28" s="1"/>
      <c r="C28" s="1" t="b">
        <v>1</v>
      </c>
      <c r="G28" s="1" t="str">
        <f>IF(OR(LEFT(RIGHT(Master_Reference[[#This Row],[Model Number]],3),1)="C",LEFT(RIGHT(Master_Reference[[#This Row],[Model Number]],4),1)="C"),TRUE,"")</f>
        <v/>
      </c>
      <c r="H28" s="1" t="str">
        <f>IF(LEFT(Master_Reference[[#This Row],[Model Number]],1)="U",TRUE,"")</f>
        <v/>
      </c>
      <c r="I28" s="1" t="b">
        <f>IF(Master_Reference[[#This Row],[Lamp Type]]="T4","",IF(Master_Reference[[#This Row],[Case Type]]="M","",TRUE))</f>
        <v>1</v>
      </c>
      <c r="J28" s="1" t="s">
        <v>123</v>
      </c>
      <c r="K28" s="1">
        <v>14</v>
      </c>
      <c r="L28" s="1" t="s">
        <v>112</v>
      </c>
      <c r="M28" s="1">
        <v>1</v>
      </c>
      <c r="N28" s="1">
        <v>120</v>
      </c>
      <c r="O28" s="1" t="s">
        <v>113</v>
      </c>
      <c r="R28" t="b">
        <f>IF(COUNTBLANK(Master_Reference[[#This Row],[C-Flex 3000K Eco Part Number]:[C-Flex 4000K Eco Part Number]])=3,FALSE,TRUE)</f>
        <v>0</v>
      </c>
      <c r="S28" t="b">
        <f>IF(COUNTBLANK(Master_Reference[[#This Row],[C-Flex 3000K 3W Part Number]:[C-Flex 4000K 3W Part Number]])=3,FALSE,TRUE)</f>
        <v>1</v>
      </c>
      <c r="T28" t="b">
        <f>IF(COUNTBLANK(Master_Reference[[#This Row],[Lutron 3000K Eco Part Number]:[Lutron 4000K Eco Part Number]])=3,FALSE,TRUE)</f>
        <v>0</v>
      </c>
      <c r="U28" t="b">
        <f>IF(COUNTBLANK(Master_Reference[[#This Row],[Lutron 3000K 3W Part Number]:[Lutron 4000K 3W Part Number]])=3,FALSE,TRUE)</f>
        <v>1</v>
      </c>
      <c r="V28" s="12"/>
      <c r="W28" s="12"/>
      <c r="X28" s="12"/>
      <c r="Y28" t="s">
        <v>2125</v>
      </c>
      <c r="Z28" s="12" t="s">
        <v>124</v>
      </c>
      <c r="AA28" s="12" t="s">
        <v>125</v>
      </c>
      <c r="AB28" s="12" t="s">
        <v>126</v>
      </c>
      <c r="AC28" t="s">
        <v>1803</v>
      </c>
      <c r="AD28" t="str">
        <f>SUBSTITUTE(Master_Reference[[#This Row],[C-Flex 4000K Eco Part Number]],"40-","xx-")</f>
        <v/>
      </c>
      <c r="AE28" t="str">
        <f>SUBSTITUTE(Master_Reference[[#This Row],[C-Flex 4000K 3W Part Number]],"40-","xx-")</f>
        <v>RP-T5-2FT-1L-8xx-3W-M-G2</v>
      </c>
      <c r="AF28" s="1" t="str">
        <f>_xlfn.IFNA(VLOOKUP(Master_Reference[[#This Row],[C-Flex 3000K Eco Part Number]],Lutron_CFlex_Lookup[],MATCH("Lutron Kit PN",Lutron_CFlex_Lookup[#Headers],0),FALSE),"")</f>
        <v/>
      </c>
      <c r="AG28" s="1" t="str">
        <f>_xlfn.IFNA(VLOOKUP(Master_Reference[[#This Row],[C-Flex 3500K Eco Part Number]],Lutron_CFlex_Lookup[],MATCH("Lutron Kit PN",Lutron_CFlex_Lookup[#Headers],0),FALSE),"")</f>
        <v/>
      </c>
      <c r="AH28" s="1" t="str">
        <f>_xlfn.IFNA(VLOOKUP(Master_Reference[[#This Row],[C-Flex 4000K Eco Part Number]],Lutron_CFlex_Lookup[],MATCH("Lutron Kit PN",Lutron_CFlex_Lookup[#Headers],0),FALSE),"")</f>
        <v/>
      </c>
      <c r="AI28" s="1" t="str">
        <f>_xlfn.IFNA(VLOOKUP(Master_Reference[[#This Row],[C-Flex 5000K Eco Part Number]],Lutron_CFlex_Lookup[],MATCH("Lutron Kit PN",Lutron_CFlex_Lookup[#Headers],0),FALSE),"")</f>
        <v/>
      </c>
      <c r="AJ28" s="1" t="str">
        <f>_xlfn.IFNA(VLOOKUP(Master_Reference[[#This Row],[C-Flex 3000K 3W Part Number]],Lutron_CFlex_Lookup[],MATCH("Lutron Kit PN",Lutron_CFlex_Lookup[#Headers],0),FALSE),"")</f>
        <v>3LD2T5-1M30-q</v>
      </c>
      <c r="AK28" s="1" t="str">
        <f>_xlfn.IFNA(VLOOKUP(Master_Reference[[#This Row],[C-Flex 3500K 3W Part Number]],Lutron_CFlex_Lookup[],MATCH("Lutron Kit PN",Lutron_CFlex_Lookup[#Headers],0),FALSE),"")</f>
        <v>3LD2T5-1M35-q</v>
      </c>
      <c r="AL28" s="1" t="str">
        <f>_xlfn.IFNA(VLOOKUP(Master_Reference[[#This Row],[C-Flex 4000K 3W Part Number]],Lutron_CFlex_Lookup[],MATCH("Lutron Kit PN",Lutron_CFlex_Lookup[#Headers],0),FALSE),"")</f>
        <v>3LD2T5-1M40-q</v>
      </c>
      <c r="AM28" s="1" t="str">
        <f>_xlfn.IFNA(VLOOKUP(Master_Reference[[#This Row],[C-Flex 5000K 3W Part Number]],Lutron_CFlex_Lookup[],MATCH("Lutron Kit PN",Lutron_CFlex_Lookup[#Headers],0),FALSE),"")</f>
        <v>3LD2T5-1M50-q</v>
      </c>
      <c r="AN28" s="1" t="b">
        <f>NOT(ISNA(VLOOKUP(Master_Reference[[#This Row],[Model Number]],ObsoleteModels[],1,FALSE)))</f>
        <v>1</v>
      </c>
      <c r="AO28" s="1" t="str">
        <f>IF(LEFT(Master_Reference[[#This Row],[Model Number]],1)="U",LEFT(Master_Reference[[#This Row],[Model Number]],4),LEFT(Master_Reference[[#This Row],[Model Number]],3))</f>
        <v>E3T</v>
      </c>
    </row>
    <row r="29" spans="1:41" x14ac:dyDescent="0.25">
      <c r="A29" s="2" t="s">
        <v>127</v>
      </c>
      <c r="B29" s="1"/>
      <c r="C29" s="1" t="b">
        <v>1</v>
      </c>
      <c r="G29" s="1" t="str">
        <f>IF(OR(LEFT(RIGHT(Master_Reference[[#This Row],[Model Number]],3),1)="C",LEFT(RIGHT(Master_Reference[[#This Row],[Model Number]],4),1)="C"),TRUE,"")</f>
        <v/>
      </c>
      <c r="H29" s="1" t="str">
        <f>IF(LEFT(Master_Reference[[#This Row],[Model Number]],1)="U",TRUE,"")</f>
        <v/>
      </c>
      <c r="I29" s="1" t="b">
        <f>IF(Master_Reference[[#This Row],[Lamp Type]]="T4","",IF(Master_Reference[[#This Row],[Case Type]]="M","",TRUE))</f>
        <v>1</v>
      </c>
      <c r="J29" s="1" t="s">
        <v>123</v>
      </c>
      <c r="K29" s="1">
        <v>14</v>
      </c>
      <c r="L29" s="1" t="s">
        <v>112</v>
      </c>
      <c r="M29" s="1">
        <v>2</v>
      </c>
      <c r="N29" s="1">
        <v>120</v>
      </c>
      <c r="O29" s="1" t="s">
        <v>113</v>
      </c>
      <c r="R29" t="b">
        <f>IF(COUNTBLANK(Master_Reference[[#This Row],[C-Flex 3000K Eco Part Number]:[C-Flex 4000K Eco Part Number]])=3,FALSE,TRUE)</f>
        <v>0</v>
      </c>
      <c r="S29" t="b">
        <f>IF(COUNTBLANK(Master_Reference[[#This Row],[C-Flex 3000K 3W Part Number]:[C-Flex 4000K 3W Part Number]])=3,FALSE,TRUE)</f>
        <v>1</v>
      </c>
      <c r="T29" t="b">
        <f>IF(COUNTBLANK(Master_Reference[[#This Row],[Lutron 3000K Eco Part Number]:[Lutron 4000K Eco Part Number]])=3,FALSE,TRUE)</f>
        <v>0</v>
      </c>
      <c r="U29" t="b">
        <f>IF(COUNTBLANK(Master_Reference[[#This Row],[Lutron 3000K 3W Part Number]:[Lutron 4000K 3W Part Number]])=3,FALSE,TRUE)</f>
        <v>1</v>
      </c>
      <c r="V29" s="12"/>
      <c r="W29" s="12"/>
      <c r="X29" s="12"/>
      <c r="Y29" t="s">
        <v>2125</v>
      </c>
      <c r="Z29" s="12" t="s">
        <v>128</v>
      </c>
      <c r="AA29" s="12" t="s">
        <v>129</v>
      </c>
      <c r="AB29" s="12" t="s">
        <v>130</v>
      </c>
      <c r="AC29" t="s">
        <v>1804</v>
      </c>
      <c r="AD29" t="str">
        <f>SUBSTITUTE(Master_Reference[[#This Row],[C-Flex 4000K Eco Part Number]],"40-","xx-")</f>
        <v/>
      </c>
      <c r="AE29" t="str">
        <f>SUBSTITUTE(Master_Reference[[#This Row],[C-Flex 4000K 3W Part Number]],"40-","xx-")</f>
        <v>RP-T5-2FT-2L-8xx-3W-M-G2</v>
      </c>
      <c r="AF29" s="1" t="str">
        <f>_xlfn.IFNA(VLOOKUP(Master_Reference[[#This Row],[C-Flex 3000K Eco Part Number]],Lutron_CFlex_Lookup[],MATCH("Lutron Kit PN",Lutron_CFlex_Lookup[#Headers],0),FALSE),"")</f>
        <v/>
      </c>
      <c r="AG29" s="1" t="str">
        <f>_xlfn.IFNA(VLOOKUP(Master_Reference[[#This Row],[C-Flex 3500K Eco Part Number]],Lutron_CFlex_Lookup[],MATCH("Lutron Kit PN",Lutron_CFlex_Lookup[#Headers],0),FALSE),"")</f>
        <v/>
      </c>
      <c r="AH29" s="1" t="str">
        <f>_xlfn.IFNA(VLOOKUP(Master_Reference[[#This Row],[C-Flex 4000K Eco Part Number]],Lutron_CFlex_Lookup[],MATCH("Lutron Kit PN",Lutron_CFlex_Lookup[#Headers],0),FALSE),"")</f>
        <v/>
      </c>
      <c r="AI29" s="1" t="str">
        <f>_xlfn.IFNA(VLOOKUP(Master_Reference[[#This Row],[C-Flex 5000K Eco Part Number]],Lutron_CFlex_Lookup[],MATCH("Lutron Kit PN",Lutron_CFlex_Lookup[#Headers],0),FALSE),"")</f>
        <v/>
      </c>
      <c r="AJ29" s="1" t="str">
        <f>_xlfn.IFNA(VLOOKUP(Master_Reference[[#This Row],[C-Flex 3000K 3W Part Number]],Lutron_CFlex_Lookup[],MATCH("Lutron Kit PN",Lutron_CFlex_Lookup[#Headers],0),FALSE),"")</f>
        <v>3LD2T5-2M30-q</v>
      </c>
      <c r="AK29" s="1" t="str">
        <f>_xlfn.IFNA(VLOOKUP(Master_Reference[[#This Row],[C-Flex 3500K 3W Part Number]],Lutron_CFlex_Lookup[],MATCH("Lutron Kit PN",Lutron_CFlex_Lookup[#Headers],0),FALSE),"")</f>
        <v>3LD2T5-2M35-q</v>
      </c>
      <c r="AL29" s="1" t="str">
        <f>_xlfn.IFNA(VLOOKUP(Master_Reference[[#This Row],[C-Flex 4000K 3W Part Number]],Lutron_CFlex_Lookup[],MATCH("Lutron Kit PN",Lutron_CFlex_Lookup[#Headers],0),FALSE),"")</f>
        <v>3LD2T5-2M40-q</v>
      </c>
      <c r="AM29" s="1" t="str">
        <f>_xlfn.IFNA(VLOOKUP(Master_Reference[[#This Row],[C-Flex 5000K 3W Part Number]],Lutron_CFlex_Lookup[],MATCH("Lutron Kit PN",Lutron_CFlex_Lookup[#Headers],0),FALSE),"")</f>
        <v>3LD2T5-2M50-q</v>
      </c>
      <c r="AN29" s="1" t="b">
        <f>NOT(ISNA(VLOOKUP(Master_Reference[[#This Row],[Model Number]],ObsoleteModels[],1,FALSE)))</f>
        <v>1</v>
      </c>
      <c r="AO29" s="1" t="str">
        <f>IF(LEFT(Master_Reference[[#This Row],[Model Number]],1)="U",LEFT(Master_Reference[[#This Row],[Model Number]],4),LEFT(Master_Reference[[#This Row],[Model Number]],3))</f>
        <v>E3T</v>
      </c>
    </row>
    <row r="30" spans="1:41" x14ac:dyDescent="0.25">
      <c r="A30" s="2" t="s">
        <v>131</v>
      </c>
      <c r="B30" s="1"/>
      <c r="C30" s="1" t="b">
        <v>1</v>
      </c>
      <c r="G30" s="1" t="str">
        <f>IF(OR(LEFT(RIGHT(Master_Reference[[#This Row],[Model Number]],3),1)="C",LEFT(RIGHT(Master_Reference[[#This Row],[Model Number]],4),1)="C"),TRUE,"")</f>
        <v/>
      </c>
      <c r="H30" s="1" t="str">
        <f>IF(LEFT(Master_Reference[[#This Row],[Model Number]],1)="U",TRUE,"")</f>
        <v/>
      </c>
      <c r="I30" s="1" t="b">
        <f>IF(Master_Reference[[#This Row],[Lamp Type]]="T4","",IF(Master_Reference[[#This Row],[Case Type]]="M","",TRUE))</f>
        <v>1</v>
      </c>
      <c r="J30" s="1" t="s">
        <v>123</v>
      </c>
      <c r="K30" s="1">
        <v>14</v>
      </c>
      <c r="L30" s="1" t="s">
        <v>112</v>
      </c>
      <c r="M30" s="1">
        <v>1</v>
      </c>
      <c r="N30" s="1">
        <v>277</v>
      </c>
      <c r="O30" s="1" t="s">
        <v>113</v>
      </c>
      <c r="R30" t="b">
        <f>IF(COUNTBLANK(Master_Reference[[#This Row],[C-Flex 3000K Eco Part Number]:[C-Flex 4000K Eco Part Number]])=3,FALSE,TRUE)</f>
        <v>0</v>
      </c>
      <c r="S30" t="b">
        <f>IF(COUNTBLANK(Master_Reference[[#This Row],[C-Flex 3000K 3W Part Number]:[C-Flex 4000K 3W Part Number]])=3,FALSE,TRUE)</f>
        <v>1</v>
      </c>
      <c r="T30" t="b">
        <f>IF(COUNTBLANK(Master_Reference[[#This Row],[Lutron 3000K Eco Part Number]:[Lutron 4000K Eco Part Number]])=3,FALSE,TRUE)</f>
        <v>0</v>
      </c>
      <c r="U30" t="b">
        <f>IF(COUNTBLANK(Master_Reference[[#This Row],[Lutron 3000K 3W Part Number]:[Lutron 4000K 3W Part Number]])=3,FALSE,TRUE)</f>
        <v>1</v>
      </c>
      <c r="V30" s="12"/>
      <c r="W30" s="12"/>
      <c r="X30" s="12"/>
      <c r="Y30" t="s">
        <v>2125</v>
      </c>
      <c r="Z30" s="12" t="s">
        <v>124</v>
      </c>
      <c r="AA30" s="12" t="s">
        <v>125</v>
      </c>
      <c r="AB30" s="12" t="s">
        <v>126</v>
      </c>
      <c r="AC30" t="s">
        <v>1803</v>
      </c>
      <c r="AD30" t="str">
        <f>SUBSTITUTE(Master_Reference[[#This Row],[C-Flex 4000K Eco Part Number]],"40-","xx-")</f>
        <v/>
      </c>
      <c r="AE30" t="str">
        <f>SUBSTITUTE(Master_Reference[[#This Row],[C-Flex 4000K 3W Part Number]],"40-","xx-")</f>
        <v>RP-T5-2FT-1L-8xx-3W-M-G2</v>
      </c>
      <c r="AF30" s="1" t="str">
        <f>_xlfn.IFNA(VLOOKUP(Master_Reference[[#This Row],[C-Flex 3000K Eco Part Number]],Lutron_CFlex_Lookup[],MATCH("Lutron Kit PN",Lutron_CFlex_Lookup[#Headers],0),FALSE),"")</f>
        <v/>
      </c>
      <c r="AG30" s="1" t="str">
        <f>_xlfn.IFNA(VLOOKUP(Master_Reference[[#This Row],[C-Flex 3500K Eco Part Number]],Lutron_CFlex_Lookup[],MATCH("Lutron Kit PN",Lutron_CFlex_Lookup[#Headers],0),FALSE),"")</f>
        <v/>
      </c>
      <c r="AH30" s="1" t="str">
        <f>_xlfn.IFNA(VLOOKUP(Master_Reference[[#This Row],[C-Flex 4000K Eco Part Number]],Lutron_CFlex_Lookup[],MATCH("Lutron Kit PN",Lutron_CFlex_Lookup[#Headers],0),FALSE),"")</f>
        <v/>
      </c>
      <c r="AI30" s="1" t="str">
        <f>_xlfn.IFNA(VLOOKUP(Master_Reference[[#This Row],[C-Flex 5000K Eco Part Number]],Lutron_CFlex_Lookup[],MATCH("Lutron Kit PN",Lutron_CFlex_Lookup[#Headers],0),FALSE),"")</f>
        <v/>
      </c>
      <c r="AJ30" s="1" t="str">
        <f>_xlfn.IFNA(VLOOKUP(Master_Reference[[#This Row],[C-Flex 3000K 3W Part Number]],Lutron_CFlex_Lookup[],MATCH("Lutron Kit PN",Lutron_CFlex_Lookup[#Headers],0),FALSE),"")</f>
        <v>3LD2T5-1M30-q</v>
      </c>
      <c r="AK30" s="1" t="str">
        <f>_xlfn.IFNA(VLOOKUP(Master_Reference[[#This Row],[C-Flex 3500K 3W Part Number]],Lutron_CFlex_Lookup[],MATCH("Lutron Kit PN",Lutron_CFlex_Lookup[#Headers],0),FALSE),"")</f>
        <v>3LD2T5-1M35-q</v>
      </c>
      <c r="AL30" s="1" t="str">
        <f>_xlfn.IFNA(VLOOKUP(Master_Reference[[#This Row],[C-Flex 4000K 3W Part Number]],Lutron_CFlex_Lookup[],MATCH("Lutron Kit PN",Lutron_CFlex_Lookup[#Headers],0),FALSE),"")</f>
        <v>3LD2T5-1M40-q</v>
      </c>
      <c r="AM30" s="1" t="str">
        <f>_xlfn.IFNA(VLOOKUP(Master_Reference[[#This Row],[C-Flex 5000K 3W Part Number]],Lutron_CFlex_Lookup[],MATCH("Lutron Kit PN",Lutron_CFlex_Lookup[#Headers],0),FALSE),"")</f>
        <v>3LD2T5-1M50-q</v>
      </c>
      <c r="AN30" s="1" t="b">
        <f>NOT(ISNA(VLOOKUP(Master_Reference[[#This Row],[Model Number]],ObsoleteModels[],1,FALSE)))</f>
        <v>1</v>
      </c>
      <c r="AO30" s="1" t="str">
        <f>IF(LEFT(Master_Reference[[#This Row],[Model Number]],1)="U",LEFT(Master_Reference[[#This Row],[Model Number]],4),LEFT(Master_Reference[[#This Row],[Model Number]],3))</f>
        <v>E3T</v>
      </c>
    </row>
    <row r="31" spans="1:41" x14ac:dyDescent="0.25">
      <c r="A31" s="2" t="s">
        <v>132</v>
      </c>
      <c r="B31" s="1"/>
      <c r="C31" s="1" t="b">
        <v>1</v>
      </c>
      <c r="G31" s="1" t="str">
        <f>IF(OR(LEFT(RIGHT(Master_Reference[[#This Row],[Model Number]],3),1)="C",LEFT(RIGHT(Master_Reference[[#This Row],[Model Number]],4),1)="C"),TRUE,"")</f>
        <v/>
      </c>
      <c r="H31" s="1" t="str">
        <f>IF(LEFT(Master_Reference[[#This Row],[Model Number]],1)="U",TRUE,"")</f>
        <v/>
      </c>
      <c r="I31" s="1" t="b">
        <f>IF(Master_Reference[[#This Row],[Lamp Type]]="T4","",IF(Master_Reference[[#This Row],[Case Type]]="M","",TRUE))</f>
        <v>1</v>
      </c>
      <c r="J31" s="1" t="s">
        <v>123</v>
      </c>
      <c r="K31" s="1">
        <v>14</v>
      </c>
      <c r="L31" s="1" t="s">
        <v>112</v>
      </c>
      <c r="M31" s="1">
        <v>2</v>
      </c>
      <c r="N31" s="1">
        <v>277</v>
      </c>
      <c r="O31" s="1" t="s">
        <v>113</v>
      </c>
      <c r="R31" t="b">
        <f>IF(COUNTBLANK(Master_Reference[[#This Row],[C-Flex 3000K Eco Part Number]:[C-Flex 4000K Eco Part Number]])=3,FALSE,TRUE)</f>
        <v>0</v>
      </c>
      <c r="S31" t="b">
        <f>IF(COUNTBLANK(Master_Reference[[#This Row],[C-Flex 3000K 3W Part Number]:[C-Flex 4000K 3W Part Number]])=3,FALSE,TRUE)</f>
        <v>1</v>
      </c>
      <c r="T31" t="b">
        <f>IF(COUNTBLANK(Master_Reference[[#This Row],[Lutron 3000K Eco Part Number]:[Lutron 4000K Eco Part Number]])=3,FALSE,TRUE)</f>
        <v>0</v>
      </c>
      <c r="U31" t="b">
        <f>IF(COUNTBLANK(Master_Reference[[#This Row],[Lutron 3000K 3W Part Number]:[Lutron 4000K 3W Part Number]])=3,FALSE,TRUE)</f>
        <v>1</v>
      </c>
      <c r="V31" s="12"/>
      <c r="W31" s="12"/>
      <c r="X31" s="12"/>
      <c r="Y31" t="s">
        <v>2125</v>
      </c>
      <c r="Z31" s="12" t="s">
        <v>128</v>
      </c>
      <c r="AA31" s="12" t="s">
        <v>129</v>
      </c>
      <c r="AB31" s="12" t="s">
        <v>130</v>
      </c>
      <c r="AC31" t="s">
        <v>1804</v>
      </c>
      <c r="AD31" t="str">
        <f>SUBSTITUTE(Master_Reference[[#This Row],[C-Flex 4000K Eco Part Number]],"40-","xx-")</f>
        <v/>
      </c>
      <c r="AE31" t="str">
        <f>SUBSTITUTE(Master_Reference[[#This Row],[C-Flex 4000K 3W Part Number]],"40-","xx-")</f>
        <v>RP-T5-2FT-2L-8xx-3W-M-G2</v>
      </c>
      <c r="AF31" s="1" t="str">
        <f>_xlfn.IFNA(VLOOKUP(Master_Reference[[#This Row],[C-Flex 3000K Eco Part Number]],Lutron_CFlex_Lookup[],MATCH("Lutron Kit PN",Lutron_CFlex_Lookup[#Headers],0),FALSE),"")</f>
        <v/>
      </c>
      <c r="AG31" s="1" t="str">
        <f>_xlfn.IFNA(VLOOKUP(Master_Reference[[#This Row],[C-Flex 3500K Eco Part Number]],Lutron_CFlex_Lookup[],MATCH("Lutron Kit PN",Lutron_CFlex_Lookup[#Headers],0),FALSE),"")</f>
        <v/>
      </c>
      <c r="AH31" s="1" t="str">
        <f>_xlfn.IFNA(VLOOKUP(Master_Reference[[#This Row],[C-Flex 4000K Eco Part Number]],Lutron_CFlex_Lookup[],MATCH("Lutron Kit PN",Lutron_CFlex_Lookup[#Headers],0),FALSE),"")</f>
        <v/>
      </c>
      <c r="AI31" s="1" t="str">
        <f>_xlfn.IFNA(VLOOKUP(Master_Reference[[#This Row],[C-Flex 5000K Eco Part Number]],Lutron_CFlex_Lookup[],MATCH("Lutron Kit PN",Lutron_CFlex_Lookup[#Headers],0),FALSE),"")</f>
        <v/>
      </c>
      <c r="AJ31" s="1" t="str">
        <f>_xlfn.IFNA(VLOOKUP(Master_Reference[[#This Row],[C-Flex 3000K 3W Part Number]],Lutron_CFlex_Lookup[],MATCH("Lutron Kit PN",Lutron_CFlex_Lookup[#Headers],0),FALSE),"")</f>
        <v>3LD2T5-2M30-q</v>
      </c>
      <c r="AK31" s="1" t="str">
        <f>_xlfn.IFNA(VLOOKUP(Master_Reference[[#This Row],[C-Flex 3500K 3W Part Number]],Lutron_CFlex_Lookup[],MATCH("Lutron Kit PN",Lutron_CFlex_Lookup[#Headers],0),FALSE),"")</f>
        <v>3LD2T5-2M35-q</v>
      </c>
      <c r="AL31" s="1" t="str">
        <f>_xlfn.IFNA(VLOOKUP(Master_Reference[[#This Row],[C-Flex 4000K 3W Part Number]],Lutron_CFlex_Lookup[],MATCH("Lutron Kit PN",Lutron_CFlex_Lookup[#Headers],0),FALSE),"")</f>
        <v>3LD2T5-2M40-q</v>
      </c>
      <c r="AM31" s="1" t="str">
        <f>_xlfn.IFNA(VLOOKUP(Master_Reference[[#This Row],[C-Flex 5000K 3W Part Number]],Lutron_CFlex_Lookup[],MATCH("Lutron Kit PN",Lutron_CFlex_Lookup[#Headers],0),FALSE),"")</f>
        <v>3LD2T5-2M50-q</v>
      </c>
      <c r="AN31" s="1" t="b">
        <f>NOT(ISNA(VLOOKUP(Master_Reference[[#This Row],[Model Number]],ObsoleteModels[],1,FALSE)))</f>
        <v>1</v>
      </c>
      <c r="AO31" s="1" t="str">
        <f>IF(LEFT(Master_Reference[[#This Row],[Model Number]],1)="U",LEFT(Master_Reference[[#This Row],[Model Number]],4),LEFT(Master_Reference[[#This Row],[Model Number]],3))</f>
        <v>E3T</v>
      </c>
    </row>
    <row r="32" spans="1:41" x14ac:dyDescent="0.25">
      <c r="A32" s="2" t="s">
        <v>133</v>
      </c>
      <c r="B32" s="1"/>
      <c r="C32" s="1" t="b">
        <v>1</v>
      </c>
      <c r="G32" s="1" t="str">
        <f>IF(OR(LEFT(RIGHT(Master_Reference[[#This Row],[Model Number]],3),1)="C",LEFT(RIGHT(Master_Reference[[#This Row],[Model Number]],4),1)="C"),TRUE,"")</f>
        <v/>
      </c>
      <c r="H32" s="1" t="str">
        <f>IF(LEFT(Master_Reference[[#This Row],[Model Number]],1)="U",TRUE,"")</f>
        <v/>
      </c>
      <c r="I32" s="1" t="b">
        <f>IF(Master_Reference[[#This Row],[Lamp Type]]="T4","",IF(Master_Reference[[#This Row],[Case Type]]="M","",TRUE))</f>
        <v>1</v>
      </c>
      <c r="J32" s="1" t="s">
        <v>123</v>
      </c>
      <c r="K32" s="1">
        <v>21</v>
      </c>
      <c r="L32" s="1" t="s">
        <v>115</v>
      </c>
      <c r="M32" s="1">
        <v>1</v>
      </c>
      <c r="N32" s="1">
        <v>120</v>
      </c>
      <c r="O32" s="1" t="s">
        <v>113</v>
      </c>
      <c r="R32" t="b">
        <f>IF(COUNTBLANK(Master_Reference[[#This Row],[C-Flex 3000K Eco Part Number]:[C-Flex 4000K Eco Part Number]])=3,FALSE,TRUE)</f>
        <v>0</v>
      </c>
      <c r="S32" t="b">
        <f>IF(COUNTBLANK(Master_Reference[[#This Row],[C-Flex 3000K 3W Part Number]:[C-Flex 4000K 3W Part Number]])=3,FALSE,TRUE)</f>
        <v>1</v>
      </c>
      <c r="T32" t="b">
        <f>IF(COUNTBLANK(Master_Reference[[#This Row],[Lutron 3000K Eco Part Number]:[Lutron 4000K Eco Part Number]])=3,FALSE,TRUE)</f>
        <v>0</v>
      </c>
      <c r="U32" t="b">
        <f>IF(COUNTBLANK(Master_Reference[[#This Row],[Lutron 3000K 3W Part Number]:[Lutron 4000K 3W Part Number]])=3,FALSE,TRUE)</f>
        <v>1</v>
      </c>
      <c r="V32" s="12"/>
      <c r="W32" s="12"/>
      <c r="X32" s="12"/>
      <c r="Y32" t="s">
        <v>2125</v>
      </c>
      <c r="Z32" s="12" t="s">
        <v>134</v>
      </c>
      <c r="AA32" s="12" t="s">
        <v>135</v>
      </c>
      <c r="AB32" s="12" t="s">
        <v>136</v>
      </c>
      <c r="AC32" t="s">
        <v>1805</v>
      </c>
      <c r="AD32" t="str">
        <f>SUBSTITUTE(Master_Reference[[#This Row],[C-Flex 4000K Eco Part Number]],"40-","xx-")</f>
        <v/>
      </c>
      <c r="AE32" t="str">
        <f>SUBSTITUTE(Master_Reference[[#This Row],[C-Flex 4000K 3W Part Number]],"40-","xx-")</f>
        <v>RP-T5-3FT-1L-8xx-3W-M-G2</v>
      </c>
      <c r="AF32" s="1" t="str">
        <f>_xlfn.IFNA(VLOOKUP(Master_Reference[[#This Row],[C-Flex 3000K Eco Part Number]],Lutron_CFlex_Lookup[],MATCH("Lutron Kit PN",Lutron_CFlex_Lookup[#Headers],0),FALSE),"")</f>
        <v/>
      </c>
      <c r="AG32" s="1" t="str">
        <f>_xlfn.IFNA(VLOOKUP(Master_Reference[[#This Row],[C-Flex 3500K Eco Part Number]],Lutron_CFlex_Lookup[],MATCH("Lutron Kit PN",Lutron_CFlex_Lookup[#Headers],0),FALSE),"")</f>
        <v/>
      </c>
      <c r="AH32" s="1" t="str">
        <f>_xlfn.IFNA(VLOOKUP(Master_Reference[[#This Row],[C-Flex 4000K Eco Part Number]],Lutron_CFlex_Lookup[],MATCH("Lutron Kit PN",Lutron_CFlex_Lookup[#Headers],0),FALSE),"")</f>
        <v/>
      </c>
      <c r="AI32" s="1" t="str">
        <f>_xlfn.IFNA(VLOOKUP(Master_Reference[[#This Row],[C-Flex 5000K Eco Part Number]],Lutron_CFlex_Lookup[],MATCH("Lutron Kit PN",Lutron_CFlex_Lookup[#Headers],0),FALSE),"")</f>
        <v/>
      </c>
      <c r="AJ32" s="1" t="str">
        <f>_xlfn.IFNA(VLOOKUP(Master_Reference[[#This Row],[C-Flex 3000K 3W Part Number]],Lutron_CFlex_Lookup[],MATCH("Lutron Kit PN",Lutron_CFlex_Lookup[#Headers],0),FALSE),"")</f>
        <v>3LD3T5-1M30-q</v>
      </c>
      <c r="AK32" s="1" t="str">
        <f>_xlfn.IFNA(VLOOKUP(Master_Reference[[#This Row],[C-Flex 3500K 3W Part Number]],Lutron_CFlex_Lookup[],MATCH("Lutron Kit PN",Lutron_CFlex_Lookup[#Headers],0),FALSE),"")</f>
        <v>3LD3T5-1M35-q</v>
      </c>
      <c r="AL32" s="1" t="str">
        <f>_xlfn.IFNA(VLOOKUP(Master_Reference[[#This Row],[C-Flex 4000K 3W Part Number]],Lutron_CFlex_Lookup[],MATCH("Lutron Kit PN",Lutron_CFlex_Lookup[#Headers],0),FALSE),"")</f>
        <v>3LD3T5-1M40-q</v>
      </c>
      <c r="AM32" s="1" t="str">
        <f>_xlfn.IFNA(VLOOKUP(Master_Reference[[#This Row],[C-Flex 5000K 3W Part Number]],Lutron_CFlex_Lookup[],MATCH("Lutron Kit PN",Lutron_CFlex_Lookup[#Headers],0),FALSE),"")</f>
        <v>3LD3T5-1M50-q</v>
      </c>
      <c r="AN32" s="1" t="b">
        <f>NOT(ISNA(VLOOKUP(Master_Reference[[#This Row],[Model Number]],ObsoleteModels[],1,FALSE)))</f>
        <v>1</v>
      </c>
      <c r="AO32" s="1" t="str">
        <f>IF(LEFT(Master_Reference[[#This Row],[Model Number]],1)="U",LEFT(Master_Reference[[#This Row],[Model Number]],4),LEFT(Master_Reference[[#This Row],[Model Number]],3))</f>
        <v>E3T</v>
      </c>
    </row>
    <row r="33" spans="1:41" x14ac:dyDescent="0.25">
      <c r="A33" s="2" t="s">
        <v>137</v>
      </c>
      <c r="B33" s="1"/>
      <c r="C33" s="1" t="b">
        <v>1</v>
      </c>
      <c r="G33" s="1" t="str">
        <f>IF(OR(LEFT(RIGHT(Master_Reference[[#This Row],[Model Number]],3),1)="C",LEFT(RIGHT(Master_Reference[[#This Row],[Model Number]],4),1)="C"),TRUE,"")</f>
        <v/>
      </c>
      <c r="H33" s="1" t="str">
        <f>IF(LEFT(Master_Reference[[#This Row],[Model Number]],1)="U",TRUE,"")</f>
        <v/>
      </c>
      <c r="I33" s="1" t="b">
        <f>IF(Master_Reference[[#This Row],[Lamp Type]]="T4","",IF(Master_Reference[[#This Row],[Case Type]]="M","",TRUE))</f>
        <v>1</v>
      </c>
      <c r="J33" s="1" t="s">
        <v>123</v>
      </c>
      <c r="K33" s="1">
        <v>21</v>
      </c>
      <c r="L33" s="1" t="s">
        <v>115</v>
      </c>
      <c r="M33" s="1">
        <v>2</v>
      </c>
      <c r="N33" s="1">
        <v>120</v>
      </c>
      <c r="O33" s="1" t="s">
        <v>113</v>
      </c>
      <c r="R33" t="b">
        <f>IF(COUNTBLANK(Master_Reference[[#This Row],[C-Flex 3000K Eco Part Number]:[C-Flex 4000K Eco Part Number]])=3,FALSE,TRUE)</f>
        <v>0</v>
      </c>
      <c r="S33" t="b">
        <f>IF(COUNTBLANK(Master_Reference[[#This Row],[C-Flex 3000K 3W Part Number]:[C-Flex 4000K 3W Part Number]])=3,FALSE,TRUE)</f>
        <v>1</v>
      </c>
      <c r="T33" t="b">
        <f>IF(COUNTBLANK(Master_Reference[[#This Row],[Lutron 3000K Eco Part Number]:[Lutron 4000K Eco Part Number]])=3,FALSE,TRUE)</f>
        <v>0</v>
      </c>
      <c r="U33" t="b">
        <f>IF(COUNTBLANK(Master_Reference[[#This Row],[Lutron 3000K 3W Part Number]:[Lutron 4000K 3W Part Number]])=3,FALSE,TRUE)</f>
        <v>1</v>
      </c>
      <c r="V33" s="12"/>
      <c r="W33" s="12"/>
      <c r="X33" s="12"/>
      <c r="Y33" t="s">
        <v>2125</v>
      </c>
      <c r="Z33" s="12" t="s">
        <v>138</v>
      </c>
      <c r="AA33" s="12" t="s">
        <v>139</v>
      </c>
      <c r="AB33" s="12" t="s">
        <v>140</v>
      </c>
      <c r="AC33" t="s">
        <v>1806</v>
      </c>
      <c r="AD33" t="str">
        <f>SUBSTITUTE(Master_Reference[[#This Row],[C-Flex 4000K Eco Part Number]],"40-","xx-")</f>
        <v/>
      </c>
      <c r="AE33" t="str">
        <f>SUBSTITUTE(Master_Reference[[#This Row],[C-Flex 4000K 3W Part Number]],"40-","xx-")</f>
        <v>RP-T5-3FT-2L-8xx-3W-M-G2</v>
      </c>
      <c r="AF33" s="1" t="str">
        <f>_xlfn.IFNA(VLOOKUP(Master_Reference[[#This Row],[C-Flex 3000K Eco Part Number]],Lutron_CFlex_Lookup[],MATCH("Lutron Kit PN",Lutron_CFlex_Lookup[#Headers],0),FALSE),"")</f>
        <v/>
      </c>
      <c r="AG33" s="1" t="str">
        <f>_xlfn.IFNA(VLOOKUP(Master_Reference[[#This Row],[C-Flex 3500K Eco Part Number]],Lutron_CFlex_Lookup[],MATCH("Lutron Kit PN",Lutron_CFlex_Lookup[#Headers],0),FALSE),"")</f>
        <v/>
      </c>
      <c r="AH33" s="1" t="str">
        <f>_xlfn.IFNA(VLOOKUP(Master_Reference[[#This Row],[C-Flex 4000K Eco Part Number]],Lutron_CFlex_Lookup[],MATCH("Lutron Kit PN",Lutron_CFlex_Lookup[#Headers],0),FALSE),"")</f>
        <v/>
      </c>
      <c r="AI33" s="1" t="str">
        <f>_xlfn.IFNA(VLOOKUP(Master_Reference[[#This Row],[C-Flex 5000K Eco Part Number]],Lutron_CFlex_Lookup[],MATCH("Lutron Kit PN",Lutron_CFlex_Lookup[#Headers],0),FALSE),"")</f>
        <v/>
      </c>
      <c r="AJ33" s="1" t="str">
        <f>_xlfn.IFNA(VLOOKUP(Master_Reference[[#This Row],[C-Flex 3000K 3W Part Number]],Lutron_CFlex_Lookup[],MATCH("Lutron Kit PN",Lutron_CFlex_Lookup[#Headers],0),FALSE),"")</f>
        <v>3LD3T5-2M30-q</v>
      </c>
      <c r="AK33" s="1" t="str">
        <f>_xlfn.IFNA(VLOOKUP(Master_Reference[[#This Row],[C-Flex 3500K 3W Part Number]],Lutron_CFlex_Lookup[],MATCH("Lutron Kit PN",Lutron_CFlex_Lookup[#Headers],0),FALSE),"")</f>
        <v>3LD3T5-2M35-q</v>
      </c>
      <c r="AL33" s="1" t="str">
        <f>_xlfn.IFNA(VLOOKUP(Master_Reference[[#This Row],[C-Flex 4000K 3W Part Number]],Lutron_CFlex_Lookup[],MATCH("Lutron Kit PN",Lutron_CFlex_Lookup[#Headers],0),FALSE),"")</f>
        <v>3LD3T5-2M40-q</v>
      </c>
      <c r="AM33" s="1" t="str">
        <f>_xlfn.IFNA(VLOOKUP(Master_Reference[[#This Row],[C-Flex 5000K 3W Part Number]],Lutron_CFlex_Lookup[],MATCH("Lutron Kit PN",Lutron_CFlex_Lookup[#Headers],0),FALSE),"")</f>
        <v>3LD3T5-2M50-q</v>
      </c>
      <c r="AN33" s="1" t="b">
        <f>NOT(ISNA(VLOOKUP(Master_Reference[[#This Row],[Model Number]],ObsoleteModels[],1,FALSE)))</f>
        <v>1</v>
      </c>
      <c r="AO33" s="1" t="str">
        <f>IF(LEFT(Master_Reference[[#This Row],[Model Number]],1)="U",LEFT(Master_Reference[[#This Row],[Model Number]],4),LEFT(Master_Reference[[#This Row],[Model Number]],3))</f>
        <v>E3T</v>
      </c>
    </row>
    <row r="34" spans="1:41" x14ac:dyDescent="0.25">
      <c r="A34" s="2" t="s">
        <v>141</v>
      </c>
      <c r="B34" s="1"/>
      <c r="C34" s="1" t="b">
        <v>1</v>
      </c>
      <c r="G34" s="1" t="str">
        <f>IF(OR(LEFT(RIGHT(Master_Reference[[#This Row],[Model Number]],3),1)="C",LEFT(RIGHT(Master_Reference[[#This Row],[Model Number]],4),1)="C"),TRUE,"")</f>
        <v/>
      </c>
      <c r="H34" s="1" t="str">
        <f>IF(LEFT(Master_Reference[[#This Row],[Model Number]],1)="U",TRUE,"")</f>
        <v/>
      </c>
      <c r="I34" s="1" t="b">
        <f>IF(Master_Reference[[#This Row],[Lamp Type]]="T4","",IF(Master_Reference[[#This Row],[Case Type]]="M","",TRUE))</f>
        <v>1</v>
      </c>
      <c r="J34" s="1" t="s">
        <v>123</v>
      </c>
      <c r="K34" s="1">
        <v>21</v>
      </c>
      <c r="L34" s="1" t="s">
        <v>115</v>
      </c>
      <c r="M34" s="1">
        <v>1</v>
      </c>
      <c r="N34" s="1">
        <v>277</v>
      </c>
      <c r="O34" s="1" t="s">
        <v>113</v>
      </c>
      <c r="R34" t="b">
        <f>IF(COUNTBLANK(Master_Reference[[#This Row],[C-Flex 3000K Eco Part Number]:[C-Flex 4000K Eco Part Number]])=3,FALSE,TRUE)</f>
        <v>0</v>
      </c>
      <c r="S34" t="b">
        <f>IF(COUNTBLANK(Master_Reference[[#This Row],[C-Flex 3000K 3W Part Number]:[C-Flex 4000K 3W Part Number]])=3,FALSE,TRUE)</f>
        <v>1</v>
      </c>
      <c r="T34" t="b">
        <f>IF(COUNTBLANK(Master_Reference[[#This Row],[Lutron 3000K Eco Part Number]:[Lutron 4000K Eco Part Number]])=3,FALSE,TRUE)</f>
        <v>0</v>
      </c>
      <c r="U34" t="b">
        <f>IF(COUNTBLANK(Master_Reference[[#This Row],[Lutron 3000K 3W Part Number]:[Lutron 4000K 3W Part Number]])=3,FALSE,TRUE)</f>
        <v>1</v>
      </c>
      <c r="V34" s="12"/>
      <c r="W34" s="12"/>
      <c r="X34" s="12"/>
      <c r="Y34" t="s">
        <v>2125</v>
      </c>
      <c r="Z34" s="12" t="s">
        <v>134</v>
      </c>
      <c r="AA34" s="12" t="s">
        <v>135</v>
      </c>
      <c r="AB34" s="12" t="s">
        <v>136</v>
      </c>
      <c r="AC34" t="s">
        <v>1805</v>
      </c>
      <c r="AD34" t="str">
        <f>SUBSTITUTE(Master_Reference[[#This Row],[C-Flex 4000K Eco Part Number]],"40-","xx-")</f>
        <v/>
      </c>
      <c r="AE34" t="str">
        <f>SUBSTITUTE(Master_Reference[[#This Row],[C-Flex 4000K 3W Part Number]],"40-","xx-")</f>
        <v>RP-T5-3FT-1L-8xx-3W-M-G2</v>
      </c>
      <c r="AF34" s="1" t="str">
        <f>_xlfn.IFNA(VLOOKUP(Master_Reference[[#This Row],[C-Flex 3000K Eco Part Number]],Lutron_CFlex_Lookup[],MATCH("Lutron Kit PN",Lutron_CFlex_Lookup[#Headers],0),FALSE),"")</f>
        <v/>
      </c>
      <c r="AG34" s="1" t="str">
        <f>_xlfn.IFNA(VLOOKUP(Master_Reference[[#This Row],[C-Flex 3500K Eco Part Number]],Lutron_CFlex_Lookup[],MATCH("Lutron Kit PN",Lutron_CFlex_Lookup[#Headers],0),FALSE),"")</f>
        <v/>
      </c>
      <c r="AH34" s="1" t="str">
        <f>_xlfn.IFNA(VLOOKUP(Master_Reference[[#This Row],[C-Flex 4000K Eco Part Number]],Lutron_CFlex_Lookup[],MATCH("Lutron Kit PN",Lutron_CFlex_Lookup[#Headers],0),FALSE),"")</f>
        <v/>
      </c>
      <c r="AI34" s="1" t="str">
        <f>_xlfn.IFNA(VLOOKUP(Master_Reference[[#This Row],[C-Flex 5000K Eco Part Number]],Lutron_CFlex_Lookup[],MATCH("Lutron Kit PN",Lutron_CFlex_Lookup[#Headers],0),FALSE),"")</f>
        <v/>
      </c>
      <c r="AJ34" s="1" t="str">
        <f>_xlfn.IFNA(VLOOKUP(Master_Reference[[#This Row],[C-Flex 3000K 3W Part Number]],Lutron_CFlex_Lookup[],MATCH("Lutron Kit PN",Lutron_CFlex_Lookup[#Headers],0),FALSE),"")</f>
        <v>3LD3T5-1M30-q</v>
      </c>
      <c r="AK34" s="1" t="str">
        <f>_xlfn.IFNA(VLOOKUP(Master_Reference[[#This Row],[C-Flex 3500K 3W Part Number]],Lutron_CFlex_Lookup[],MATCH("Lutron Kit PN",Lutron_CFlex_Lookup[#Headers],0),FALSE),"")</f>
        <v>3LD3T5-1M35-q</v>
      </c>
      <c r="AL34" s="1" t="str">
        <f>_xlfn.IFNA(VLOOKUP(Master_Reference[[#This Row],[C-Flex 4000K 3W Part Number]],Lutron_CFlex_Lookup[],MATCH("Lutron Kit PN",Lutron_CFlex_Lookup[#Headers],0),FALSE),"")</f>
        <v>3LD3T5-1M40-q</v>
      </c>
      <c r="AM34" s="1" t="str">
        <f>_xlfn.IFNA(VLOOKUP(Master_Reference[[#This Row],[C-Flex 5000K 3W Part Number]],Lutron_CFlex_Lookup[],MATCH("Lutron Kit PN",Lutron_CFlex_Lookup[#Headers],0),FALSE),"")</f>
        <v>3LD3T5-1M50-q</v>
      </c>
      <c r="AN34" s="1" t="b">
        <f>NOT(ISNA(VLOOKUP(Master_Reference[[#This Row],[Model Number]],ObsoleteModels[],1,FALSE)))</f>
        <v>1</v>
      </c>
      <c r="AO34" s="1" t="str">
        <f>IF(LEFT(Master_Reference[[#This Row],[Model Number]],1)="U",LEFT(Master_Reference[[#This Row],[Model Number]],4),LEFT(Master_Reference[[#This Row],[Model Number]],3))</f>
        <v>E3T</v>
      </c>
    </row>
    <row r="35" spans="1:41" x14ac:dyDescent="0.25">
      <c r="A35" s="2" t="s">
        <v>142</v>
      </c>
      <c r="B35" s="1"/>
      <c r="C35" s="1" t="b">
        <v>1</v>
      </c>
      <c r="G35" s="1" t="str">
        <f>IF(OR(LEFT(RIGHT(Master_Reference[[#This Row],[Model Number]],3),1)="C",LEFT(RIGHT(Master_Reference[[#This Row],[Model Number]],4),1)="C"),TRUE,"")</f>
        <v/>
      </c>
      <c r="H35" s="1" t="str">
        <f>IF(LEFT(Master_Reference[[#This Row],[Model Number]],1)="U",TRUE,"")</f>
        <v/>
      </c>
      <c r="I35" s="1" t="b">
        <f>IF(Master_Reference[[#This Row],[Lamp Type]]="T4","",IF(Master_Reference[[#This Row],[Case Type]]="M","",TRUE))</f>
        <v>1</v>
      </c>
      <c r="J35" s="1" t="s">
        <v>123</v>
      </c>
      <c r="K35" s="1">
        <v>21</v>
      </c>
      <c r="L35" s="1" t="s">
        <v>115</v>
      </c>
      <c r="M35" s="1">
        <v>2</v>
      </c>
      <c r="N35" s="1">
        <v>277</v>
      </c>
      <c r="O35" s="1" t="s">
        <v>113</v>
      </c>
      <c r="R35" t="b">
        <f>IF(COUNTBLANK(Master_Reference[[#This Row],[C-Flex 3000K Eco Part Number]:[C-Flex 4000K Eco Part Number]])=3,FALSE,TRUE)</f>
        <v>0</v>
      </c>
      <c r="S35" t="b">
        <f>IF(COUNTBLANK(Master_Reference[[#This Row],[C-Flex 3000K 3W Part Number]:[C-Flex 4000K 3W Part Number]])=3,FALSE,TRUE)</f>
        <v>1</v>
      </c>
      <c r="T35" t="b">
        <f>IF(COUNTBLANK(Master_Reference[[#This Row],[Lutron 3000K Eco Part Number]:[Lutron 4000K Eco Part Number]])=3,FALSE,TRUE)</f>
        <v>0</v>
      </c>
      <c r="U35" t="b">
        <f>IF(COUNTBLANK(Master_Reference[[#This Row],[Lutron 3000K 3W Part Number]:[Lutron 4000K 3W Part Number]])=3,FALSE,TRUE)</f>
        <v>1</v>
      </c>
      <c r="V35" s="12"/>
      <c r="W35" s="12"/>
      <c r="X35" s="12"/>
      <c r="Y35" t="s">
        <v>2125</v>
      </c>
      <c r="Z35" s="12" t="s">
        <v>138</v>
      </c>
      <c r="AA35" s="12" t="s">
        <v>139</v>
      </c>
      <c r="AB35" s="12" t="s">
        <v>140</v>
      </c>
      <c r="AC35" t="s">
        <v>1806</v>
      </c>
      <c r="AD35" t="str">
        <f>SUBSTITUTE(Master_Reference[[#This Row],[C-Flex 4000K Eco Part Number]],"40-","xx-")</f>
        <v/>
      </c>
      <c r="AE35" t="str">
        <f>SUBSTITUTE(Master_Reference[[#This Row],[C-Flex 4000K 3W Part Number]],"40-","xx-")</f>
        <v>RP-T5-3FT-2L-8xx-3W-M-G2</v>
      </c>
      <c r="AF35" s="1" t="str">
        <f>_xlfn.IFNA(VLOOKUP(Master_Reference[[#This Row],[C-Flex 3000K Eco Part Number]],Lutron_CFlex_Lookup[],MATCH("Lutron Kit PN",Lutron_CFlex_Lookup[#Headers],0),FALSE),"")</f>
        <v/>
      </c>
      <c r="AG35" s="1" t="str">
        <f>_xlfn.IFNA(VLOOKUP(Master_Reference[[#This Row],[C-Flex 3500K Eco Part Number]],Lutron_CFlex_Lookup[],MATCH("Lutron Kit PN",Lutron_CFlex_Lookup[#Headers],0),FALSE),"")</f>
        <v/>
      </c>
      <c r="AH35" s="1" t="str">
        <f>_xlfn.IFNA(VLOOKUP(Master_Reference[[#This Row],[C-Flex 4000K Eco Part Number]],Lutron_CFlex_Lookup[],MATCH("Lutron Kit PN",Lutron_CFlex_Lookup[#Headers],0),FALSE),"")</f>
        <v/>
      </c>
      <c r="AI35" s="1" t="str">
        <f>_xlfn.IFNA(VLOOKUP(Master_Reference[[#This Row],[C-Flex 5000K Eco Part Number]],Lutron_CFlex_Lookup[],MATCH("Lutron Kit PN",Lutron_CFlex_Lookup[#Headers],0),FALSE),"")</f>
        <v/>
      </c>
      <c r="AJ35" s="1" t="str">
        <f>_xlfn.IFNA(VLOOKUP(Master_Reference[[#This Row],[C-Flex 3000K 3W Part Number]],Lutron_CFlex_Lookup[],MATCH("Lutron Kit PN",Lutron_CFlex_Lookup[#Headers],0),FALSE),"")</f>
        <v>3LD3T5-2M30-q</v>
      </c>
      <c r="AK35" s="1" t="str">
        <f>_xlfn.IFNA(VLOOKUP(Master_Reference[[#This Row],[C-Flex 3500K 3W Part Number]],Lutron_CFlex_Lookup[],MATCH("Lutron Kit PN",Lutron_CFlex_Lookup[#Headers],0),FALSE),"")</f>
        <v>3LD3T5-2M35-q</v>
      </c>
      <c r="AL35" s="1" t="str">
        <f>_xlfn.IFNA(VLOOKUP(Master_Reference[[#This Row],[C-Flex 4000K 3W Part Number]],Lutron_CFlex_Lookup[],MATCH("Lutron Kit PN",Lutron_CFlex_Lookup[#Headers],0),FALSE),"")</f>
        <v>3LD3T5-2M40-q</v>
      </c>
      <c r="AM35" s="1" t="str">
        <f>_xlfn.IFNA(VLOOKUP(Master_Reference[[#This Row],[C-Flex 5000K 3W Part Number]],Lutron_CFlex_Lookup[],MATCH("Lutron Kit PN",Lutron_CFlex_Lookup[#Headers],0),FALSE),"")</f>
        <v>3LD3T5-2M50-q</v>
      </c>
      <c r="AN35" s="1" t="b">
        <f>NOT(ISNA(VLOOKUP(Master_Reference[[#This Row],[Model Number]],ObsoleteModels[],1,FALSE)))</f>
        <v>1</v>
      </c>
      <c r="AO35" s="1" t="str">
        <f>IF(LEFT(Master_Reference[[#This Row],[Model Number]],1)="U",LEFT(Master_Reference[[#This Row],[Model Number]],4),LEFT(Master_Reference[[#This Row],[Model Number]],3))</f>
        <v>E3T</v>
      </c>
    </row>
    <row r="36" spans="1:41" x14ac:dyDescent="0.25">
      <c r="A36" s="2" t="s">
        <v>143</v>
      </c>
      <c r="B36" s="1"/>
      <c r="C36" s="1" t="b">
        <v>1</v>
      </c>
      <c r="G36" s="1" t="str">
        <f>IF(OR(LEFT(RIGHT(Master_Reference[[#This Row],[Model Number]],3),1)="C",LEFT(RIGHT(Master_Reference[[#This Row],[Model Number]],4),1)="C"),TRUE,"")</f>
        <v/>
      </c>
      <c r="H36" s="1" t="str">
        <f>IF(LEFT(Master_Reference[[#This Row],[Model Number]],1)="U",TRUE,"")</f>
        <v/>
      </c>
      <c r="I36" s="1" t="b">
        <f>IF(Master_Reference[[#This Row],[Lamp Type]]="T4","",IF(Master_Reference[[#This Row],[Case Type]]="M","",TRUE))</f>
        <v>1</v>
      </c>
      <c r="J36" s="1" t="s">
        <v>111</v>
      </c>
      <c r="K36" s="1">
        <v>32</v>
      </c>
      <c r="L36" s="1" t="s">
        <v>118</v>
      </c>
      <c r="M36" s="1">
        <v>2</v>
      </c>
      <c r="N36" s="1">
        <v>277</v>
      </c>
      <c r="O36" s="1" t="s">
        <v>144</v>
      </c>
      <c r="R36" t="b">
        <f>IF(COUNTBLANK(Master_Reference[[#This Row],[C-Flex 3000K Eco Part Number]:[C-Flex 4000K Eco Part Number]])=3,FALSE,TRUE)</f>
        <v>0</v>
      </c>
      <c r="S36" t="b">
        <f>IF(COUNTBLANK(Master_Reference[[#This Row],[C-Flex 3000K 3W Part Number]:[C-Flex 4000K 3W Part Number]])=3,FALSE,TRUE)</f>
        <v>1</v>
      </c>
      <c r="T36" s="1" t="b">
        <f>IF(COUNTBLANK(Master_Reference[[#This Row],[Lutron 3000K Eco Part Number]:[Lutron 4000K Eco Part Number]])=3,FALSE,TRUE)</f>
        <v>0</v>
      </c>
      <c r="U36" s="1" t="b">
        <f>IF(COUNTBLANK(Master_Reference[[#This Row],[Lutron 3000K 3W Part Number]:[Lutron 4000K 3W Part Number]])=3,FALSE,TRUE)</f>
        <v>1</v>
      </c>
      <c r="V36" s="13"/>
      <c r="W36" s="13"/>
      <c r="X36" s="12"/>
      <c r="Y36" t="s">
        <v>2125</v>
      </c>
      <c r="Z36" s="12" t="s">
        <v>145</v>
      </c>
      <c r="AA36" s="12" t="s">
        <v>146</v>
      </c>
      <c r="AB36" s="12" t="s">
        <v>147</v>
      </c>
      <c r="AC36" t="s">
        <v>1830</v>
      </c>
      <c r="AD36" t="str">
        <f>SUBSTITUTE(Master_Reference[[#This Row],[C-Flex 4000K Eco Part Number]],"40-","xx-")</f>
        <v/>
      </c>
      <c r="AE36" t="str">
        <f>SUBSTITUTE(Master_Reference[[#This Row],[C-Flex 4000K 3W Part Number]],"40-","xx-")</f>
        <v>RP-T8-4FT-2L-8xx-3W-M-G2</v>
      </c>
      <c r="AF36" s="1" t="str">
        <f>_xlfn.IFNA(VLOOKUP(Master_Reference[[#This Row],[C-Flex 3000K Eco Part Number]],Lutron_CFlex_Lookup[],MATCH("Lutron Kit PN",Lutron_CFlex_Lookup[#Headers],0),FALSE),"")</f>
        <v/>
      </c>
      <c r="AG36" s="1" t="str">
        <f>_xlfn.IFNA(VLOOKUP(Master_Reference[[#This Row],[C-Flex 3500K Eco Part Number]],Lutron_CFlex_Lookup[],MATCH("Lutron Kit PN",Lutron_CFlex_Lookup[#Headers],0),FALSE),"")</f>
        <v/>
      </c>
      <c r="AH36" s="1" t="str">
        <f>_xlfn.IFNA(VLOOKUP(Master_Reference[[#This Row],[C-Flex 4000K Eco Part Number]],Lutron_CFlex_Lookup[],MATCH("Lutron Kit PN",Lutron_CFlex_Lookup[#Headers],0),FALSE),"")</f>
        <v/>
      </c>
      <c r="AI36" s="1" t="str">
        <f>_xlfn.IFNA(VLOOKUP(Master_Reference[[#This Row],[C-Flex 5000K Eco Part Number]],Lutron_CFlex_Lookup[],MATCH("Lutron Kit PN",Lutron_CFlex_Lookup[#Headers],0),FALSE),"")</f>
        <v/>
      </c>
      <c r="AJ36" s="1" t="str">
        <f>_xlfn.IFNA(VLOOKUP(Master_Reference[[#This Row],[C-Flex 3000K 3W Part Number]],Lutron_CFlex_Lookup[],MATCH("Lutron Kit PN",Lutron_CFlex_Lookup[#Headers],0),FALSE),"")</f>
        <v>3LD4T8-2M30-q</v>
      </c>
      <c r="AK36" s="1" t="str">
        <f>_xlfn.IFNA(VLOOKUP(Master_Reference[[#This Row],[C-Flex 3500K 3W Part Number]],Lutron_CFlex_Lookup[],MATCH("Lutron Kit PN",Lutron_CFlex_Lookup[#Headers],0),FALSE),"")</f>
        <v>3LD4T8-2M35-q</v>
      </c>
      <c r="AL36" s="1" t="str">
        <f>_xlfn.IFNA(VLOOKUP(Master_Reference[[#This Row],[C-Flex 4000K 3W Part Number]],Lutron_CFlex_Lookup[],MATCH("Lutron Kit PN",Lutron_CFlex_Lookup[#Headers],0),FALSE),"")</f>
        <v>3LD4T8-2M40-q</v>
      </c>
      <c r="AM36" s="1" t="str">
        <f>_xlfn.IFNA(VLOOKUP(Master_Reference[[#This Row],[C-Flex 5000K 3W Part Number]],Lutron_CFlex_Lookup[],MATCH("Lutron Kit PN",Lutron_CFlex_Lookup[#Headers],0),FALSE),"")</f>
        <v>3LD4T8-2M50-q</v>
      </c>
      <c r="AN36" s="1" t="b">
        <f>NOT(ISNA(VLOOKUP(Master_Reference[[#This Row],[Model Number]],ObsoleteModels[],1,FALSE)))</f>
        <v>1</v>
      </c>
      <c r="AO36" s="1" t="str">
        <f>IF(LEFT(Master_Reference[[#This Row],[Model Number]],1)="U",LEFT(Master_Reference[[#This Row],[Model Number]],4),LEFT(Master_Reference[[#This Row],[Model Number]],3))</f>
        <v>E3T</v>
      </c>
    </row>
    <row r="37" spans="1:41" x14ac:dyDescent="0.25">
      <c r="A37" s="2" t="s">
        <v>148</v>
      </c>
      <c r="B37" s="1" t="b">
        <v>1</v>
      </c>
      <c r="C37" s="1" t="b">
        <v>1</v>
      </c>
      <c r="G37" s="1" t="str">
        <f>IF(OR(LEFT(RIGHT(Master_Reference[[#This Row],[Model Number]],3),1)="C",LEFT(RIGHT(Master_Reference[[#This Row],[Model Number]],4),1)="C"),TRUE,"")</f>
        <v/>
      </c>
      <c r="H37" s="1" t="str">
        <f>IF(LEFT(Master_Reference[[#This Row],[Model Number]],1)="U",TRUE,"")</f>
        <v/>
      </c>
      <c r="I37" s="1" t="str">
        <f>IF(Master_Reference[[#This Row],[Lamp Type]]="T4","",IF(Master_Reference[[#This Row],[Case Type]]="M","",TRUE))</f>
        <v/>
      </c>
      <c r="J37" s="1" t="str">
        <f t="shared" ref="J37:J63" si="0">RIGHT(LEFT(A37,6),2)</f>
        <v>T4</v>
      </c>
      <c r="K37" s="1">
        <v>18</v>
      </c>
      <c r="L37" s="1" t="s">
        <v>88</v>
      </c>
      <c r="M37" s="1">
        <v>1</v>
      </c>
      <c r="N37" s="1" t="s">
        <v>149</v>
      </c>
      <c r="O37" s="1" t="s">
        <v>150</v>
      </c>
      <c r="R37" t="b">
        <f>IF(COUNTBLANK(Master_Reference[[#This Row],[C-Flex 3000K Eco Part Number]:[C-Flex 4000K Eco Part Number]])=3,FALSE,TRUE)</f>
        <v>1</v>
      </c>
      <c r="S37" t="b">
        <f>IF(COUNTBLANK(Master_Reference[[#This Row],[C-Flex 3000K 3W Part Number]:[C-Flex 4000K 3W Part Number]])=3,FALSE,TRUE)</f>
        <v>1</v>
      </c>
      <c r="T37" t="b">
        <f>IF(COUNTBLANK(Master_Reference[[#This Row],[Lutron 3000K Eco Part Number]:[Lutron 4000K Eco Part Number]])=3,FALSE,TRUE)</f>
        <v>0</v>
      </c>
      <c r="U37" t="b">
        <f>IF(COUNTBLANK(Master_Reference[[#This Row],[Lutron 3000K 3W Part Number]:[Lutron 4000K 3W Part Number]])=3,FALSE,TRUE)</f>
        <v>0</v>
      </c>
      <c r="V37" s="12" t="s">
        <v>151</v>
      </c>
      <c r="W37" s="12" t="s">
        <v>152</v>
      </c>
      <c r="X37" s="12" t="s">
        <v>153</v>
      </c>
      <c r="Y37" t="s">
        <v>2125</v>
      </c>
      <c r="Z37" s="12" t="s">
        <v>154</v>
      </c>
      <c r="AA37" s="12" t="s">
        <v>155</v>
      </c>
      <c r="AB37" s="12" t="s">
        <v>156</v>
      </c>
      <c r="AC37" t="s">
        <v>2125</v>
      </c>
      <c r="AD37" t="str">
        <f>SUBSTITUTE(Master_Reference[[#This Row],[C-Flex 4000K Eco Part Number]],"40-","xx-")</f>
        <v>RP-G24Q-126m-1L-8xx-E1-KN-G2</v>
      </c>
      <c r="AE37" t="str">
        <f>SUBSTITUTE(Master_Reference[[#This Row],[C-Flex 4000K 3W Part Number]],"40-","xx-")</f>
        <v>RP-G24Q-126m-1L-8xx-3W-KN-G2</v>
      </c>
      <c r="AF37" s="1" t="str">
        <f>_xlfn.IFNA(VLOOKUP(Master_Reference[[#This Row],[C-Flex 3000K Eco Part Number]],Lutron_CFlex_Lookup[],MATCH("Lutron Kit PN",Lutron_CFlex_Lookup[#Headers],0),FALSE),"")</f>
        <v/>
      </c>
      <c r="AG37" s="1" t="str">
        <f>_xlfn.IFNA(VLOOKUP(Master_Reference[[#This Row],[C-Flex 3500K Eco Part Number]],Lutron_CFlex_Lookup[],MATCH("Lutron Kit PN",Lutron_CFlex_Lookup[#Headers],0),FALSE),"")</f>
        <v/>
      </c>
      <c r="AH37" s="1" t="str">
        <f>_xlfn.IFNA(VLOOKUP(Master_Reference[[#This Row],[C-Flex 4000K Eco Part Number]],Lutron_CFlex_Lookup[],MATCH("Lutron Kit PN",Lutron_CFlex_Lookup[#Headers],0),FALSE),"")</f>
        <v/>
      </c>
      <c r="AI37" s="1" t="str">
        <f>_xlfn.IFNA(VLOOKUP(Master_Reference[[#This Row],[C-Flex 5000K Eco Part Number]],Lutron_CFlex_Lookup[],MATCH("Lutron Kit PN",Lutron_CFlex_Lookup[#Headers],0),FALSE),"")</f>
        <v/>
      </c>
      <c r="AJ37" s="1" t="str">
        <f>_xlfn.IFNA(VLOOKUP(Master_Reference[[#This Row],[C-Flex 3000K 3W Part Number]],Lutron_CFlex_Lookup[],MATCH("Lutron Kit PN",Lutron_CFlex_Lookup[#Headers],0),FALSE),"")</f>
        <v/>
      </c>
      <c r="AK37" s="1" t="str">
        <f>_xlfn.IFNA(VLOOKUP(Master_Reference[[#This Row],[C-Flex 3500K 3W Part Number]],Lutron_CFlex_Lookup[],MATCH("Lutron Kit PN",Lutron_CFlex_Lookup[#Headers],0),FALSE),"")</f>
        <v/>
      </c>
      <c r="AL37" s="1" t="str">
        <f>_xlfn.IFNA(VLOOKUP(Master_Reference[[#This Row],[C-Flex 4000K 3W Part Number]],Lutron_CFlex_Lookup[],MATCH("Lutron Kit PN",Lutron_CFlex_Lookup[#Headers],0),FALSE),"")</f>
        <v/>
      </c>
      <c r="AM37" s="1" t="str">
        <f>_xlfn.IFNA(VLOOKUP(Master_Reference[[#This Row],[C-Flex 5000K 3W Part Number]],Lutron_CFlex_Lookup[],MATCH("Lutron Kit PN",Lutron_CFlex_Lookup[#Headers],0),FALSE),"")</f>
        <v/>
      </c>
      <c r="AN37" s="1" t="b">
        <f>NOT(ISNA(VLOOKUP(Master_Reference[[#This Row],[Model Number]],ObsoleteModels[],1,FALSE)))</f>
        <v>1</v>
      </c>
      <c r="AO37" s="1" t="str">
        <f>IF(LEFT(Master_Reference[[#This Row],[Model Number]],1)="U",LEFT(Master_Reference[[#This Row],[Model Number]],4),LEFT(Master_Reference[[#This Row],[Model Number]],3))</f>
        <v>EC3</v>
      </c>
    </row>
    <row r="38" spans="1:41" x14ac:dyDescent="0.25">
      <c r="A38" s="2" t="s">
        <v>157</v>
      </c>
      <c r="B38" s="1" t="b">
        <v>1</v>
      </c>
      <c r="C38" s="1" t="b">
        <v>1</v>
      </c>
      <c r="G38" s="1" t="str">
        <f>IF(OR(LEFT(RIGHT(Master_Reference[[#This Row],[Model Number]],3),1)="C",LEFT(RIGHT(Master_Reference[[#This Row],[Model Number]],4),1)="C"),TRUE,"")</f>
        <v/>
      </c>
      <c r="H38" s="1" t="str">
        <f>IF(LEFT(Master_Reference[[#This Row],[Model Number]],1)="U",TRUE,"")</f>
        <v/>
      </c>
      <c r="I38" s="1" t="str">
        <f>IF(Master_Reference[[#This Row],[Lamp Type]]="T4","",IF(Master_Reference[[#This Row],[Case Type]]="M","",TRUE))</f>
        <v/>
      </c>
      <c r="J38" s="1" t="str">
        <f t="shared" si="0"/>
        <v>T4</v>
      </c>
      <c r="K38" s="1">
        <v>18</v>
      </c>
      <c r="L38" s="1" t="s">
        <v>88</v>
      </c>
      <c r="M38" s="1">
        <v>1</v>
      </c>
      <c r="N38" s="1" t="s">
        <v>149</v>
      </c>
      <c r="O38" s="1" t="s">
        <v>150</v>
      </c>
      <c r="P38" s="1" t="b">
        <v>1</v>
      </c>
      <c r="R38" t="b">
        <f>IF(COUNTBLANK(Master_Reference[[#This Row],[C-Flex 3000K Eco Part Number]:[C-Flex 4000K Eco Part Number]])=3,FALSE,TRUE)</f>
        <v>1</v>
      </c>
      <c r="S38" t="b">
        <f>IF(COUNTBLANK(Master_Reference[[#This Row],[C-Flex 3000K 3W Part Number]:[C-Flex 4000K 3W Part Number]])=3,FALSE,TRUE)</f>
        <v>1</v>
      </c>
      <c r="T38" t="b">
        <f>IF(COUNTBLANK(Master_Reference[[#This Row],[Lutron 3000K Eco Part Number]:[Lutron 4000K Eco Part Number]])=3,FALSE,TRUE)</f>
        <v>0</v>
      </c>
      <c r="U38" t="b">
        <f>IF(COUNTBLANK(Master_Reference[[#This Row],[Lutron 3000K 3W Part Number]:[Lutron 4000K 3W Part Number]])=3,FALSE,TRUE)</f>
        <v>0</v>
      </c>
      <c r="V38" s="12" t="s">
        <v>158</v>
      </c>
      <c r="W38" s="12" t="s">
        <v>159</v>
      </c>
      <c r="X38" s="12" t="s">
        <v>160</v>
      </c>
      <c r="Y38" t="s">
        <v>2125</v>
      </c>
      <c r="Z38" s="12" t="s">
        <v>161</v>
      </c>
      <c r="AA38" s="12" t="s">
        <v>162</v>
      </c>
      <c r="AB38" s="12" t="s">
        <v>163</v>
      </c>
      <c r="AC38" t="s">
        <v>2125</v>
      </c>
      <c r="AD38" t="str">
        <f>SUBSTITUTE(Master_Reference[[#This Row],[C-Flex 4000K Eco Part Number]],"40-","xx-")</f>
        <v>RP-G24Q-126m-1L-8xx-E1-K-G2</v>
      </c>
      <c r="AE38" t="str">
        <f>SUBSTITUTE(Master_Reference[[#This Row],[C-Flex 4000K 3W Part Number]],"40-","xx-")</f>
        <v>RP-G24Q-126m-1L-8xx-3W-K-G2</v>
      </c>
      <c r="AF38" s="1" t="str">
        <f>_xlfn.IFNA(VLOOKUP(Master_Reference[[#This Row],[C-Flex 3000K Eco Part Number]],Lutron_CFlex_Lookup[],MATCH("Lutron Kit PN",Lutron_CFlex_Lookup[#Headers],0),FALSE),"")</f>
        <v/>
      </c>
      <c r="AG38" s="1" t="str">
        <f>_xlfn.IFNA(VLOOKUP(Master_Reference[[#This Row],[C-Flex 3500K Eco Part Number]],Lutron_CFlex_Lookup[],MATCH("Lutron Kit PN",Lutron_CFlex_Lookup[#Headers],0),FALSE),"")</f>
        <v/>
      </c>
      <c r="AH38" s="1" t="str">
        <f>_xlfn.IFNA(VLOOKUP(Master_Reference[[#This Row],[C-Flex 4000K Eco Part Number]],Lutron_CFlex_Lookup[],MATCH("Lutron Kit PN",Lutron_CFlex_Lookup[#Headers],0),FALSE),"")</f>
        <v/>
      </c>
      <c r="AI38" s="1" t="str">
        <f>_xlfn.IFNA(VLOOKUP(Master_Reference[[#This Row],[C-Flex 5000K Eco Part Number]],Lutron_CFlex_Lookup[],MATCH("Lutron Kit PN",Lutron_CFlex_Lookup[#Headers],0),FALSE),"")</f>
        <v/>
      </c>
      <c r="AJ38" s="1" t="str">
        <f>_xlfn.IFNA(VLOOKUP(Master_Reference[[#This Row],[C-Flex 3000K 3W Part Number]],Lutron_CFlex_Lookup[],MATCH("Lutron Kit PN",Lutron_CFlex_Lookup[#Headers],0),FALSE),"")</f>
        <v/>
      </c>
      <c r="AK38" s="1" t="str">
        <f>_xlfn.IFNA(VLOOKUP(Master_Reference[[#This Row],[C-Flex 3500K 3W Part Number]],Lutron_CFlex_Lookup[],MATCH("Lutron Kit PN",Lutron_CFlex_Lookup[#Headers],0),FALSE),"")</f>
        <v/>
      </c>
      <c r="AL38" s="1" t="str">
        <f>_xlfn.IFNA(VLOOKUP(Master_Reference[[#This Row],[C-Flex 4000K 3W Part Number]],Lutron_CFlex_Lookup[],MATCH("Lutron Kit PN",Lutron_CFlex_Lookup[#Headers],0),FALSE),"")</f>
        <v/>
      </c>
      <c r="AM38" s="1" t="str">
        <f>_xlfn.IFNA(VLOOKUP(Master_Reference[[#This Row],[C-Flex 5000K 3W Part Number]],Lutron_CFlex_Lookup[],MATCH("Lutron Kit PN",Lutron_CFlex_Lookup[#Headers],0),FALSE),"")</f>
        <v/>
      </c>
      <c r="AN38" s="1" t="b">
        <f>NOT(ISNA(VLOOKUP(Master_Reference[[#This Row],[Model Number]],ObsoleteModels[],1,FALSE)))</f>
        <v>1</v>
      </c>
      <c r="AO38" s="1" t="str">
        <f>IF(LEFT(Master_Reference[[#This Row],[Model Number]],1)="U",LEFT(Master_Reference[[#This Row],[Model Number]],4),LEFT(Master_Reference[[#This Row],[Model Number]],3))</f>
        <v>EC3</v>
      </c>
    </row>
    <row r="39" spans="1:41" x14ac:dyDescent="0.25">
      <c r="A39" s="2" t="s">
        <v>164</v>
      </c>
      <c r="B39" s="1" t="b">
        <v>1</v>
      </c>
      <c r="C39" s="1" t="b">
        <v>1</v>
      </c>
      <c r="G39" s="1" t="str">
        <f>IF(OR(LEFT(RIGHT(Master_Reference[[#This Row],[Model Number]],3),1)="C",LEFT(RIGHT(Master_Reference[[#This Row],[Model Number]],4),1)="C"),TRUE,"")</f>
        <v/>
      </c>
      <c r="H39" s="1" t="str">
        <f>IF(LEFT(Master_Reference[[#This Row],[Model Number]],1)="U",TRUE,"")</f>
        <v/>
      </c>
      <c r="I39" s="1" t="str">
        <f>IF(Master_Reference[[#This Row],[Lamp Type]]="T4","",IF(Master_Reference[[#This Row],[Case Type]]="M","",TRUE))</f>
        <v/>
      </c>
      <c r="J39" s="1" t="str">
        <f t="shared" si="0"/>
        <v>T4</v>
      </c>
      <c r="K39" s="1">
        <v>18</v>
      </c>
      <c r="L39" s="1" t="s">
        <v>88</v>
      </c>
      <c r="M39" s="1">
        <v>2</v>
      </c>
      <c r="N39" s="1" t="s">
        <v>149</v>
      </c>
      <c r="O39" s="1" t="s">
        <v>150</v>
      </c>
      <c r="R39" t="b">
        <f>IF(COUNTBLANK(Master_Reference[[#This Row],[C-Flex 3000K Eco Part Number]:[C-Flex 4000K Eco Part Number]])=3,FALSE,TRUE)</f>
        <v>1</v>
      </c>
      <c r="S39" t="b">
        <f>IF(COUNTBLANK(Master_Reference[[#This Row],[C-Flex 3000K 3W Part Number]:[C-Flex 4000K 3W Part Number]])=3,FALSE,TRUE)</f>
        <v>1</v>
      </c>
      <c r="T39" t="b">
        <f>IF(COUNTBLANK(Master_Reference[[#This Row],[Lutron 3000K Eco Part Number]:[Lutron 4000K Eco Part Number]])=3,FALSE,TRUE)</f>
        <v>0</v>
      </c>
      <c r="U39" t="b">
        <f>IF(COUNTBLANK(Master_Reference[[#This Row],[Lutron 3000K 3W Part Number]:[Lutron 4000K 3W Part Number]])=3,FALSE,TRUE)</f>
        <v>0</v>
      </c>
      <c r="V39" s="12" t="s">
        <v>1564</v>
      </c>
      <c r="W39" s="12" t="s">
        <v>1565</v>
      </c>
      <c r="X39" s="12" t="s">
        <v>1566</v>
      </c>
      <c r="Y39" t="s">
        <v>2125</v>
      </c>
      <c r="Z39" s="12" t="s">
        <v>1567</v>
      </c>
      <c r="AA39" s="12" t="s">
        <v>1568</v>
      </c>
      <c r="AB39" s="12" t="s">
        <v>1569</v>
      </c>
      <c r="AC39" t="s">
        <v>2125</v>
      </c>
      <c r="AD39" t="str">
        <f>SUBSTITUTE(Master_Reference[[#This Row],[C-Flex 4000K Eco Part Number]],"40-","xx-")</f>
        <v>RP-G24Q-226m-2L-8xx-E1-KN-G2</v>
      </c>
      <c r="AE39" t="str">
        <f>SUBSTITUTE(Master_Reference[[#This Row],[C-Flex 4000K 3W Part Number]],"40-","xx-")</f>
        <v>RP-G24Q-226m-2L-8xx-3W-KN-G2</v>
      </c>
      <c r="AF39" s="1" t="str">
        <f>_xlfn.IFNA(VLOOKUP(Master_Reference[[#This Row],[C-Flex 3000K Eco Part Number]],Lutron_CFlex_Lookup[],MATCH("Lutron Kit PN",Lutron_CFlex_Lookup[#Headers],0),FALSE),"")</f>
        <v/>
      </c>
      <c r="AG39" s="1" t="str">
        <f>_xlfn.IFNA(VLOOKUP(Master_Reference[[#This Row],[C-Flex 3500K Eco Part Number]],Lutron_CFlex_Lookup[],MATCH("Lutron Kit PN",Lutron_CFlex_Lookup[#Headers],0),FALSE),"")</f>
        <v/>
      </c>
      <c r="AH39" s="1" t="str">
        <f>_xlfn.IFNA(VLOOKUP(Master_Reference[[#This Row],[C-Flex 4000K Eco Part Number]],Lutron_CFlex_Lookup[],MATCH("Lutron Kit PN",Lutron_CFlex_Lookup[#Headers],0),FALSE),"")</f>
        <v/>
      </c>
      <c r="AI39" s="1" t="str">
        <f>_xlfn.IFNA(VLOOKUP(Master_Reference[[#This Row],[C-Flex 5000K Eco Part Number]],Lutron_CFlex_Lookup[],MATCH("Lutron Kit PN",Lutron_CFlex_Lookup[#Headers],0),FALSE),"")</f>
        <v/>
      </c>
      <c r="AJ39" s="1" t="str">
        <f>_xlfn.IFNA(VLOOKUP(Master_Reference[[#This Row],[C-Flex 3000K 3W Part Number]],Lutron_CFlex_Lookup[],MATCH("Lutron Kit PN",Lutron_CFlex_Lookup[#Headers],0),FALSE),"")</f>
        <v/>
      </c>
      <c r="AK39" s="1" t="str">
        <f>_xlfn.IFNA(VLOOKUP(Master_Reference[[#This Row],[C-Flex 3500K 3W Part Number]],Lutron_CFlex_Lookup[],MATCH("Lutron Kit PN",Lutron_CFlex_Lookup[#Headers],0),FALSE),"")</f>
        <v/>
      </c>
      <c r="AL39" s="1" t="str">
        <f>_xlfn.IFNA(VLOOKUP(Master_Reference[[#This Row],[C-Flex 4000K 3W Part Number]],Lutron_CFlex_Lookup[],MATCH("Lutron Kit PN",Lutron_CFlex_Lookup[#Headers],0),FALSE),"")</f>
        <v/>
      </c>
      <c r="AM39" s="1" t="str">
        <f>_xlfn.IFNA(VLOOKUP(Master_Reference[[#This Row],[C-Flex 5000K 3W Part Number]],Lutron_CFlex_Lookup[],MATCH("Lutron Kit PN",Lutron_CFlex_Lookup[#Headers],0),FALSE),"")</f>
        <v/>
      </c>
      <c r="AN39" s="1" t="b">
        <f>NOT(ISNA(VLOOKUP(Master_Reference[[#This Row],[Model Number]],ObsoleteModels[],1,FALSE)))</f>
        <v>1</v>
      </c>
      <c r="AO39" s="1" t="str">
        <f>IF(LEFT(Master_Reference[[#This Row],[Model Number]],1)="U",LEFT(Master_Reference[[#This Row],[Model Number]],4),LEFT(Master_Reference[[#This Row],[Model Number]],3))</f>
        <v>EC3</v>
      </c>
    </row>
    <row r="40" spans="1:41" x14ac:dyDescent="0.25">
      <c r="A40" s="2" t="s">
        <v>165</v>
      </c>
      <c r="B40" s="1" t="b">
        <v>1</v>
      </c>
      <c r="C40" s="1" t="b">
        <v>1</v>
      </c>
      <c r="G40" s="1" t="str">
        <f>IF(OR(LEFT(RIGHT(Master_Reference[[#This Row],[Model Number]],3),1)="C",LEFT(RIGHT(Master_Reference[[#This Row],[Model Number]],4),1)="C"),TRUE,"")</f>
        <v/>
      </c>
      <c r="H40" s="1" t="str">
        <f>IF(LEFT(Master_Reference[[#This Row],[Model Number]],1)="U",TRUE,"")</f>
        <v/>
      </c>
      <c r="I40" s="1" t="str">
        <f>IF(Master_Reference[[#This Row],[Lamp Type]]="T4","",IF(Master_Reference[[#This Row],[Case Type]]="M","",TRUE))</f>
        <v/>
      </c>
      <c r="J40" s="1" t="str">
        <f t="shared" si="0"/>
        <v>T4</v>
      </c>
      <c r="K40" s="1">
        <v>18</v>
      </c>
      <c r="L40" s="1" t="s">
        <v>88</v>
      </c>
      <c r="M40" s="1">
        <v>2</v>
      </c>
      <c r="N40" s="1" t="s">
        <v>149</v>
      </c>
      <c r="O40" s="1" t="s">
        <v>150</v>
      </c>
      <c r="P40" s="1" t="b">
        <v>1</v>
      </c>
      <c r="R40" t="b">
        <f>IF(COUNTBLANK(Master_Reference[[#This Row],[C-Flex 3000K Eco Part Number]:[C-Flex 4000K Eco Part Number]])=3,FALSE,TRUE)</f>
        <v>1</v>
      </c>
      <c r="S40" t="b">
        <f>IF(COUNTBLANK(Master_Reference[[#This Row],[C-Flex 3000K 3W Part Number]:[C-Flex 4000K 3W Part Number]])=3,FALSE,TRUE)</f>
        <v>1</v>
      </c>
      <c r="T40" t="b">
        <f>IF(COUNTBLANK(Master_Reference[[#This Row],[Lutron 3000K Eco Part Number]:[Lutron 4000K Eco Part Number]])=3,FALSE,TRUE)</f>
        <v>0</v>
      </c>
      <c r="U40" t="b">
        <f>IF(COUNTBLANK(Master_Reference[[#This Row],[Lutron 3000K 3W Part Number]:[Lutron 4000K 3W Part Number]])=3,FALSE,TRUE)</f>
        <v>0</v>
      </c>
      <c r="V40" s="12" t="s">
        <v>1570</v>
      </c>
      <c r="W40" s="12" t="s">
        <v>1571</v>
      </c>
      <c r="X40" s="12" t="s">
        <v>1572</v>
      </c>
      <c r="Y40" t="s">
        <v>2125</v>
      </c>
      <c r="Z40" s="12" t="s">
        <v>1573</v>
      </c>
      <c r="AA40" s="12" t="s">
        <v>1574</v>
      </c>
      <c r="AB40" s="12" t="s">
        <v>1575</v>
      </c>
      <c r="AC40" t="s">
        <v>2125</v>
      </c>
      <c r="AD40" t="str">
        <f>SUBSTITUTE(Master_Reference[[#This Row],[C-Flex 4000K Eco Part Number]],"40-","xx-")</f>
        <v>RP-G24Q-226m-2L-8xx-E1-K-G2</v>
      </c>
      <c r="AE40" t="str">
        <f>SUBSTITUTE(Master_Reference[[#This Row],[C-Flex 4000K 3W Part Number]],"40-","xx-")</f>
        <v>RP-G24Q-226m-2L-8xx-3W-K-G2</v>
      </c>
      <c r="AF40" s="1" t="str">
        <f>_xlfn.IFNA(VLOOKUP(Master_Reference[[#This Row],[C-Flex 3000K Eco Part Number]],Lutron_CFlex_Lookup[],MATCH("Lutron Kit PN",Lutron_CFlex_Lookup[#Headers],0),FALSE),"")</f>
        <v/>
      </c>
      <c r="AG40" s="1" t="str">
        <f>_xlfn.IFNA(VLOOKUP(Master_Reference[[#This Row],[C-Flex 3500K Eco Part Number]],Lutron_CFlex_Lookup[],MATCH("Lutron Kit PN",Lutron_CFlex_Lookup[#Headers],0),FALSE),"")</f>
        <v/>
      </c>
      <c r="AH40" s="1" t="str">
        <f>_xlfn.IFNA(VLOOKUP(Master_Reference[[#This Row],[C-Flex 4000K Eco Part Number]],Lutron_CFlex_Lookup[],MATCH("Lutron Kit PN",Lutron_CFlex_Lookup[#Headers],0),FALSE),"")</f>
        <v/>
      </c>
      <c r="AI40" s="1" t="str">
        <f>_xlfn.IFNA(VLOOKUP(Master_Reference[[#This Row],[C-Flex 5000K Eco Part Number]],Lutron_CFlex_Lookup[],MATCH("Lutron Kit PN",Lutron_CFlex_Lookup[#Headers],0),FALSE),"")</f>
        <v/>
      </c>
      <c r="AJ40" s="1" t="str">
        <f>_xlfn.IFNA(VLOOKUP(Master_Reference[[#This Row],[C-Flex 3000K 3W Part Number]],Lutron_CFlex_Lookup[],MATCH("Lutron Kit PN",Lutron_CFlex_Lookup[#Headers],0),FALSE),"")</f>
        <v/>
      </c>
      <c r="AK40" s="1" t="str">
        <f>_xlfn.IFNA(VLOOKUP(Master_Reference[[#This Row],[C-Flex 3500K 3W Part Number]],Lutron_CFlex_Lookup[],MATCH("Lutron Kit PN",Lutron_CFlex_Lookup[#Headers],0),FALSE),"")</f>
        <v/>
      </c>
      <c r="AL40" s="1" t="str">
        <f>_xlfn.IFNA(VLOOKUP(Master_Reference[[#This Row],[C-Flex 4000K 3W Part Number]],Lutron_CFlex_Lookup[],MATCH("Lutron Kit PN",Lutron_CFlex_Lookup[#Headers],0),FALSE),"")</f>
        <v/>
      </c>
      <c r="AM40" s="1" t="str">
        <f>_xlfn.IFNA(VLOOKUP(Master_Reference[[#This Row],[C-Flex 5000K 3W Part Number]],Lutron_CFlex_Lookup[],MATCH("Lutron Kit PN",Lutron_CFlex_Lookup[#Headers],0),FALSE),"")</f>
        <v/>
      </c>
      <c r="AN40" s="1" t="b">
        <f>NOT(ISNA(VLOOKUP(Master_Reference[[#This Row],[Model Number]],ObsoleteModels[],1,FALSE)))</f>
        <v>1</v>
      </c>
      <c r="AO40" s="1" t="str">
        <f>IF(LEFT(Master_Reference[[#This Row],[Model Number]],1)="U",LEFT(Master_Reference[[#This Row],[Model Number]],4),LEFT(Master_Reference[[#This Row],[Model Number]],3))</f>
        <v>EC3</v>
      </c>
    </row>
    <row r="41" spans="1:41" x14ac:dyDescent="0.25">
      <c r="A41" s="2" t="s">
        <v>166</v>
      </c>
      <c r="B41" s="1" t="b">
        <v>1</v>
      </c>
      <c r="C41" s="1" t="b">
        <v>1</v>
      </c>
      <c r="G41" s="1" t="str">
        <f>IF(OR(LEFT(RIGHT(Master_Reference[[#This Row],[Model Number]],3),1)="C",LEFT(RIGHT(Master_Reference[[#This Row],[Model Number]],4),1)="C"),TRUE,"")</f>
        <v/>
      </c>
      <c r="H41" s="1" t="str">
        <f>IF(LEFT(Master_Reference[[#This Row],[Model Number]],1)="U",TRUE,"")</f>
        <v/>
      </c>
      <c r="I41" s="1" t="str">
        <f>IF(Master_Reference[[#This Row],[Lamp Type]]="T4","",IF(Master_Reference[[#This Row],[Case Type]]="M","",TRUE))</f>
        <v/>
      </c>
      <c r="J41" s="1" t="str">
        <f t="shared" si="0"/>
        <v>T4</v>
      </c>
      <c r="K41" s="1">
        <v>18</v>
      </c>
      <c r="L41" s="1" t="s">
        <v>88</v>
      </c>
      <c r="M41" s="1">
        <v>2</v>
      </c>
      <c r="N41" s="1" t="s">
        <v>149</v>
      </c>
      <c r="O41" s="1" t="s">
        <v>150</v>
      </c>
      <c r="P41" s="1" t="b">
        <v>1</v>
      </c>
      <c r="Q41" s="1" t="s">
        <v>91</v>
      </c>
      <c r="R41" t="b">
        <f>IF(COUNTBLANK(Master_Reference[[#This Row],[C-Flex 3000K Eco Part Number]:[C-Flex 4000K Eco Part Number]])=3,FALSE,TRUE)</f>
        <v>0</v>
      </c>
      <c r="S41" t="b">
        <f>IF(COUNTBLANK(Master_Reference[[#This Row],[C-Flex 3000K 3W Part Number]:[C-Flex 4000K 3W Part Number]])=3,FALSE,TRUE)</f>
        <v>0</v>
      </c>
      <c r="T41" t="b">
        <f>IF(COUNTBLANK(Master_Reference[[#This Row],[Lutron 3000K Eco Part Number]:[Lutron 4000K Eco Part Number]])=3,FALSE,TRUE)</f>
        <v>0</v>
      </c>
      <c r="U41" t="b">
        <f>IF(COUNTBLANK(Master_Reference[[#This Row],[Lutron 3000K 3W Part Number]:[Lutron 4000K 3W Part Number]])=3,FALSE,TRUE)</f>
        <v>0</v>
      </c>
      <c r="V41" s="12"/>
      <c r="W41" s="12"/>
      <c r="X41" s="12"/>
      <c r="Y41" t="s">
        <v>2125</v>
      </c>
      <c r="Z41" s="12"/>
      <c r="AA41" s="12"/>
      <c r="AB41" s="12"/>
      <c r="AC41" t="s">
        <v>2125</v>
      </c>
      <c r="AD41" t="str">
        <f>SUBSTITUTE(Master_Reference[[#This Row],[C-Flex 4000K Eco Part Number]],"40-","xx-")</f>
        <v/>
      </c>
      <c r="AE41" t="str">
        <f>SUBSTITUTE(Master_Reference[[#This Row],[C-Flex 4000K 3W Part Number]],"40-","xx-")</f>
        <v/>
      </c>
      <c r="AF41" s="1" t="str">
        <f>_xlfn.IFNA(VLOOKUP(Master_Reference[[#This Row],[C-Flex 3000K Eco Part Number]],Lutron_CFlex_Lookup[],MATCH("Lutron Kit PN",Lutron_CFlex_Lookup[#Headers],0),FALSE),"")</f>
        <v/>
      </c>
      <c r="AG41" s="1" t="str">
        <f>_xlfn.IFNA(VLOOKUP(Master_Reference[[#This Row],[C-Flex 3500K Eco Part Number]],Lutron_CFlex_Lookup[],MATCH("Lutron Kit PN",Lutron_CFlex_Lookup[#Headers],0),FALSE),"")</f>
        <v/>
      </c>
      <c r="AH41" s="1" t="str">
        <f>_xlfn.IFNA(VLOOKUP(Master_Reference[[#This Row],[C-Flex 4000K Eco Part Number]],Lutron_CFlex_Lookup[],MATCH("Lutron Kit PN",Lutron_CFlex_Lookup[#Headers],0),FALSE),"")</f>
        <v/>
      </c>
      <c r="AI41" s="1" t="str">
        <f>_xlfn.IFNA(VLOOKUP(Master_Reference[[#This Row],[C-Flex 5000K Eco Part Number]],Lutron_CFlex_Lookup[],MATCH("Lutron Kit PN",Lutron_CFlex_Lookup[#Headers],0),FALSE),"")</f>
        <v/>
      </c>
      <c r="AJ41" s="1" t="str">
        <f>_xlfn.IFNA(VLOOKUP(Master_Reference[[#This Row],[C-Flex 3000K 3W Part Number]],Lutron_CFlex_Lookup[],MATCH("Lutron Kit PN",Lutron_CFlex_Lookup[#Headers],0),FALSE),"")</f>
        <v/>
      </c>
      <c r="AK41" s="1" t="str">
        <f>_xlfn.IFNA(VLOOKUP(Master_Reference[[#This Row],[C-Flex 3500K 3W Part Number]],Lutron_CFlex_Lookup[],MATCH("Lutron Kit PN",Lutron_CFlex_Lookup[#Headers],0),FALSE),"")</f>
        <v/>
      </c>
      <c r="AL41" s="1" t="str">
        <f>_xlfn.IFNA(VLOOKUP(Master_Reference[[#This Row],[C-Flex 4000K 3W Part Number]],Lutron_CFlex_Lookup[],MATCH("Lutron Kit PN",Lutron_CFlex_Lookup[#Headers],0),FALSE),"")</f>
        <v/>
      </c>
      <c r="AM41" s="1" t="str">
        <f>_xlfn.IFNA(VLOOKUP(Master_Reference[[#This Row],[C-Flex 5000K 3W Part Number]],Lutron_CFlex_Lookup[],MATCH("Lutron Kit PN",Lutron_CFlex_Lookup[#Headers],0),FALSE),"")</f>
        <v/>
      </c>
      <c r="AN41" s="1" t="b">
        <f>NOT(ISNA(VLOOKUP(Master_Reference[[#This Row],[Model Number]],ObsoleteModels[],1,FALSE)))</f>
        <v>1</v>
      </c>
      <c r="AO41" s="1" t="str">
        <f>IF(LEFT(Master_Reference[[#This Row],[Model Number]],1)="U",LEFT(Master_Reference[[#This Row],[Model Number]],4),LEFT(Master_Reference[[#This Row],[Model Number]],3))</f>
        <v>EC3</v>
      </c>
    </row>
    <row r="42" spans="1:41" x14ac:dyDescent="0.25">
      <c r="A42" s="2" t="s">
        <v>167</v>
      </c>
      <c r="B42" s="1" t="b">
        <v>1</v>
      </c>
      <c r="C42" s="1" t="b">
        <v>1</v>
      </c>
      <c r="G42" s="1" t="str">
        <f>IF(OR(LEFT(RIGHT(Master_Reference[[#This Row],[Model Number]],3),1)="C",LEFT(RIGHT(Master_Reference[[#This Row],[Model Number]],4),1)="C"),TRUE,"")</f>
        <v/>
      </c>
      <c r="H42" s="1" t="str">
        <f>IF(LEFT(Master_Reference[[#This Row],[Model Number]],1)="U",TRUE,"")</f>
        <v/>
      </c>
      <c r="I42" s="1" t="str">
        <f>IF(Master_Reference[[#This Row],[Lamp Type]]="T4","",IF(Master_Reference[[#This Row],[Case Type]]="M","",TRUE))</f>
        <v/>
      </c>
      <c r="J42" s="1" t="str">
        <f t="shared" si="0"/>
        <v>T4</v>
      </c>
      <c r="K42" s="1">
        <v>42</v>
      </c>
      <c r="L42" s="1" t="s">
        <v>88</v>
      </c>
      <c r="M42" s="1">
        <v>1</v>
      </c>
      <c r="N42" s="1" t="s">
        <v>149</v>
      </c>
      <c r="O42" s="1" t="s">
        <v>150</v>
      </c>
      <c r="R42" t="b">
        <f>IF(COUNTBLANK(Master_Reference[[#This Row],[C-Flex 3000K Eco Part Number]:[C-Flex 4000K Eco Part Number]])=3,FALSE,TRUE)</f>
        <v>1</v>
      </c>
      <c r="S42" t="b">
        <f>IF(COUNTBLANK(Master_Reference[[#This Row],[C-Flex 3000K 3W Part Number]:[C-Flex 4000K 3W Part Number]])=3,FALSE,TRUE)</f>
        <v>1</v>
      </c>
      <c r="T42" t="b">
        <f>IF(COUNTBLANK(Master_Reference[[#This Row],[Lutron 3000K Eco Part Number]:[Lutron 4000K Eco Part Number]])=3,FALSE,TRUE)</f>
        <v>0</v>
      </c>
      <c r="U42" t="b">
        <f>IF(COUNTBLANK(Master_Reference[[#This Row],[Lutron 3000K 3W Part Number]:[Lutron 4000K 3W Part Number]])=3,FALSE,TRUE)</f>
        <v>0</v>
      </c>
      <c r="V42" s="12" t="s">
        <v>168</v>
      </c>
      <c r="W42" s="12" t="s">
        <v>169</v>
      </c>
      <c r="X42" s="12" t="s">
        <v>170</v>
      </c>
      <c r="Y42" t="s">
        <v>2125</v>
      </c>
      <c r="Z42" s="12" t="s">
        <v>171</v>
      </c>
      <c r="AA42" s="12" t="s">
        <v>172</v>
      </c>
      <c r="AB42" s="12" t="s">
        <v>173</v>
      </c>
      <c r="AC42" t="s">
        <v>2125</v>
      </c>
      <c r="AD42" t="str">
        <f>SUBSTITUTE(Master_Reference[[#This Row],[C-Flex 4000K Eco Part Number]],"40-","xx-")</f>
        <v>RP-G24Q-142m-1L-8xx-E1-KN-G2</v>
      </c>
      <c r="AE42" t="str">
        <f>SUBSTITUTE(Master_Reference[[#This Row],[C-Flex 4000K 3W Part Number]],"40-","xx-")</f>
        <v>RP-G24Q-142m-1L-8xx-3W-KN-G2</v>
      </c>
      <c r="AF42" s="1" t="str">
        <f>_xlfn.IFNA(VLOOKUP(Master_Reference[[#This Row],[C-Flex 3000K Eco Part Number]],Lutron_CFlex_Lookup[],MATCH("Lutron Kit PN",Lutron_CFlex_Lookup[#Headers],0),FALSE),"")</f>
        <v/>
      </c>
      <c r="AG42" s="1" t="str">
        <f>_xlfn.IFNA(VLOOKUP(Master_Reference[[#This Row],[C-Flex 3500K Eco Part Number]],Lutron_CFlex_Lookup[],MATCH("Lutron Kit PN",Lutron_CFlex_Lookup[#Headers],0),FALSE),"")</f>
        <v/>
      </c>
      <c r="AH42" s="1" t="str">
        <f>_xlfn.IFNA(VLOOKUP(Master_Reference[[#This Row],[C-Flex 4000K Eco Part Number]],Lutron_CFlex_Lookup[],MATCH("Lutron Kit PN",Lutron_CFlex_Lookup[#Headers],0),FALSE),"")</f>
        <v/>
      </c>
      <c r="AI42" s="1" t="str">
        <f>_xlfn.IFNA(VLOOKUP(Master_Reference[[#This Row],[C-Flex 5000K Eco Part Number]],Lutron_CFlex_Lookup[],MATCH("Lutron Kit PN",Lutron_CFlex_Lookup[#Headers],0),FALSE),"")</f>
        <v/>
      </c>
      <c r="AJ42" s="1" t="str">
        <f>_xlfn.IFNA(VLOOKUP(Master_Reference[[#This Row],[C-Flex 3000K 3W Part Number]],Lutron_CFlex_Lookup[],MATCH("Lutron Kit PN",Lutron_CFlex_Lookup[#Headers],0),FALSE),"")</f>
        <v/>
      </c>
      <c r="AK42" s="1" t="str">
        <f>_xlfn.IFNA(VLOOKUP(Master_Reference[[#This Row],[C-Flex 3500K 3W Part Number]],Lutron_CFlex_Lookup[],MATCH("Lutron Kit PN",Lutron_CFlex_Lookup[#Headers],0),FALSE),"")</f>
        <v/>
      </c>
      <c r="AL42" s="1" t="str">
        <f>_xlfn.IFNA(VLOOKUP(Master_Reference[[#This Row],[C-Flex 4000K 3W Part Number]],Lutron_CFlex_Lookup[],MATCH("Lutron Kit PN",Lutron_CFlex_Lookup[#Headers],0),FALSE),"")</f>
        <v/>
      </c>
      <c r="AM42" s="1" t="str">
        <f>_xlfn.IFNA(VLOOKUP(Master_Reference[[#This Row],[C-Flex 5000K 3W Part Number]],Lutron_CFlex_Lookup[],MATCH("Lutron Kit PN",Lutron_CFlex_Lookup[#Headers],0),FALSE),"")</f>
        <v/>
      </c>
      <c r="AN42" s="1" t="b">
        <f>NOT(ISNA(VLOOKUP(Master_Reference[[#This Row],[Model Number]],ObsoleteModels[],1,FALSE)))</f>
        <v>1</v>
      </c>
      <c r="AO42" s="1" t="str">
        <f>IF(LEFT(Master_Reference[[#This Row],[Model Number]],1)="U",LEFT(Master_Reference[[#This Row],[Model Number]],4),LEFT(Master_Reference[[#This Row],[Model Number]],3))</f>
        <v>EC3</v>
      </c>
    </row>
    <row r="43" spans="1:41" x14ac:dyDescent="0.25">
      <c r="A43" s="2" t="s">
        <v>174</v>
      </c>
      <c r="B43" s="1" t="b">
        <v>1</v>
      </c>
      <c r="C43" s="1" t="b">
        <v>1</v>
      </c>
      <c r="G43" s="1" t="str">
        <f>IF(OR(LEFT(RIGHT(Master_Reference[[#This Row],[Model Number]],3),1)="C",LEFT(RIGHT(Master_Reference[[#This Row],[Model Number]],4),1)="C"),TRUE,"")</f>
        <v/>
      </c>
      <c r="H43" s="1" t="str">
        <f>IF(LEFT(Master_Reference[[#This Row],[Model Number]],1)="U",TRUE,"")</f>
        <v/>
      </c>
      <c r="I43" s="1" t="str">
        <f>IF(Master_Reference[[#This Row],[Lamp Type]]="T4","",IF(Master_Reference[[#This Row],[Case Type]]="M","",TRUE))</f>
        <v/>
      </c>
      <c r="J43" s="1" t="str">
        <f t="shared" si="0"/>
        <v>T4</v>
      </c>
      <c r="K43" s="1">
        <v>42</v>
      </c>
      <c r="L43" s="1" t="s">
        <v>88</v>
      </c>
      <c r="M43" s="1">
        <v>1</v>
      </c>
      <c r="N43" s="1" t="s">
        <v>149</v>
      </c>
      <c r="O43" s="1" t="s">
        <v>150</v>
      </c>
      <c r="Q43" s="1" t="s">
        <v>91</v>
      </c>
      <c r="R43" t="b">
        <v>0</v>
      </c>
      <c r="S43" t="b">
        <v>0</v>
      </c>
      <c r="T43" t="b">
        <f>IF(COUNTBLANK(Master_Reference[[#This Row],[Lutron 3000K Eco Part Number]:[Lutron 4000K Eco Part Number]])=3,FALSE,TRUE)</f>
        <v>0</v>
      </c>
      <c r="U43" t="b">
        <f>IF(COUNTBLANK(Master_Reference[[#This Row],[Lutron 3000K 3W Part Number]:[Lutron 4000K 3W Part Number]])=3,FALSE,TRUE)</f>
        <v>0</v>
      </c>
      <c r="V43" s="12"/>
      <c r="W43" s="12"/>
      <c r="X43" s="12"/>
      <c r="Y43" t="s">
        <v>2125</v>
      </c>
      <c r="Z43" s="12"/>
      <c r="AA43" s="12"/>
      <c r="AB43" s="12"/>
      <c r="AC43" t="s">
        <v>2125</v>
      </c>
      <c r="AD43" t="str">
        <f>SUBSTITUTE(Master_Reference[[#This Row],[C-Flex 4000K Eco Part Number]],"40-","xx-")</f>
        <v/>
      </c>
      <c r="AE43" t="str">
        <f>SUBSTITUTE(Master_Reference[[#This Row],[C-Flex 4000K 3W Part Number]],"40-","xx-")</f>
        <v/>
      </c>
      <c r="AF43" s="1" t="str">
        <f>_xlfn.IFNA(VLOOKUP(Master_Reference[[#This Row],[C-Flex 3000K Eco Part Number]],Lutron_CFlex_Lookup[],MATCH("Lutron Kit PN",Lutron_CFlex_Lookup[#Headers],0),FALSE),"")</f>
        <v/>
      </c>
      <c r="AG43" s="1" t="str">
        <f>_xlfn.IFNA(VLOOKUP(Master_Reference[[#This Row],[C-Flex 3500K Eco Part Number]],Lutron_CFlex_Lookup[],MATCH("Lutron Kit PN",Lutron_CFlex_Lookup[#Headers],0),FALSE),"")</f>
        <v/>
      </c>
      <c r="AH43" s="1" t="str">
        <f>_xlfn.IFNA(VLOOKUP(Master_Reference[[#This Row],[C-Flex 4000K Eco Part Number]],Lutron_CFlex_Lookup[],MATCH("Lutron Kit PN",Lutron_CFlex_Lookup[#Headers],0),FALSE),"")</f>
        <v/>
      </c>
      <c r="AI43" s="1" t="str">
        <f>_xlfn.IFNA(VLOOKUP(Master_Reference[[#This Row],[C-Flex 5000K Eco Part Number]],Lutron_CFlex_Lookup[],MATCH("Lutron Kit PN",Lutron_CFlex_Lookup[#Headers],0),FALSE),"")</f>
        <v/>
      </c>
      <c r="AJ43" s="1" t="str">
        <f>_xlfn.IFNA(VLOOKUP(Master_Reference[[#This Row],[C-Flex 3000K 3W Part Number]],Lutron_CFlex_Lookup[],MATCH("Lutron Kit PN",Lutron_CFlex_Lookup[#Headers],0),FALSE),"")</f>
        <v/>
      </c>
      <c r="AK43" s="1" t="str">
        <f>_xlfn.IFNA(VLOOKUP(Master_Reference[[#This Row],[C-Flex 3500K 3W Part Number]],Lutron_CFlex_Lookup[],MATCH("Lutron Kit PN",Lutron_CFlex_Lookup[#Headers],0),FALSE),"")</f>
        <v/>
      </c>
      <c r="AL43" s="1" t="str">
        <f>_xlfn.IFNA(VLOOKUP(Master_Reference[[#This Row],[C-Flex 4000K 3W Part Number]],Lutron_CFlex_Lookup[],MATCH("Lutron Kit PN",Lutron_CFlex_Lookup[#Headers],0),FALSE),"")</f>
        <v/>
      </c>
      <c r="AM43" s="1" t="str">
        <f>_xlfn.IFNA(VLOOKUP(Master_Reference[[#This Row],[C-Flex 5000K 3W Part Number]],Lutron_CFlex_Lookup[],MATCH("Lutron Kit PN",Lutron_CFlex_Lookup[#Headers],0),FALSE),"")</f>
        <v/>
      </c>
      <c r="AN43" s="1" t="b">
        <f>NOT(ISNA(VLOOKUP(Master_Reference[[#This Row],[Model Number]],ObsoleteModels[],1,FALSE)))</f>
        <v>1</v>
      </c>
      <c r="AO43" s="1" t="str">
        <f>IF(LEFT(Master_Reference[[#This Row],[Model Number]],1)="U",LEFT(Master_Reference[[#This Row],[Model Number]],4),LEFT(Master_Reference[[#This Row],[Model Number]],3))</f>
        <v>EC3</v>
      </c>
    </row>
    <row r="44" spans="1:41" x14ac:dyDescent="0.25">
      <c r="A44" s="2" t="s">
        <v>175</v>
      </c>
      <c r="B44" s="1" t="b">
        <v>1</v>
      </c>
      <c r="C44" s="1" t="b">
        <v>1</v>
      </c>
      <c r="G44" s="1" t="str">
        <f>IF(OR(LEFT(RIGHT(Master_Reference[[#This Row],[Model Number]],3),1)="C",LEFT(RIGHT(Master_Reference[[#This Row],[Model Number]],4),1)="C"),TRUE,"")</f>
        <v/>
      </c>
      <c r="H44" s="1" t="str">
        <f>IF(LEFT(Master_Reference[[#This Row],[Model Number]],1)="U",TRUE,"")</f>
        <v/>
      </c>
      <c r="I44" s="1" t="str">
        <f>IF(Master_Reference[[#This Row],[Lamp Type]]="T4","",IF(Master_Reference[[#This Row],[Case Type]]="M","",TRUE))</f>
        <v/>
      </c>
      <c r="J44" s="1" t="str">
        <f t="shared" si="0"/>
        <v>T4</v>
      </c>
      <c r="K44" s="1">
        <v>42</v>
      </c>
      <c r="L44" s="1" t="s">
        <v>88</v>
      </c>
      <c r="M44" s="1">
        <v>1</v>
      </c>
      <c r="N44" s="1" t="s">
        <v>149</v>
      </c>
      <c r="O44" s="1" t="s">
        <v>150</v>
      </c>
      <c r="P44" s="1" t="b">
        <v>1</v>
      </c>
      <c r="R44" t="b">
        <f>IF(COUNTBLANK(Master_Reference[[#This Row],[C-Flex 3000K Eco Part Number]:[C-Flex 4000K Eco Part Number]])=3,FALSE,TRUE)</f>
        <v>1</v>
      </c>
      <c r="S44" t="b">
        <f>IF(COUNTBLANK(Master_Reference[[#This Row],[C-Flex 3000K 3W Part Number]:[C-Flex 4000K 3W Part Number]])=3,FALSE,TRUE)</f>
        <v>1</v>
      </c>
      <c r="T44" t="b">
        <f>IF(COUNTBLANK(Master_Reference[[#This Row],[Lutron 3000K Eco Part Number]:[Lutron 4000K Eco Part Number]])=3,FALSE,TRUE)</f>
        <v>0</v>
      </c>
      <c r="U44" t="b">
        <f>IF(COUNTBLANK(Master_Reference[[#This Row],[Lutron 3000K 3W Part Number]:[Lutron 4000K 3W Part Number]])=3,FALSE,TRUE)</f>
        <v>0</v>
      </c>
      <c r="V44" s="12" t="s">
        <v>176</v>
      </c>
      <c r="W44" s="12" t="s">
        <v>177</v>
      </c>
      <c r="X44" s="12" t="s">
        <v>178</v>
      </c>
      <c r="Y44" t="s">
        <v>2125</v>
      </c>
      <c r="Z44" s="12" t="s">
        <v>179</v>
      </c>
      <c r="AA44" s="12" t="s">
        <v>180</v>
      </c>
      <c r="AB44" s="12" t="s">
        <v>181</v>
      </c>
      <c r="AC44" t="s">
        <v>2125</v>
      </c>
      <c r="AD44" t="str">
        <f>SUBSTITUTE(Master_Reference[[#This Row],[C-Flex 4000K Eco Part Number]],"40-","xx-")</f>
        <v>RP-G24Q-142m-1L-8xx-E1-K-G2</v>
      </c>
      <c r="AE44" t="str">
        <f>SUBSTITUTE(Master_Reference[[#This Row],[C-Flex 4000K 3W Part Number]],"40-","xx-")</f>
        <v>RP-G24Q-142m-1L-8xx-3W-K-G2</v>
      </c>
      <c r="AF44" s="1" t="str">
        <f>_xlfn.IFNA(VLOOKUP(Master_Reference[[#This Row],[C-Flex 3000K Eco Part Number]],Lutron_CFlex_Lookup[],MATCH("Lutron Kit PN",Lutron_CFlex_Lookup[#Headers],0),FALSE),"")</f>
        <v/>
      </c>
      <c r="AG44" s="1" t="str">
        <f>_xlfn.IFNA(VLOOKUP(Master_Reference[[#This Row],[C-Flex 3500K Eco Part Number]],Lutron_CFlex_Lookup[],MATCH("Lutron Kit PN",Lutron_CFlex_Lookup[#Headers],0),FALSE),"")</f>
        <v/>
      </c>
      <c r="AH44" s="1" t="str">
        <f>_xlfn.IFNA(VLOOKUP(Master_Reference[[#This Row],[C-Flex 4000K Eco Part Number]],Lutron_CFlex_Lookup[],MATCH("Lutron Kit PN",Lutron_CFlex_Lookup[#Headers],0),FALSE),"")</f>
        <v/>
      </c>
      <c r="AI44" s="1" t="str">
        <f>_xlfn.IFNA(VLOOKUP(Master_Reference[[#This Row],[C-Flex 5000K Eco Part Number]],Lutron_CFlex_Lookup[],MATCH("Lutron Kit PN",Lutron_CFlex_Lookup[#Headers],0),FALSE),"")</f>
        <v/>
      </c>
      <c r="AJ44" s="1" t="str">
        <f>_xlfn.IFNA(VLOOKUP(Master_Reference[[#This Row],[C-Flex 3000K 3W Part Number]],Lutron_CFlex_Lookup[],MATCH("Lutron Kit PN",Lutron_CFlex_Lookup[#Headers],0),FALSE),"")</f>
        <v/>
      </c>
      <c r="AK44" s="1" t="str">
        <f>_xlfn.IFNA(VLOOKUP(Master_Reference[[#This Row],[C-Flex 3500K 3W Part Number]],Lutron_CFlex_Lookup[],MATCH("Lutron Kit PN",Lutron_CFlex_Lookup[#Headers],0),FALSE),"")</f>
        <v/>
      </c>
      <c r="AL44" s="1" t="str">
        <f>_xlfn.IFNA(VLOOKUP(Master_Reference[[#This Row],[C-Flex 4000K 3W Part Number]],Lutron_CFlex_Lookup[],MATCH("Lutron Kit PN",Lutron_CFlex_Lookup[#Headers],0),FALSE),"")</f>
        <v/>
      </c>
      <c r="AM44" s="1" t="str">
        <f>_xlfn.IFNA(VLOOKUP(Master_Reference[[#This Row],[C-Flex 5000K 3W Part Number]],Lutron_CFlex_Lookup[],MATCH("Lutron Kit PN",Lutron_CFlex_Lookup[#Headers],0),FALSE),"")</f>
        <v/>
      </c>
      <c r="AN44" s="1" t="b">
        <f>NOT(ISNA(VLOOKUP(Master_Reference[[#This Row],[Model Number]],ObsoleteModels[],1,FALSE)))</f>
        <v>1</v>
      </c>
      <c r="AO44" s="1" t="str">
        <f>IF(LEFT(Master_Reference[[#This Row],[Model Number]],1)="U",LEFT(Master_Reference[[#This Row],[Model Number]],4),LEFT(Master_Reference[[#This Row],[Model Number]],3))</f>
        <v>EC3</v>
      </c>
    </row>
    <row r="45" spans="1:41" x14ac:dyDescent="0.25">
      <c r="A45" s="2" t="s">
        <v>182</v>
      </c>
      <c r="B45" s="1" t="b">
        <v>1</v>
      </c>
      <c r="C45" s="1" t="b">
        <v>1</v>
      </c>
      <c r="G45" s="1" t="b">
        <f>IF(OR(LEFT(RIGHT(Master_Reference[[#This Row],[Model Number]],3),1)="C",LEFT(RIGHT(Master_Reference[[#This Row],[Model Number]],4),1)="C"),TRUE,"")</f>
        <v>1</v>
      </c>
      <c r="H45" s="1" t="str">
        <f>IF(LEFT(Master_Reference[[#This Row],[Model Number]],1)="U",TRUE,"")</f>
        <v/>
      </c>
      <c r="I45" s="1" t="str">
        <f>IF(Master_Reference[[#This Row],[Lamp Type]]="T4","",IF(Master_Reference[[#This Row],[Case Type]]="M","",TRUE))</f>
        <v/>
      </c>
      <c r="J45" s="1" t="str">
        <f t="shared" si="0"/>
        <v>T4</v>
      </c>
      <c r="K45" s="1">
        <v>42</v>
      </c>
      <c r="L45" s="1" t="s">
        <v>88</v>
      </c>
      <c r="M45" s="1">
        <v>1</v>
      </c>
      <c r="N45" s="1" t="s">
        <v>149</v>
      </c>
      <c r="O45" s="1" t="s">
        <v>150</v>
      </c>
      <c r="P45" s="1" t="b">
        <v>1</v>
      </c>
      <c r="R45" t="b">
        <f>IF(COUNTBLANK(Master_Reference[[#This Row],[C-Flex 3000K Eco Part Number]:[C-Flex 4000K Eco Part Number]])=3,FALSE,TRUE)</f>
        <v>1</v>
      </c>
      <c r="S45" t="b">
        <f>IF(COUNTBLANK(Master_Reference[[#This Row],[C-Flex 3000K 3W Part Number]:[C-Flex 4000K 3W Part Number]])=3,FALSE,TRUE)</f>
        <v>1</v>
      </c>
      <c r="T45" t="b">
        <f>IF(COUNTBLANK(Master_Reference[[#This Row],[Lutron 3000K Eco Part Number]:[Lutron 4000K Eco Part Number]])=3,FALSE,TRUE)</f>
        <v>0</v>
      </c>
      <c r="U45" t="b">
        <f>IF(COUNTBLANK(Master_Reference[[#This Row],[Lutron 3000K 3W Part Number]:[Lutron 4000K 3W Part Number]])=3,FALSE,TRUE)</f>
        <v>0</v>
      </c>
      <c r="V45" s="12" t="s">
        <v>176</v>
      </c>
      <c r="W45" s="12" t="s">
        <v>177</v>
      </c>
      <c r="X45" s="12" t="s">
        <v>178</v>
      </c>
      <c r="Y45" t="s">
        <v>2125</v>
      </c>
      <c r="Z45" s="12" t="s">
        <v>179</v>
      </c>
      <c r="AA45" s="12" t="s">
        <v>180</v>
      </c>
      <c r="AB45" s="12" t="s">
        <v>181</v>
      </c>
      <c r="AC45" t="s">
        <v>2125</v>
      </c>
      <c r="AD45" t="str">
        <f>SUBSTITUTE(Master_Reference[[#This Row],[C-Flex 4000K Eco Part Number]],"40-","xx-")</f>
        <v>RP-G24Q-142m-1L-8xx-E1-K-G2</v>
      </c>
      <c r="AE45" t="str">
        <f>SUBSTITUTE(Master_Reference[[#This Row],[C-Flex 4000K 3W Part Number]],"40-","xx-")</f>
        <v>RP-G24Q-142m-1L-8xx-3W-K-G2</v>
      </c>
      <c r="AF45" s="1" t="str">
        <f>_xlfn.IFNA(VLOOKUP(Master_Reference[[#This Row],[C-Flex 3000K Eco Part Number]],Lutron_CFlex_Lookup[],MATCH("Lutron Kit PN",Lutron_CFlex_Lookup[#Headers],0),FALSE),"")</f>
        <v/>
      </c>
      <c r="AG45" s="1" t="str">
        <f>_xlfn.IFNA(VLOOKUP(Master_Reference[[#This Row],[C-Flex 3500K Eco Part Number]],Lutron_CFlex_Lookup[],MATCH("Lutron Kit PN",Lutron_CFlex_Lookup[#Headers],0),FALSE),"")</f>
        <v/>
      </c>
      <c r="AH45" s="1" t="str">
        <f>_xlfn.IFNA(VLOOKUP(Master_Reference[[#This Row],[C-Flex 4000K Eco Part Number]],Lutron_CFlex_Lookup[],MATCH("Lutron Kit PN",Lutron_CFlex_Lookup[#Headers],0),FALSE),"")</f>
        <v/>
      </c>
      <c r="AI45" s="1" t="str">
        <f>_xlfn.IFNA(VLOOKUP(Master_Reference[[#This Row],[C-Flex 5000K Eco Part Number]],Lutron_CFlex_Lookup[],MATCH("Lutron Kit PN",Lutron_CFlex_Lookup[#Headers],0),FALSE),"")</f>
        <v/>
      </c>
      <c r="AJ45" s="1" t="str">
        <f>_xlfn.IFNA(VLOOKUP(Master_Reference[[#This Row],[C-Flex 3000K 3W Part Number]],Lutron_CFlex_Lookup[],MATCH("Lutron Kit PN",Lutron_CFlex_Lookup[#Headers],0),FALSE),"")</f>
        <v/>
      </c>
      <c r="AK45" s="1" t="str">
        <f>_xlfn.IFNA(VLOOKUP(Master_Reference[[#This Row],[C-Flex 3500K 3W Part Number]],Lutron_CFlex_Lookup[],MATCH("Lutron Kit PN",Lutron_CFlex_Lookup[#Headers],0),FALSE),"")</f>
        <v/>
      </c>
      <c r="AL45" s="1" t="str">
        <f>_xlfn.IFNA(VLOOKUP(Master_Reference[[#This Row],[C-Flex 4000K 3W Part Number]],Lutron_CFlex_Lookup[],MATCH("Lutron Kit PN",Lutron_CFlex_Lookup[#Headers],0),FALSE),"")</f>
        <v/>
      </c>
      <c r="AM45" s="1" t="str">
        <f>_xlfn.IFNA(VLOOKUP(Master_Reference[[#This Row],[C-Flex 5000K 3W Part Number]],Lutron_CFlex_Lookup[],MATCH("Lutron Kit PN",Lutron_CFlex_Lookup[#Headers],0),FALSE),"")</f>
        <v/>
      </c>
      <c r="AN45" s="1" t="b">
        <f>NOT(ISNA(VLOOKUP(Master_Reference[[#This Row],[Model Number]],ObsoleteModels[],1,FALSE)))</f>
        <v>1</v>
      </c>
      <c r="AO45" s="1" t="str">
        <f>IF(LEFT(Master_Reference[[#This Row],[Model Number]],1)="U",LEFT(Master_Reference[[#This Row],[Model Number]],4),LEFT(Master_Reference[[#This Row],[Model Number]],3))</f>
        <v>EC3</v>
      </c>
    </row>
    <row r="46" spans="1:41" x14ac:dyDescent="0.25">
      <c r="A46" s="2" t="s">
        <v>183</v>
      </c>
      <c r="B46" s="1" t="b">
        <v>1</v>
      </c>
      <c r="C46" s="1" t="b">
        <v>1</v>
      </c>
      <c r="G46" s="1" t="str">
        <f>IF(OR(LEFT(RIGHT(Master_Reference[[#This Row],[Model Number]],3),1)="C",LEFT(RIGHT(Master_Reference[[#This Row],[Model Number]],4),1)="C"),TRUE,"")</f>
        <v/>
      </c>
      <c r="H46" s="1" t="str">
        <f>IF(LEFT(Master_Reference[[#This Row],[Model Number]],1)="U",TRUE,"")</f>
        <v/>
      </c>
      <c r="I46" s="1" t="str">
        <f>IF(Master_Reference[[#This Row],[Lamp Type]]="T4","",IF(Master_Reference[[#This Row],[Case Type]]="M","",TRUE))</f>
        <v/>
      </c>
      <c r="J46" s="1" t="str">
        <f t="shared" si="0"/>
        <v>T4</v>
      </c>
      <c r="K46" s="1">
        <v>42</v>
      </c>
      <c r="L46" s="1" t="s">
        <v>88</v>
      </c>
      <c r="M46" s="1">
        <v>1</v>
      </c>
      <c r="N46" s="1" t="s">
        <v>149</v>
      </c>
      <c r="O46" s="1" t="s">
        <v>150</v>
      </c>
      <c r="P46" s="1" t="b">
        <v>1</v>
      </c>
      <c r="Q46" s="1" t="s">
        <v>91</v>
      </c>
      <c r="R46" t="b">
        <v>0</v>
      </c>
      <c r="S46" t="b">
        <v>0</v>
      </c>
      <c r="T46" t="b">
        <f>IF(COUNTBLANK(Master_Reference[[#This Row],[Lutron 3000K Eco Part Number]:[Lutron 4000K Eco Part Number]])=3,FALSE,TRUE)</f>
        <v>0</v>
      </c>
      <c r="U46" t="b">
        <f>IF(COUNTBLANK(Master_Reference[[#This Row],[Lutron 3000K 3W Part Number]:[Lutron 4000K 3W Part Number]])=3,FALSE,TRUE)</f>
        <v>0</v>
      </c>
      <c r="V46" s="12"/>
      <c r="W46" s="12"/>
      <c r="X46" s="12"/>
      <c r="Y46" t="s">
        <v>2125</v>
      </c>
      <c r="Z46" s="12"/>
      <c r="AA46" s="12"/>
      <c r="AB46" s="12"/>
      <c r="AC46" t="s">
        <v>2125</v>
      </c>
      <c r="AD46" t="str">
        <f>SUBSTITUTE(Master_Reference[[#This Row],[C-Flex 4000K Eco Part Number]],"40-","xx-")</f>
        <v/>
      </c>
      <c r="AE46" t="str">
        <f>SUBSTITUTE(Master_Reference[[#This Row],[C-Flex 4000K 3W Part Number]],"40-","xx-")</f>
        <v/>
      </c>
      <c r="AF46" s="1" t="str">
        <f>_xlfn.IFNA(VLOOKUP(Master_Reference[[#This Row],[C-Flex 3000K Eco Part Number]],Lutron_CFlex_Lookup[],MATCH("Lutron Kit PN",Lutron_CFlex_Lookup[#Headers],0),FALSE),"")</f>
        <v/>
      </c>
      <c r="AG46" s="1" t="str">
        <f>_xlfn.IFNA(VLOOKUP(Master_Reference[[#This Row],[C-Flex 3500K Eco Part Number]],Lutron_CFlex_Lookup[],MATCH("Lutron Kit PN",Lutron_CFlex_Lookup[#Headers],0),FALSE),"")</f>
        <v/>
      </c>
      <c r="AH46" s="1" t="str">
        <f>_xlfn.IFNA(VLOOKUP(Master_Reference[[#This Row],[C-Flex 4000K Eco Part Number]],Lutron_CFlex_Lookup[],MATCH("Lutron Kit PN",Lutron_CFlex_Lookup[#Headers],0),FALSE),"")</f>
        <v/>
      </c>
      <c r="AI46" s="1" t="str">
        <f>_xlfn.IFNA(VLOOKUP(Master_Reference[[#This Row],[C-Flex 5000K Eco Part Number]],Lutron_CFlex_Lookup[],MATCH("Lutron Kit PN",Lutron_CFlex_Lookup[#Headers],0),FALSE),"")</f>
        <v/>
      </c>
      <c r="AJ46" s="1" t="str">
        <f>_xlfn.IFNA(VLOOKUP(Master_Reference[[#This Row],[C-Flex 3000K 3W Part Number]],Lutron_CFlex_Lookup[],MATCH("Lutron Kit PN",Lutron_CFlex_Lookup[#Headers],0),FALSE),"")</f>
        <v/>
      </c>
      <c r="AK46" s="1" t="str">
        <f>_xlfn.IFNA(VLOOKUP(Master_Reference[[#This Row],[C-Flex 3500K 3W Part Number]],Lutron_CFlex_Lookup[],MATCH("Lutron Kit PN",Lutron_CFlex_Lookup[#Headers],0),FALSE),"")</f>
        <v/>
      </c>
      <c r="AL46" s="1" t="str">
        <f>_xlfn.IFNA(VLOOKUP(Master_Reference[[#This Row],[C-Flex 4000K 3W Part Number]],Lutron_CFlex_Lookup[],MATCH("Lutron Kit PN",Lutron_CFlex_Lookup[#Headers],0),FALSE),"")</f>
        <v/>
      </c>
      <c r="AM46" s="1" t="str">
        <f>_xlfn.IFNA(VLOOKUP(Master_Reference[[#This Row],[C-Flex 5000K 3W Part Number]],Lutron_CFlex_Lookup[],MATCH("Lutron Kit PN",Lutron_CFlex_Lookup[#Headers],0),FALSE),"")</f>
        <v/>
      </c>
      <c r="AN46" s="1" t="b">
        <f>NOT(ISNA(VLOOKUP(Master_Reference[[#This Row],[Model Number]],ObsoleteModels[],1,FALSE)))</f>
        <v>1</v>
      </c>
      <c r="AO46" s="1" t="str">
        <f>IF(LEFT(Master_Reference[[#This Row],[Model Number]],1)="U",LEFT(Master_Reference[[#This Row],[Model Number]],4),LEFT(Master_Reference[[#This Row],[Model Number]],3))</f>
        <v>EC3</v>
      </c>
    </row>
    <row r="47" spans="1:41" x14ac:dyDescent="0.25">
      <c r="A47" s="2" t="s">
        <v>184</v>
      </c>
      <c r="B47" s="1" t="b">
        <v>1</v>
      </c>
      <c r="C47" s="1" t="b">
        <v>1</v>
      </c>
      <c r="G47" s="1" t="str">
        <f>IF(OR(LEFT(RIGHT(Master_Reference[[#This Row],[Model Number]],3),1)="C",LEFT(RIGHT(Master_Reference[[#This Row],[Model Number]],4),1)="C"),TRUE,"")</f>
        <v/>
      </c>
      <c r="H47" s="1" t="str">
        <f>IF(LEFT(Master_Reference[[#This Row],[Model Number]],1)="U",TRUE,"")</f>
        <v/>
      </c>
      <c r="I47" s="1" t="str">
        <f>IF(Master_Reference[[#This Row],[Lamp Type]]="T4","",IF(Master_Reference[[#This Row],[Case Type]]="M","",TRUE))</f>
        <v/>
      </c>
      <c r="J47" s="1" t="str">
        <f t="shared" si="0"/>
        <v>T4</v>
      </c>
      <c r="K47" s="1">
        <v>42</v>
      </c>
      <c r="L47" s="1" t="s">
        <v>88</v>
      </c>
      <c r="M47" s="1">
        <v>2</v>
      </c>
      <c r="N47" s="1" t="s">
        <v>149</v>
      </c>
      <c r="O47" s="1" t="s">
        <v>150</v>
      </c>
      <c r="R47" t="b">
        <f>IF(COUNTBLANK(Master_Reference[[#This Row],[C-Flex 3000K Eco Part Number]:[C-Flex 4000K Eco Part Number]])=3,FALSE,TRUE)</f>
        <v>1</v>
      </c>
      <c r="S47" t="b">
        <f>IF(COUNTBLANK(Master_Reference[[#This Row],[C-Flex 3000K 3W Part Number]:[C-Flex 4000K 3W Part Number]])=3,FALSE,TRUE)</f>
        <v>1</v>
      </c>
      <c r="T47" t="b">
        <f>IF(COUNTBLANK(Master_Reference[[#This Row],[Lutron 3000K Eco Part Number]:[Lutron 4000K Eco Part Number]])=3,FALSE,TRUE)</f>
        <v>1</v>
      </c>
      <c r="U47" t="b">
        <f>IF(COUNTBLANK(Master_Reference[[#This Row],[Lutron 3000K 3W Part Number]:[Lutron 4000K 3W Part Number]])=3,FALSE,TRUE)</f>
        <v>1</v>
      </c>
      <c r="V47" s="12" t="s">
        <v>1592</v>
      </c>
      <c r="W47" s="12" t="s">
        <v>1593</v>
      </c>
      <c r="X47" s="12" t="s">
        <v>1594</v>
      </c>
      <c r="Y47" t="s">
        <v>2125</v>
      </c>
      <c r="Z47" s="12" t="s">
        <v>1595</v>
      </c>
      <c r="AA47" s="12" t="s">
        <v>1596</v>
      </c>
      <c r="AB47" s="12" t="s">
        <v>1597</v>
      </c>
      <c r="AC47" t="s">
        <v>2125</v>
      </c>
      <c r="AD47" t="str">
        <f>SUBSTITUTE(Master_Reference[[#This Row],[C-Flex 4000K Eco Part Number]],"40-","xx-")</f>
        <v>RP-G24Q-242H-1L-8xx-E1-KN-G2</v>
      </c>
      <c r="AE47" t="str">
        <f>SUBSTITUTE(Master_Reference[[#This Row],[C-Flex 4000K 3W Part Number]],"40-","xx-")</f>
        <v>RP-G24Q-242H-1L-8xx-3W-KN-G2</v>
      </c>
      <c r="AF47" s="1" t="str">
        <f>_xlfn.IFNA(VLOOKUP(Master_Reference[[#This Row],[C-Flex 3000K Eco Part Number]],Lutron_CFlex_Lookup[],MATCH("Lutron Kit PN",Lutron_CFlex_Lookup[#Headers],0),FALSE),"")</f>
        <v>ELDPCAH-1C30-q</v>
      </c>
      <c r="AG47" s="1" t="str">
        <f>_xlfn.IFNA(VLOOKUP(Master_Reference[[#This Row],[C-Flex 3500K Eco Part Number]],Lutron_CFlex_Lookup[],MATCH("Lutron Kit PN",Lutron_CFlex_Lookup[#Headers],0),FALSE),"")</f>
        <v>ELDPCAH-1C35-q</v>
      </c>
      <c r="AH47" s="1" t="str">
        <f>_xlfn.IFNA(VLOOKUP(Master_Reference[[#This Row],[C-Flex 4000K Eco Part Number]],Lutron_CFlex_Lookup[],MATCH("Lutron Kit PN",Lutron_CFlex_Lookup[#Headers],0),FALSE),"")</f>
        <v>ELDPCAH-1C40-q</v>
      </c>
      <c r="AI47" s="1" t="str">
        <f>_xlfn.IFNA(VLOOKUP(Master_Reference[[#This Row],[C-Flex 5000K Eco Part Number]],Lutron_CFlex_Lookup[],MATCH("Lutron Kit PN",Lutron_CFlex_Lookup[#Headers],0),FALSE),"")</f>
        <v/>
      </c>
      <c r="AJ47" s="1" t="str">
        <f>_xlfn.IFNA(VLOOKUP(Master_Reference[[#This Row],[C-Flex 3000K 3W Part Number]],Lutron_CFlex_Lookup[],MATCH("Lutron Kit PN",Lutron_CFlex_Lookup[#Headers],0),FALSE),"")</f>
        <v>3LDPCAH-1C30-q</v>
      </c>
      <c r="AK47" s="1" t="str">
        <f>_xlfn.IFNA(VLOOKUP(Master_Reference[[#This Row],[C-Flex 3500K 3W Part Number]],Lutron_CFlex_Lookup[],MATCH("Lutron Kit PN",Lutron_CFlex_Lookup[#Headers],0),FALSE),"")</f>
        <v>3LDPCAH-1C35-q</v>
      </c>
      <c r="AL47" s="1" t="str">
        <f>_xlfn.IFNA(VLOOKUP(Master_Reference[[#This Row],[C-Flex 4000K 3W Part Number]],Lutron_CFlex_Lookup[],MATCH("Lutron Kit PN",Lutron_CFlex_Lookup[#Headers],0),FALSE),"")</f>
        <v>3LDPCAH-1C40-q</v>
      </c>
      <c r="AM47" s="1" t="str">
        <f>_xlfn.IFNA(VLOOKUP(Master_Reference[[#This Row],[C-Flex 5000K 3W Part Number]],Lutron_CFlex_Lookup[],MATCH("Lutron Kit PN",Lutron_CFlex_Lookup[#Headers],0),FALSE),"")</f>
        <v/>
      </c>
      <c r="AN47" s="1" t="b">
        <f>NOT(ISNA(VLOOKUP(Master_Reference[[#This Row],[Model Number]],ObsoleteModels[],1,FALSE)))</f>
        <v>1</v>
      </c>
      <c r="AO47" s="1" t="str">
        <f>IF(LEFT(Master_Reference[[#This Row],[Model Number]],1)="U",LEFT(Master_Reference[[#This Row],[Model Number]],4),LEFT(Master_Reference[[#This Row],[Model Number]],3))</f>
        <v>EC3</v>
      </c>
    </row>
    <row r="48" spans="1:41" x14ac:dyDescent="0.25">
      <c r="A48" s="2" t="s">
        <v>185</v>
      </c>
      <c r="B48" s="1" t="b">
        <v>1</v>
      </c>
      <c r="C48" s="1" t="b">
        <v>1</v>
      </c>
      <c r="G48" s="1" t="str">
        <f>IF(OR(LEFT(RIGHT(Master_Reference[[#This Row],[Model Number]],3),1)="C",LEFT(RIGHT(Master_Reference[[#This Row],[Model Number]],4),1)="C"),TRUE,"")</f>
        <v/>
      </c>
      <c r="H48" s="1" t="str">
        <f>IF(LEFT(Master_Reference[[#This Row],[Model Number]],1)="U",TRUE,"")</f>
        <v/>
      </c>
      <c r="I48" s="1" t="str">
        <f>IF(Master_Reference[[#This Row],[Lamp Type]]="T4","",IF(Master_Reference[[#This Row],[Case Type]]="M","",TRUE))</f>
        <v/>
      </c>
      <c r="J48" s="1" t="str">
        <f t="shared" si="0"/>
        <v>T4</v>
      </c>
      <c r="K48" s="1">
        <v>42</v>
      </c>
      <c r="L48" s="1" t="s">
        <v>88</v>
      </c>
      <c r="M48" s="1">
        <v>2</v>
      </c>
      <c r="N48" s="1" t="s">
        <v>149</v>
      </c>
      <c r="O48" s="1" t="s">
        <v>150</v>
      </c>
      <c r="Q48" s="1" t="s">
        <v>91</v>
      </c>
      <c r="R48" t="b">
        <f>IF(COUNTBLANK(Master_Reference[[#This Row],[C-Flex 3000K Eco Part Number]:[C-Flex 4000K Eco Part Number]])=3,FALSE,TRUE)</f>
        <v>0</v>
      </c>
      <c r="S48" t="b">
        <f>IF(COUNTBLANK(Master_Reference[[#This Row],[C-Flex 3000K 3W Part Number]:[C-Flex 4000K 3W Part Number]])=3,FALSE,TRUE)</f>
        <v>0</v>
      </c>
      <c r="T48" t="b">
        <f>IF(COUNTBLANK(Master_Reference[[#This Row],[Lutron 3000K Eco Part Number]:[Lutron 4000K Eco Part Number]])=3,FALSE,TRUE)</f>
        <v>0</v>
      </c>
      <c r="U48" t="b">
        <f>IF(COUNTBLANK(Master_Reference[[#This Row],[Lutron 3000K 3W Part Number]:[Lutron 4000K 3W Part Number]])=3,FALSE,TRUE)</f>
        <v>0</v>
      </c>
      <c r="V48" s="12"/>
      <c r="W48" s="12"/>
      <c r="X48" s="12"/>
      <c r="Y48" t="s">
        <v>2125</v>
      </c>
      <c r="Z48" s="12"/>
      <c r="AA48" s="12"/>
      <c r="AB48" s="12"/>
      <c r="AC48" t="s">
        <v>2125</v>
      </c>
      <c r="AD48" t="str">
        <f>SUBSTITUTE(Master_Reference[[#This Row],[C-Flex 4000K Eco Part Number]],"40-","xx-")</f>
        <v/>
      </c>
      <c r="AE48" t="str">
        <f>SUBSTITUTE(Master_Reference[[#This Row],[C-Flex 4000K 3W Part Number]],"40-","xx-")</f>
        <v/>
      </c>
      <c r="AF48" s="1" t="str">
        <f>_xlfn.IFNA(VLOOKUP(Master_Reference[[#This Row],[C-Flex 3000K Eco Part Number]],Lutron_CFlex_Lookup[],MATCH("Lutron Kit PN",Lutron_CFlex_Lookup[#Headers],0),FALSE),"")</f>
        <v/>
      </c>
      <c r="AG48" s="1" t="str">
        <f>_xlfn.IFNA(VLOOKUP(Master_Reference[[#This Row],[C-Flex 3500K Eco Part Number]],Lutron_CFlex_Lookup[],MATCH("Lutron Kit PN",Lutron_CFlex_Lookup[#Headers],0),FALSE),"")</f>
        <v/>
      </c>
      <c r="AH48" s="1" t="str">
        <f>_xlfn.IFNA(VLOOKUP(Master_Reference[[#This Row],[C-Flex 4000K Eco Part Number]],Lutron_CFlex_Lookup[],MATCH("Lutron Kit PN",Lutron_CFlex_Lookup[#Headers],0),FALSE),"")</f>
        <v/>
      </c>
      <c r="AI48" s="1" t="str">
        <f>_xlfn.IFNA(VLOOKUP(Master_Reference[[#This Row],[C-Flex 5000K Eco Part Number]],Lutron_CFlex_Lookup[],MATCH("Lutron Kit PN",Lutron_CFlex_Lookup[#Headers],0),FALSE),"")</f>
        <v/>
      </c>
      <c r="AJ48" s="1" t="str">
        <f>_xlfn.IFNA(VLOOKUP(Master_Reference[[#This Row],[C-Flex 3000K 3W Part Number]],Lutron_CFlex_Lookup[],MATCH("Lutron Kit PN",Lutron_CFlex_Lookup[#Headers],0),FALSE),"")</f>
        <v/>
      </c>
      <c r="AK48" s="1" t="str">
        <f>_xlfn.IFNA(VLOOKUP(Master_Reference[[#This Row],[C-Flex 3500K 3W Part Number]],Lutron_CFlex_Lookup[],MATCH("Lutron Kit PN",Lutron_CFlex_Lookup[#Headers],0),FALSE),"")</f>
        <v/>
      </c>
      <c r="AL48" s="1" t="str">
        <f>_xlfn.IFNA(VLOOKUP(Master_Reference[[#This Row],[C-Flex 4000K 3W Part Number]],Lutron_CFlex_Lookup[],MATCH("Lutron Kit PN",Lutron_CFlex_Lookup[#Headers],0),FALSE),"")</f>
        <v/>
      </c>
      <c r="AM48" s="1" t="str">
        <f>_xlfn.IFNA(VLOOKUP(Master_Reference[[#This Row],[C-Flex 5000K 3W Part Number]],Lutron_CFlex_Lookup[],MATCH("Lutron Kit PN",Lutron_CFlex_Lookup[#Headers],0),FALSE),"")</f>
        <v/>
      </c>
      <c r="AN48" s="1" t="b">
        <f>NOT(ISNA(VLOOKUP(Master_Reference[[#This Row],[Model Number]],ObsoleteModels[],1,FALSE)))</f>
        <v>1</v>
      </c>
      <c r="AO48" s="1" t="str">
        <f>IF(LEFT(Master_Reference[[#This Row],[Model Number]],1)="U",LEFT(Master_Reference[[#This Row],[Model Number]],4),LEFT(Master_Reference[[#This Row],[Model Number]],3))</f>
        <v>EC3</v>
      </c>
    </row>
    <row r="49" spans="1:41" x14ac:dyDescent="0.25">
      <c r="A49" s="2" t="s">
        <v>186</v>
      </c>
      <c r="B49" s="1" t="b">
        <v>1</v>
      </c>
      <c r="C49" s="1" t="b">
        <v>1</v>
      </c>
      <c r="G49" s="1" t="str">
        <f>IF(OR(LEFT(RIGHT(Master_Reference[[#This Row],[Model Number]],3),1)="C",LEFT(RIGHT(Master_Reference[[#This Row],[Model Number]],4),1)="C"),TRUE,"")</f>
        <v/>
      </c>
      <c r="H49" s="1" t="str">
        <f>IF(LEFT(Master_Reference[[#This Row],[Model Number]],1)="U",TRUE,"")</f>
        <v/>
      </c>
      <c r="I49" s="1" t="str">
        <f>IF(Master_Reference[[#This Row],[Lamp Type]]="T4","",IF(Master_Reference[[#This Row],[Case Type]]="M","",TRUE))</f>
        <v/>
      </c>
      <c r="J49" s="1" t="str">
        <f t="shared" si="0"/>
        <v>T4</v>
      </c>
      <c r="K49" s="1">
        <v>42</v>
      </c>
      <c r="L49" s="1" t="s">
        <v>88</v>
      </c>
      <c r="M49" s="1">
        <v>2</v>
      </c>
      <c r="N49" s="1" t="s">
        <v>149</v>
      </c>
      <c r="O49" s="1" t="s">
        <v>150</v>
      </c>
      <c r="P49" s="1" t="b">
        <v>1</v>
      </c>
      <c r="R49" t="b">
        <f>IF(COUNTBLANK(Master_Reference[[#This Row],[C-Flex 3000K Eco Part Number]:[C-Flex 4000K Eco Part Number]])=3,FALSE,TRUE)</f>
        <v>1</v>
      </c>
      <c r="S49" t="b">
        <f>IF(COUNTBLANK(Master_Reference[[#This Row],[C-Flex 3000K 3W Part Number]:[C-Flex 4000K 3W Part Number]])=3,FALSE,TRUE)</f>
        <v>1</v>
      </c>
      <c r="T49" t="b">
        <f>IF(COUNTBLANK(Master_Reference[[#This Row],[Lutron 3000K Eco Part Number]:[Lutron 4000K Eco Part Number]])=3,FALSE,TRUE)</f>
        <v>1</v>
      </c>
      <c r="U49" t="b">
        <f>IF(COUNTBLANK(Master_Reference[[#This Row],[Lutron 3000K 3W Part Number]:[Lutron 4000K 3W Part Number]])=3,FALSE,TRUE)</f>
        <v>1</v>
      </c>
      <c r="V49" s="12" t="s">
        <v>1598</v>
      </c>
      <c r="W49" s="12" t="s">
        <v>1599</v>
      </c>
      <c r="X49" s="12" t="s">
        <v>1600</v>
      </c>
      <c r="Y49" t="s">
        <v>2125</v>
      </c>
      <c r="Z49" s="12" t="s">
        <v>1601</v>
      </c>
      <c r="AA49" s="12" t="s">
        <v>1602</v>
      </c>
      <c r="AB49" s="12" t="s">
        <v>1603</v>
      </c>
      <c r="AC49" t="s">
        <v>2125</v>
      </c>
      <c r="AD49" t="str">
        <f>SUBSTITUTE(Master_Reference[[#This Row],[C-Flex 4000K Eco Part Number]],"40-","xx-")</f>
        <v>RP-G24Q-242H-1L-8xx-E1-K-G2</v>
      </c>
      <c r="AE49" t="str">
        <f>SUBSTITUTE(Master_Reference[[#This Row],[C-Flex 4000K 3W Part Number]],"40-","xx-")</f>
        <v>RP-G24Q-242H-1L-8xx-3W-K-G2</v>
      </c>
      <c r="AF49" s="1" t="str">
        <f>_xlfn.IFNA(VLOOKUP(Master_Reference[[#This Row],[C-Flex 3000K Eco Part Number]],Lutron_CFlex_Lookup[],MATCH("Lutron Kit PN",Lutron_CFlex_Lookup[#Headers],0),FALSE),"")</f>
        <v>ELDPCAH-1K30-q</v>
      </c>
      <c r="AG49" s="1" t="str">
        <f>_xlfn.IFNA(VLOOKUP(Master_Reference[[#This Row],[C-Flex 3500K Eco Part Number]],Lutron_CFlex_Lookup[],MATCH("Lutron Kit PN",Lutron_CFlex_Lookup[#Headers],0),FALSE),"")</f>
        <v>ELDPCAH-1K35-q</v>
      </c>
      <c r="AH49" s="1" t="str">
        <f>_xlfn.IFNA(VLOOKUP(Master_Reference[[#This Row],[C-Flex 4000K Eco Part Number]],Lutron_CFlex_Lookup[],MATCH("Lutron Kit PN",Lutron_CFlex_Lookup[#Headers],0),FALSE),"")</f>
        <v>ELDPCAH-1K40-q</v>
      </c>
      <c r="AI49" s="1" t="str">
        <f>_xlfn.IFNA(VLOOKUP(Master_Reference[[#This Row],[C-Flex 5000K Eco Part Number]],Lutron_CFlex_Lookup[],MATCH("Lutron Kit PN",Lutron_CFlex_Lookup[#Headers],0),FALSE),"")</f>
        <v/>
      </c>
      <c r="AJ49" s="1" t="str">
        <f>_xlfn.IFNA(VLOOKUP(Master_Reference[[#This Row],[C-Flex 3000K 3W Part Number]],Lutron_CFlex_Lookup[],MATCH("Lutron Kit PN",Lutron_CFlex_Lookup[#Headers],0),FALSE),"")</f>
        <v>3LDPCAH-1K30-q</v>
      </c>
      <c r="AK49" s="1" t="str">
        <f>_xlfn.IFNA(VLOOKUP(Master_Reference[[#This Row],[C-Flex 3500K 3W Part Number]],Lutron_CFlex_Lookup[],MATCH("Lutron Kit PN",Lutron_CFlex_Lookup[#Headers],0),FALSE),"")</f>
        <v>3LDPCAH-1K35-q</v>
      </c>
      <c r="AL49" s="1" t="str">
        <f>_xlfn.IFNA(VLOOKUP(Master_Reference[[#This Row],[C-Flex 4000K 3W Part Number]],Lutron_CFlex_Lookup[],MATCH("Lutron Kit PN",Lutron_CFlex_Lookup[#Headers],0),FALSE),"")</f>
        <v>3LDPCAH-1K40-q</v>
      </c>
      <c r="AM49" s="1" t="str">
        <f>_xlfn.IFNA(VLOOKUP(Master_Reference[[#This Row],[C-Flex 5000K 3W Part Number]],Lutron_CFlex_Lookup[],MATCH("Lutron Kit PN",Lutron_CFlex_Lookup[#Headers],0),FALSE),"")</f>
        <v/>
      </c>
      <c r="AN49" s="1" t="b">
        <f>NOT(ISNA(VLOOKUP(Master_Reference[[#This Row],[Model Number]],ObsoleteModels[],1,FALSE)))</f>
        <v>1</v>
      </c>
      <c r="AO49" s="1" t="str">
        <f>IF(LEFT(Master_Reference[[#This Row],[Model Number]],1)="U",LEFT(Master_Reference[[#This Row],[Model Number]],4),LEFT(Master_Reference[[#This Row],[Model Number]],3))</f>
        <v>EC3</v>
      </c>
    </row>
    <row r="50" spans="1:41" x14ac:dyDescent="0.25">
      <c r="A50" s="2" t="s">
        <v>187</v>
      </c>
      <c r="B50" s="1" t="b">
        <v>1</v>
      </c>
      <c r="C50" s="1" t="b">
        <v>1</v>
      </c>
      <c r="G50" s="1" t="b">
        <f>IF(OR(LEFT(RIGHT(Master_Reference[[#This Row],[Model Number]],3),1)="C",LEFT(RIGHT(Master_Reference[[#This Row],[Model Number]],4),1)="C"),TRUE,"")</f>
        <v>1</v>
      </c>
      <c r="H50" s="1" t="str">
        <f>IF(LEFT(Master_Reference[[#This Row],[Model Number]],1)="U",TRUE,"")</f>
        <v/>
      </c>
      <c r="I50" s="1" t="str">
        <f>IF(Master_Reference[[#This Row],[Lamp Type]]="T4","",IF(Master_Reference[[#This Row],[Case Type]]="M","",TRUE))</f>
        <v/>
      </c>
      <c r="J50" s="1" t="str">
        <f t="shared" si="0"/>
        <v>T4</v>
      </c>
      <c r="K50" s="1">
        <v>42</v>
      </c>
      <c r="L50" s="1" t="s">
        <v>88</v>
      </c>
      <c r="M50" s="1">
        <v>2</v>
      </c>
      <c r="N50" s="1" t="s">
        <v>149</v>
      </c>
      <c r="O50" s="1" t="s">
        <v>150</v>
      </c>
      <c r="P50" s="1" t="b">
        <v>1</v>
      </c>
      <c r="R50" t="b">
        <f>IF(COUNTBLANK(Master_Reference[[#This Row],[C-Flex 3000K Eco Part Number]:[C-Flex 4000K Eco Part Number]])=3,FALSE,TRUE)</f>
        <v>1</v>
      </c>
      <c r="S50" t="b">
        <f>IF(COUNTBLANK(Master_Reference[[#This Row],[C-Flex 3000K 3W Part Number]:[C-Flex 4000K 3W Part Number]])=3,FALSE,TRUE)</f>
        <v>1</v>
      </c>
      <c r="T50" t="b">
        <f>IF(COUNTBLANK(Master_Reference[[#This Row],[Lutron 3000K Eco Part Number]:[Lutron 4000K Eco Part Number]])=3,FALSE,TRUE)</f>
        <v>1</v>
      </c>
      <c r="U50" t="b">
        <f>IF(COUNTBLANK(Master_Reference[[#This Row],[Lutron 3000K 3W Part Number]:[Lutron 4000K 3W Part Number]])=3,FALSE,TRUE)</f>
        <v>1</v>
      </c>
      <c r="V50" s="12" t="s">
        <v>1598</v>
      </c>
      <c r="W50" s="12" t="s">
        <v>1599</v>
      </c>
      <c r="X50" s="12" t="s">
        <v>1600</v>
      </c>
      <c r="Y50" t="s">
        <v>2125</v>
      </c>
      <c r="Z50" s="12" t="s">
        <v>1601</v>
      </c>
      <c r="AA50" s="12" t="s">
        <v>1602</v>
      </c>
      <c r="AB50" s="12" t="s">
        <v>1603</v>
      </c>
      <c r="AC50" t="s">
        <v>2125</v>
      </c>
      <c r="AD50" t="str">
        <f>SUBSTITUTE(Master_Reference[[#This Row],[C-Flex 4000K Eco Part Number]],"40-","xx-")</f>
        <v>RP-G24Q-242H-1L-8xx-E1-K-G2</v>
      </c>
      <c r="AE50" t="str">
        <f>SUBSTITUTE(Master_Reference[[#This Row],[C-Flex 4000K 3W Part Number]],"40-","xx-")</f>
        <v>RP-G24Q-242H-1L-8xx-3W-K-G2</v>
      </c>
      <c r="AF50" s="1" t="str">
        <f>_xlfn.IFNA(VLOOKUP(Master_Reference[[#This Row],[C-Flex 3000K Eco Part Number]],Lutron_CFlex_Lookup[],MATCH("Lutron Kit PN",Lutron_CFlex_Lookup[#Headers],0),FALSE),"")</f>
        <v>ELDPCAH-1K30-q</v>
      </c>
      <c r="AG50" s="1" t="str">
        <f>_xlfn.IFNA(VLOOKUP(Master_Reference[[#This Row],[C-Flex 3500K Eco Part Number]],Lutron_CFlex_Lookup[],MATCH("Lutron Kit PN",Lutron_CFlex_Lookup[#Headers],0),FALSE),"")</f>
        <v>ELDPCAH-1K35-q</v>
      </c>
      <c r="AH50" s="1" t="str">
        <f>_xlfn.IFNA(VLOOKUP(Master_Reference[[#This Row],[C-Flex 4000K Eco Part Number]],Lutron_CFlex_Lookup[],MATCH("Lutron Kit PN",Lutron_CFlex_Lookup[#Headers],0),FALSE),"")</f>
        <v>ELDPCAH-1K40-q</v>
      </c>
      <c r="AI50" s="1" t="str">
        <f>_xlfn.IFNA(VLOOKUP(Master_Reference[[#This Row],[C-Flex 5000K Eco Part Number]],Lutron_CFlex_Lookup[],MATCH("Lutron Kit PN",Lutron_CFlex_Lookup[#Headers],0),FALSE),"")</f>
        <v/>
      </c>
      <c r="AJ50" s="1" t="str">
        <f>_xlfn.IFNA(VLOOKUP(Master_Reference[[#This Row],[C-Flex 3000K 3W Part Number]],Lutron_CFlex_Lookup[],MATCH("Lutron Kit PN",Lutron_CFlex_Lookup[#Headers],0),FALSE),"")</f>
        <v>3LDPCAH-1K30-q</v>
      </c>
      <c r="AK50" s="1" t="str">
        <f>_xlfn.IFNA(VLOOKUP(Master_Reference[[#This Row],[C-Flex 3500K 3W Part Number]],Lutron_CFlex_Lookup[],MATCH("Lutron Kit PN",Lutron_CFlex_Lookup[#Headers],0),FALSE),"")</f>
        <v>3LDPCAH-1K35-q</v>
      </c>
      <c r="AL50" s="1" t="str">
        <f>_xlfn.IFNA(VLOOKUP(Master_Reference[[#This Row],[C-Flex 4000K 3W Part Number]],Lutron_CFlex_Lookup[],MATCH("Lutron Kit PN",Lutron_CFlex_Lookup[#Headers],0),FALSE),"")</f>
        <v>3LDPCAH-1K40-q</v>
      </c>
      <c r="AM50" s="1" t="str">
        <f>_xlfn.IFNA(VLOOKUP(Master_Reference[[#This Row],[C-Flex 5000K 3W Part Number]],Lutron_CFlex_Lookup[],MATCH("Lutron Kit PN",Lutron_CFlex_Lookup[#Headers],0),FALSE),"")</f>
        <v/>
      </c>
      <c r="AN50" s="1" t="b">
        <f>NOT(ISNA(VLOOKUP(Master_Reference[[#This Row],[Model Number]],ObsoleteModels[],1,FALSE)))</f>
        <v>1</v>
      </c>
      <c r="AO50" s="1" t="str">
        <f>IF(LEFT(Master_Reference[[#This Row],[Model Number]],1)="U",LEFT(Master_Reference[[#This Row],[Model Number]],4),LEFT(Master_Reference[[#This Row],[Model Number]],3))</f>
        <v>EC3</v>
      </c>
    </row>
    <row r="51" spans="1:41" x14ac:dyDescent="0.25">
      <c r="A51" s="2" t="s">
        <v>188</v>
      </c>
      <c r="B51" s="1" t="b">
        <v>1</v>
      </c>
      <c r="C51" s="1" t="b">
        <v>1</v>
      </c>
      <c r="G51" s="1" t="str">
        <f>IF(OR(LEFT(RIGHT(Master_Reference[[#This Row],[Model Number]],3),1)="C",LEFT(RIGHT(Master_Reference[[#This Row],[Model Number]],4),1)="C"),TRUE,"")</f>
        <v/>
      </c>
      <c r="H51" s="1" t="str">
        <f>IF(LEFT(Master_Reference[[#This Row],[Model Number]],1)="U",TRUE,"")</f>
        <v/>
      </c>
      <c r="I51" s="1" t="str">
        <f>IF(Master_Reference[[#This Row],[Lamp Type]]="T4","",IF(Master_Reference[[#This Row],[Case Type]]="M","",TRUE))</f>
        <v/>
      </c>
      <c r="J51" s="1" t="str">
        <f t="shared" si="0"/>
        <v>T4</v>
      </c>
      <c r="K51" s="1">
        <v>42</v>
      </c>
      <c r="L51" s="1" t="s">
        <v>88</v>
      </c>
      <c r="M51" s="1">
        <v>2</v>
      </c>
      <c r="N51" s="1" t="s">
        <v>149</v>
      </c>
      <c r="O51" s="1" t="s">
        <v>150</v>
      </c>
      <c r="P51" s="1" t="b">
        <v>1</v>
      </c>
      <c r="Q51" s="1" t="s">
        <v>91</v>
      </c>
      <c r="R51" t="b">
        <f>IF(COUNTBLANK(Master_Reference[[#This Row],[C-Flex 3000K Eco Part Number]:[C-Flex 4000K Eco Part Number]])=3,FALSE,TRUE)</f>
        <v>0</v>
      </c>
      <c r="S51" t="b">
        <f>IF(COUNTBLANK(Master_Reference[[#This Row],[C-Flex 3000K 3W Part Number]:[C-Flex 4000K 3W Part Number]])=3,FALSE,TRUE)</f>
        <v>0</v>
      </c>
      <c r="T51" t="b">
        <f>IF(COUNTBLANK(Master_Reference[[#This Row],[Lutron 3000K Eco Part Number]:[Lutron 4000K Eco Part Number]])=3,FALSE,TRUE)</f>
        <v>0</v>
      </c>
      <c r="U51" t="b">
        <f>IF(COUNTBLANK(Master_Reference[[#This Row],[Lutron 3000K 3W Part Number]:[Lutron 4000K 3W Part Number]])=3,FALSE,TRUE)</f>
        <v>0</v>
      </c>
      <c r="V51" s="12"/>
      <c r="W51" s="12"/>
      <c r="X51" s="12"/>
      <c r="Y51" t="s">
        <v>2125</v>
      </c>
      <c r="Z51" s="12"/>
      <c r="AA51" s="12"/>
      <c r="AB51" s="12"/>
      <c r="AC51" t="s">
        <v>2125</v>
      </c>
      <c r="AD51" t="str">
        <f>SUBSTITUTE(Master_Reference[[#This Row],[C-Flex 4000K Eco Part Number]],"40-","xx-")</f>
        <v/>
      </c>
      <c r="AE51" t="str">
        <f>SUBSTITUTE(Master_Reference[[#This Row],[C-Flex 4000K 3W Part Number]],"40-","xx-")</f>
        <v/>
      </c>
      <c r="AF51" s="1" t="str">
        <f>_xlfn.IFNA(VLOOKUP(Master_Reference[[#This Row],[C-Flex 3000K Eco Part Number]],Lutron_CFlex_Lookup[],MATCH("Lutron Kit PN",Lutron_CFlex_Lookup[#Headers],0),FALSE),"")</f>
        <v/>
      </c>
      <c r="AG51" s="1" t="str">
        <f>_xlfn.IFNA(VLOOKUP(Master_Reference[[#This Row],[C-Flex 3500K Eco Part Number]],Lutron_CFlex_Lookup[],MATCH("Lutron Kit PN",Lutron_CFlex_Lookup[#Headers],0),FALSE),"")</f>
        <v/>
      </c>
      <c r="AH51" s="1" t="str">
        <f>_xlfn.IFNA(VLOOKUP(Master_Reference[[#This Row],[C-Flex 4000K Eco Part Number]],Lutron_CFlex_Lookup[],MATCH("Lutron Kit PN",Lutron_CFlex_Lookup[#Headers],0),FALSE),"")</f>
        <v/>
      </c>
      <c r="AI51" s="1" t="str">
        <f>_xlfn.IFNA(VLOOKUP(Master_Reference[[#This Row],[C-Flex 5000K Eco Part Number]],Lutron_CFlex_Lookup[],MATCH("Lutron Kit PN",Lutron_CFlex_Lookup[#Headers],0),FALSE),"")</f>
        <v/>
      </c>
      <c r="AJ51" s="1" t="str">
        <f>_xlfn.IFNA(VLOOKUP(Master_Reference[[#This Row],[C-Flex 3000K 3W Part Number]],Lutron_CFlex_Lookup[],MATCH("Lutron Kit PN",Lutron_CFlex_Lookup[#Headers],0),FALSE),"")</f>
        <v/>
      </c>
      <c r="AK51" s="1" t="str">
        <f>_xlfn.IFNA(VLOOKUP(Master_Reference[[#This Row],[C-Flex 3500K 3W Part Number]],Lutron_CFlex_Lookup[],MATCH("Lutron Kit PN",Lutron_CFlex_Lookup[#Headers],0),FALSE),"")</f>
        <v/>
      </c>
      <c r="AL51" s="1" t="str">
        <f>_xlfn.IFNA(VLOOKUP(Master_Reference[[#This Row],[C-Flex 4000K 3W Part Number]],Lutron_CFlex_Lookup[],MATCH("Lutron Kit PN",Lutron_CFlex_Lookup[#Headers],0),FALSE),"")</f>
        <v/>
      </c>
      <c r="AM51" s="1" t="str">
        <f>_xlfn.IFNA(VLOOKUP(Master_Reference[[#This Row],[C-Flex 5000K 3W Part Number]],Lutron_CFlex_Lookup[],MATCH("Lutron Kit PN",Lutron_CFlex_Lookup[#Headers],0),FALSE),"")</f>
        <v/>
      </c>
      <c r="AN51" s="1" t="b">
        <f>NOT(ISNA(VLOOKUP(Master_Reference[[#This Row],[Model Number]],ObsoleteModels[],1,FALSE)))</f>
        <v>1</v>
      </c>
      <c r="AO51" s="1" t="str">
        <f>IF(LEFT(Master_Reference[[#This Row],[Model Number]],1)="U",LEFT(Master_Reference[[#This Row],[Model Number]],4),LEFT(Master_Reference[[#This Row],[Model Number]],3))</f>
        <v>EC3</v>
      </c>
    </row>
    <row r="52" spans="1:41" x14ac:dyDescent="0.25">
      <c r="A52" s="2" t="s">
        <v>189</v>
      </c>
      <c r="B52" s="1" t="b">
        <v>1</v>
      </c>
      <c r="C52" s="1" t="b">
        <v>1</v>
      </c>
      <c r="G52" s="1" t="str">
        <f>IF(OR(LEFT(RIGHT(Master_Reference[[#This Row],[Model Number]],3),1)="C",LEFT(RIGHT(Master_Reference[[#This Row],[Model Number]],4),1)="C"),TRUE,"")</f>
        <v/>
      </c>
      <c r="H52" s="1" t="str">
        <f>IF(LEFT(Master_Reference[[#This Row],[Model Number]],1)="U",TRUE,"")</f>
        <v/>
      </c>
      <c r="I52" s="1" t="str">
        <f>IF(Master_Reference[[#This Row],[Lamp Type]]="T4","",IF(Master_Reference[[#This Row],[Case Type]]="M","",TRUE))</f>
        <v/>
      </c>
      <c r="J52" s="1" t="str">
        <f t="shared" si="0"/>
        <v>T4</v>
      </c>
      <c r="K52" s="1" t="s">
        <v>190</v>
      </c>
      <c r="L52" s="1" t="s">
        <v>88</v>
      </c>
      <c r="M52" s="1">
        <v>1</v>
      </c>
      <c r="N52" s="1" t="s">
        <v>149</v>
      </c>
      <c r="O52" s="1" t="s">
        <v>150</v>
      </c>
      <c r="R52" t="b">
        <f>IF(COUNTBLANK(Master_Reference[[#This Row],[C-Flex 3000K Eco Part Number]:[C-Flex 4000K Eco Part Number]])=3,FALSE,TRUE)</f>
        <v>1</v>
      </c>
      <c r="S52" t="b">
        <f>IF(COUNTBLANK(Master_Reference[[#This Row],[C-Flex 3000K 3W Part Number]:[C-Flex 4000K 3W Part Number]])=3,FALSE,TRUE)</f>
        <v>1</v>
      </c>
      <c r="T52" t="b">
        <f>IF(COUNTBLANK(Master_Reference[[#This Row],[Lutron 3000K Eco Part Number]:[Lutron 4000K Eco Part Number]])=3,FALSE,TRUE)</f>
        <v>0</v>
      </c>
      <c r="U52" t="b">
        <f>IF(COUNTBLANK(Master_Reference[[#This Row],[Lutron 3000K 3W Part Number]:[Lutron 4000K 3W Part Number]])=3,FALSE,TRUE)</f>
        <v>0</v>
      </c>
      <c r="V52" s="12" t="s">
        <v>191</v>
      </c>
      <c r="W52" s="12" t="s">
        <v>192</v>
      </c>
      <c r="X52" s="12" t="s">
        <v>193</v>
      </c>
      <c r="Y52" t="s">
        <v>2125</v>
      </c>
      <c r="Z52" s="12" t="s">
        <v>194</v>
      </c>
      <c r="AA52" s="12" t="s">
        <v>195</v>
      </c>
      <c r="AB52" s="12" t="s">
        <v>196</v>
      </c>
      <c r="AC52" t="s">
        <v>2125</v>
      </c>
      <c r="AD52" t="str">
        <f>SUBSTITUTE(Master_Reference[[#This Row],[C-Flex 4000K Eco Part Number]],"40-","xx-")</f>
        <v>RP-G24Q-1wwm-1L-8xx-E1-KN-G2</v>
      </c>
      <c r="AE52" t="str">
        <f>SUBSTITUTE(Master_Reference[[#This Row],[C-Flex 4000K 3W Part Number]],"40-","xx-")</f>
        <v>RP-G24Q-1wwm-1L-8xx-3W-KN-G2</v>
      </c>
      <c r="AF52" s="1" t="str">
        <f>_xlfn.IFNA(VLOOKUP(Master_Reference[[#This Row],[C-Flex 3000K Eco Part Number]],Lutron_CFlex_Lookup[],MATCH("Lutron Kit PN",Lutron_CFlex_Lookup[#Headers],0),FALSE),"")</f>
        <v/>
      </c>
      <c r="AG52" s="1" t="str">
        <f>_xlfn.IFNA(VLOOKUP(Master_Reference[[#This Row],[C-Flex 3500K Eco Part Number]],Lutron_CFlex_Lookup[],MATCH("Lutron Kit PN",Lutron_CFlex_Lookup[#Headers],0),FALSE),"")</f>
        <v/>
      </c>
      <c r="AH52" s="1" t="str">
        <f>_xlfn.IFNA(VLOOKUP(Master_Reference[[#This Row],[C-Flex 4000K Eco Part Number]],Lutron_CFlex_Lookup[],MATCH("Lutron Kit PN",Lutron_CFlex_Lookup[#Headers],0),FALSE),"")</f>
        <v/>
      </c>
      <c r="AI52" s="1" t="str">
        <f>_xlfn.IFNA(VLOOKUP(Master_Reference[[#This Row],[C-Flex 5000K Eco Part Number]],Lutron_CFlex_Lookup[],MATCH("Lutron Kit PN",Lutron_CFlex_Lookup[#Headers],0),FALSE),"")</f>
        <v/>
      </c>
      <c r="AJ52" s="1" t="str">
        <f>_xlfn.IFNA(VLOOKUP(Master_Reference[[#This Row],[C-Flex 3000K 3W Part Number]],Lutron_CFlex_Lookup[],MATCH("Lutron Kit PN",Lutron_CFlex_Lookup[#Headers],0),FALSE),"")</f>
        <v/>
      </c>
      <c r="AK52" s="1" t="str">
        <f>_xlfn.IFNA(VLOOKUP(Master_Reference[[#This Row],[C-Flex 3500K 3W Part Number]],Lutron_CFlex_Lookup[],MATCH("Lutron Kit PN",Lutron_CFlex_Lookup[#Headers],0),FALSE),"")</f>
        <v/>
      </c>
      <c r="AL52" s="1" t="str">
        <f>_xlfn.IFNA(VLOOKUP(Master_Reference[[#This Row],[C-Flex 4000K 3W Part Number]],Lutron_CFlex_Lookup[],MATCH("Lutron Kit PN",Lutron_CFlex_Lookup[#Headers],0),FALSE),"")</f>
        <v/>
      </c>
      <c r="AM52" s="1" t="str">
        <f>_xlfn.IFNA(VLOOKUP(Master_Reference[[#This Row],[C-Flex 5000K 3W Part Number]],Lutron_CFlex_Lookup[],MATCH("Lutron Kit PN",Lutron_CFlex_Lookup[#Headers],0),FALSE),"")</f>
        <v/>
      </c>
      <c r="AN52" s="1" t="b">
        <f>NOT(ISNA(VLOOKUP(Master_Reference[[#This Row],[Model Number]],ObsoleteModels[],1,FALSE)))</f>
        <v>1</v>
      </c>
      <c r="AO52" s="1" t="str">
        <f>IF(LEFT(Master_Reference[[#This Row],[Model Number]],1)="U",LEFT(Master_Reference[[#This Row],[Model Number]],4),LEFT(Master_Reference[[#This Row],[Model Number]],3))</f>
        <v>EC3</v>
      </c>
    </row>
    <row r="53" spans="1:41" x14ac:dyDescent="0.25">
      <c r="A53" s="2" t="s">
        <v>197</v>
      </c>
      <c r="B53" s="1" t="b">
        <v>1</v>
      </c>
      <c r="C53" s="1" t="b">
        <v>1</v>
      </c>
      <c r="G53" s="1" t="str">
        <f>IF(OR(LEFT(RIGHT(Master_Reference[[#This Row],[Model Number]],3),1)="C",LEFT(RIGHT(Master_Reference[[#This Row],[Model Number]],4),1)="C"),TRUE,"")</f>
        <v/>
      </c>
      <c r="H53" s="1" t="str">
        <f>IF(LEFT(Master_Reference[[#This Row],[Model Number]],1)="U",TRUE,"")</f>
        <v/>
      </c>
      <c r="I53" s="1" t="str">
        <f>IF(Master_Reference[[#This Row],[Lamp Type]]="T4","",IF(Master_Reference[[#This Row],[Case Type]]="M","",TRUE))</f>
        <v/>
      </c>
      <c r="J53" s="1" t="str">
        <f t="shared" si="0"/>
        <v>T4</v>
      </c>
      <c r="K53" s="1" t="s">
        <v>190</v>
      </c>
      <c r="L53" s="1" t="s">
        <v>88</v>
      </c>
      <c r="M53" s="1">
        <v>1</v>
      </c>
      <c r="N53" s="1" t="s">
        <v>149</v>
      </c>
      <c r="O53" s="1" t="s">
        <v>150</v>
      </c>
      <c r="Q53" s="1" t="s">
        <v>91</v>
      </c>
      <c r="R53" t="b">
        <f>IF(COUNTBLANK(Master_Reference[[#This Row],[C-Flex 3000K Eco Part Number]:[C-Flex 4000K Eco Part Number]])=3,FALSE,TRUE)</f>
        <v>0</v>
      </c>
      <c r="S53" t="b">
        <f>IF(COUNTBLANK(Master_Reference[[#This Row],[C-Flex 3000K 3W Part Number]:[C-Flex 4000K 3W Part Number]])=3,FALSE,TRUE)</f>
        <v>0</v>
      </c>
      <c r="T53" t="b">
        <f>IF(COUNTBLANK(Master_Reference[[#This Row],[Lutron 3000K Eco Part Number]:[Lutron 4000K Eco Part Number]])=3,FALSE,TRUE)</f>
        <v>0</v>
      </c>
      <c r="U53" t="b">
        <f>IF(COUNTBLANK(Master_Reference[[#This Row],[Lutron 3000K 3W Part Number]:[Lutron 4000K 3W Part Number]])=3,FALSE,TRUE)</f>
        <v>0</v>
      </c>
      <c r="V53" s="12"/>
      <c r="W53" s="12"/>
      <c r="X53" s="12"/>
      <c r="Y53" t="s">
        <v>2125</v>
      </c>
      <c r="Z53" s="12"/>
      <c r="AA53" s="12"/>
      <c r="AB53" s="12"/>
      <c r="AC53" t="s">
        <v>2125</v>
      </c>
      <c r="AD53" t="str">
        <f>SUBSTITUTE(Master_Reference[[#This Row],[C-Flex 4000K Eco Part Number]],"40-","xx-")</f>
        <v/>
      </c>
      <c r="AE53" t="str">
        <f>SUBSTITUTE(Master_Reference[[#This Row],[C-Flex 4000K 3W Part Number]],"40-","xx-")</f>
        <v/>
      </c>
      <c r="AF53" s="1" t="str">
        <f>_xlfn.IFNA(VLOOKUP(Master_Reference[[#This Row],[C-Flex 3000K Eco Part Number]],Lutron_CFlex_Lookup[],MATCH("Lutron Kit PN",Lutron_CFlex_Lookup[#Headers],0),FALSE),"")</f>
        <v/>
      </c>
      <c r="AG53" s="1" t="str">
        <f>_xlfn.IFNA(VLOOKUP(Master_Reference[[#This Row],[C-Flex 3500K Eco Part Number]],Lutron_CFlex_Lookup[],MATCH("Lutron Kit PN",Lutron_CFlex_Lookup[#Headers],0),FALSE),"")</f>
        <v/>
      </c>
      <c r="AH53" s="1" t="str">
        <f>_xlfn.IFNA(VLOOKUP(Master_Reference[[#This Row],[C-Flex 4000K Eco Part Number]],Lutron_CFlex_Lookup[],MATCH("Lutron Kit PN",Lutron_CFlex_Lookup[#Headers],0),FALSE),"")</f>
        <v/>
      </c>
      <c r="AI53" s="1" t="str">
        <f>_xlfn.IFNA(VLOOKUP(Master_Reference[[#This Row],[C-Flex 5000K Eco Part Number]],Lutron_CFlex_Lookup[],MATCH("Lutron Kit PN",Lutron_CFlex_Lookup[#Headers],0),FALSE),"")</f>
        <v/>
      </c>
      <c r="AJ53" s="1" t="str">
        <f>_xlfn.IFNA(VLOOKUP(Master_Reference[[#This Row],[C-Flex 3000K 3W Part Number]],Lutron_CFlex_Lookup[],MATCH("Lutron Kit PN",Lutron_CFlex_Lookup[#Headers],0),FALSE),"")</f>
        <v/>
      </c>
      <c r="AK53" s="1" t="str">
        <f>_xlfn.IFNA(VLOOKUP(Master_Reference[[#This Row],[C-Flex 3500K 3W Part Number]],Lutron_CFlex_Lookup[],MATCH("Lutron Kit PN",Lutron_CFlex_Lookup[#Headers],0),FALSE),"")</f>
        <v/>
      </c>
      <c r="AL53" s="1" t="str">
        <f>_xlfn.IFNA(VLOOKUP(Master_Reference[[#This Row],[C-Flex 4000K 3W Part Number]],Lutron_CFlex_Lookup[],MATCH("Lutron Kit PN",Lutron_CFlex_Lookup[#Headers],0),FALSE),"")</f>
        <v/>
      </c>
      <c r="AM53" s="1" t="str">
        <f>_xlfn.IFNA(VLOOKUP(Master_Reference[[#This Row],[C-Flex 5000K 3W Part Number]],Lutron_CFlex_Lookup[],MATCH("Lutron Kit PN",Lutron_CFlex_Lookup[#Headers],0),FALSE),"")</f>
        <v/>
      </c>
      <c r="AN53" s="1" t="b">
        <f>NOT(ISNA(VLOOKUP(Master_Reference[[#This Row],[Model Number]],ObsoleteModels[],1,FALSE)))</f>
        <v>1</v>
      </c>
      <c r="AO53" s="1" t="str">
        <f>IF(LEFT(Master_Reference[[#This Row],[Model Number]],1)="U",LEFT(Master_Reference[[#This Row],[Model Number]],4),LEFT(Master_Reference[[#This Row],[Model Number]],3))</f>
        <v>EC3</v>
      </c>
    </row>
    <row r="54" spans="1:41" x14ac:dyDescent="0.25">
      <c r="A54" s="2" t="s">
        <v>198</v>
      </c>
      <c r="B54" s="1" t="b">
        <v>1</v>
      </c>
      <c r="C54" s="1" t="b">
        <v>1</v>
      </c>
      <c r="G54" s="1" t="str">
        <f>IF(OR(LEFT(RIGHT(Master_Reference[[#This Row],[Model Number]],3),1)="C",LEFT(RIGHT(Master_Reference[[#This Row],[Model Number]],4),1)="C"),TRUE,"")</f>
        <v/>
      </c>
      <c r="H54" s="1" t="str">
        <f>IF(LEFT(Master_Reference[[#This Row],[Model Number]],1)="U",TRUE,"")</f>
        <v/>
      </c>
      <c r="I54" s="1" t="str">
        <f>IF(Master_Reference[[#This Row],[Lamp Type]]="T4","",IF(Master_Reference[[#This Row],[Case Type]]="M","",TRUE))</f>
        <v/>
      </c>
      <c r="J54" s="1" t="str">
        <f t="shared" si="0"/>
        <v>T4</v>
      </c>
      <c r="K54" s="1" t="s">
        <v>190</v>
      </c>
      <c r="L54" s="1" t="s">
        <v>88</v>
      </c>
      <c r="M54" s="1">
        <v>1</v>
      </c>
      <c r="N54" s="1" t="s">
        <v>149</v>
      </c>
      <c r="O54" s="1" t="s">
        <v>150</v>
      </c>
      <c r="P54" s="1" t="b">
        <v>1</v>
      </c>
      <c r="R54" t="b">
        <f>IF(COUNTBLANK(Master_Reference[[#This Row],[C-Flex 3000K Eco Part Number]:[C-Flex 4000K Eco Part Number]])=3,FALSE,TRUE)</f>
        <v>1</v>
      </c>
      <c r="S54" t="b">
        <f>IF(COUNTBLANK(Master_Reference[[#This Row],[C-Flex 3000K 3W Part Number]:[C-Flex 4000K 3W Part Number]])=3,FALSE,TRUE)</f>
        <v>1</v>
      </c>
      <c r="T54" t="b">
        <f>IF(COUNTBLANK(Master_Reference[[#This Row],[Lutron 3000K Eco Part Number]:[Lutron 4000K Eco Part Number]])=3,FALSE,TRUE)</f>
        <v>0</v>
      </c>
      <c r="U54" t="b">
        <f>IF(COUNTBLANK(Master_Reference[[#This Row],[Lutron 3000K 3W Part Number]:[Lutron 4000K 3W Part Number]])=3,FALSE,TRUE)</f>
        <v>0</v>
      </c>
      <c r="V54" s="12" t="s">
        <v>199</v>
      </c>
      <c r="W54" s="12" t="s">
        <v>200</v>
      </c>
      <c r="X54" s="12" t="s">
        <v>201</v>
      </c>
      <c r="Y54" t="s">
        <v>2125</v>
      </c>
      <c r="Z54" s="12" t="s">
        <v>202</v>
      </c>
      <c r="AA54" s="12" t="s">
        <v>203</v>
      </c>
      <c r="AB54" s="12" t="s">
        <v>204</v>
      </c>
      <c r="AC54" t="s">
        <v>2125</v>
      </c>
      <c r="AD54" t="str">
        <f>SUBSTITUTE(Master_Reference[[#This Row],[C-Flex 4000K Eco Part Number]],"40-","xx-")</f>
        <v>RP-G24Q-1wwm-1L-8xx-E1-K-G2</v>
      </c>
      <c r="AE54" t="str">
        <f>SUBSTITUTE(Master_Reference[[#This Row],[C-Flex 4000K 3W Part Number]],"40-","xx-")</f>
        <v>RP-G24Q-1wwm-1L-8xx-3W-K-G2</v>
      </c>
      <c r="AF54" s="1" t="str">
        <f>_xlfn.IFNA(VLOOKUP(Master_Reference[[#This Row],[C-Flex 3000K Eco Part Number]],Lutron_CFlex_Lookup[],MATCH("Lutron Kit PN",Lutron_CFlex_Lookup[#Headers],0),FALSE),"")</f>
        <v/>
      </c>
      <c r="AG54" s="1" t="str">
        <f>_xlfn.IFNA(VLOOKUP(Master_Reference[[#This Row],[C-Flex 3500K Eco Part Number]],Lutron_CFlex_Lookup[],MATCH("Lutron Kit PN",Lutron_CFlex_Lookup[#Headers],0),FALSE),"")</f>
        <v/>
      </c>
      <c r="AH54" s="1" t="str">
        <f>_xlfn.IFNA(VLOOKUP(Master_Reference[[#This Row],[C-Flex 4000K Eco Part Number]],Lutron_CFlex_Lookup[],MATCH("Lutron Kit PN",Lutron_CFlex_Lookup[#Headers],0),FALSE),"")</f>
        <v/>
      </c>
      <c r="AI54" s="1" t="str">
        <f>_xlfn.IFNA(VLOOKUP(Master_Reference[[#This Row],[C-Flex 5000K Eco Part Number]],Lutron_CFlex_Lookup[],MATCH("Lutron Kit PN",Lutron_CFlex_Lookup[#Headers],0),FALSE),"")</f>
        <v/>
      </c>
      <c r="AJ54" s="1" t="str">
        <f>_xlfn.IFNA(VLOOKUP(Master_Reference[[#This Row],[C-Flex 3000K 3W Part Number]],Lutron_CFlex_Lookup[],MATCH("Lutron Kit PN",Lutron_CFlex_Lookup[#Headers],0),FALSE),"")</f>
        <v/>
      </c>
      <c r="AK54" s="1" t="str">
        <f>_xlfn.IFNA(VLOOKUP(Master_Reference[[#This Row],[C-Flex 3500K 3W Part Number]],Lutron_CFlex_Lookup[],MATCH("Lutron Kit PN",Lutron_CFlex_Lookup[#Headers],0),FALSE),"")</f>
        <v/>
      </c>
      <c r="AL54" s="1" t="str">
        <f>_xlfn.IFNA(VLOOKUP(Master_Reference[[#This Row],[C-Flex 4000K 3W Part Number]],Lutron_CFlex_Lookup[],MATCH("Lutron Kit PN",Lutron_CFlex_Lookup[#Headers],0),FALSE),"")</f>
        <v/>
      </c>
      <c r="AM54" s="1" t="str">
        <f>_xlfn.IFNA(VLOOKUP(Master_Reference[[#This Row],[C-Flex 5000K 3W Part Number]],Lutron_CFlex_Lookup[],MATCH("Lutron Kit PN",Lutron_CFlex_Lookup[#Headers],0),FALSE),"")</f>
        <v/>
      </c>
      <c r="AN54" s="1" t="b">
        <f>NOT(ISNA(VLOOKUP(Master_Reference[[#This Row],[Model Number]],ObsoleteModels[],1,FALSE)))</f>
        <v>1</v>
      </c>
      <c r="AO54" s="1" t="str">
        <f>IF(LEFT(Master_Reference[[#This Row],[Model Number]],1)="U",LEFT(Master_Reference[[#This Row],[Model Number]],4),LEFT(Master_Reference[[#This Row],[Model Number]],3))</f>
        <v>EC3</v>
      </c>
    </row>
    <row r="55" spans="1:41" x14ac:dyDescent="0.25">
      <c r="A55" s="2" t="s">
        <v>205</v>
      </c>
      <c r="B55" s="1" t="b">
        <v>1</v>
      </c>
      <c r="C55" s="1" t="b">
        <v>1</v>
      </c>
      <c r="G55" s="1" t="b">
        <f>IF(OR(LEFT(RIGHT(Master_Reference[[#This Row],[Model Number]],3),1)="C",LEFT(RIGHT(Master_Reference[[#This Row],[Model Number]],4),1)="C"),TRUE,"")</f>
        <v>1</v>
      </c>
      <c r="H55" s="1" t="str">
        <f>IF(LEFT(Master_Reference[[#This Row],[Model Number]],1)="U",TRUE,"")</f>
        <v/>
      </c>
      <c r="I55" s="1" t="str">
        <f>IF(Master_Reference[[#This Row],[Lamp Type]]="T4","",IF(Master_Reference[[#This Row],[Case Type]]="M","",TRUE))</f>
        <v/>
      </c>
      <c r="J55" s="1" t="str">
        <f t="shared" si="0"/>
        <v>T4</v>
      </c>
      <c r="K55" s="1" t="s">
        <v>190</v>
      </c>
      <c r="L55" s="1" t="s">
        <v>88</v>
      </c>
      <c r="M55" s="1">
        <v>1</v>
      </c>
      <c r="N55" s="1" t="s">
        <v>149</v>
      </c>
      <c r="O55" s="1" t="s">
        <v>150</v>
      </c>
      <c r="P55" s="1" t="b">
        <v>1</v>
      </c>
      <c r="R55" t="b">
        <f>IF(COUNTBLANK(Master_Reference[[#This Row],[C-Flex 3000K Eco Part Number]:[C-Flex 4000K Eco Part Number]])=3,FALSE,TRUE)</f>
        <v>1</v>
      </c>
      <c r="S55" t="b">
        <f>IF(COUNTBLANK(Master_Reference[[#This Row],[C-Flex 3000K 3W Part Number]:[C-Flex 4000K 3W Part Number]])=3,FALSE,TRUE)</f>
        <v>1</v>
      </c>
      <c r="T55" t="b">
        <f>IF(COUNTBLANK(Master_Reference[[#This Row],[Lutron 3000K Eco Part Number]:[Lutron 4000K Eco Part Number]])=3,FALSE,TRUE)</f>
        <v>0</v>
      </c>
      <c r="U55" t="b">
        <f>IF(COUNTBLANK(Master_Reference[[#This Row],[Lutron 3000K 3W Part Number]:[Lutron 4000K 3W Part Number]])=3,FALSE,TRUE)</f>
        <v>0</v>
      </c>
      <c r="V55" s="12" t="s">
        <v>199</v>
      </c>
      <c r="W55" s="12" t="s">
        <v>200</v>
      </c>
      <c r="X55" s="12" t="s">
        <v>201</v>
      </c>
      <c r="Y55" t="s">
        <v>2125</v>
      </c>
      <c r="Z55" s="12" t="s">
        <v>202</v>
      </c>
      <c r="AA55" s="12" t="s">
        <v>203</v>
      </c>
      <c r="AB55" s="12" t="s">
        <v>204</v>
      </c>
      <c r="AC55" t="s">
        <v>2125</v>
      </c>
      <c r="AD55" t="str">
        <f>SUBSTITUTE(Master_Reference[[#This Row],[C-Flex 4000K Eco Part Number]],"40-","xx-")</f>
        <v>RP-G24Q-1wwm-1L-8xx-E1-K-G2</v>
      </c>
      <c r="AE55" t="str">
        <f>SUBSTITUTE(Master_Reference[[#This Row],[C-Flex 4000K 3W Part Number]],"40-","xx-")</f>
        <v>RP-G24Q-1wwm-1L-8xx-3W-K-G2</v>
      </c>
      <c r="AF55" s="1" t="str">
        <f>_xlfn.IFNA(VLOOKUP(Master_Reference[[#This Row],[C-Flex 3000K Eco Part Number]],Lutron_CFlex_Lookup[],MATCH("Lutron Kit PN",Lutron_CFlex_Lookup[#Headers],0),FALSE),"")</f>
        <v/>
      </c>
      <c r="AG55" s="1" t="str">
        <f>_xlfn.IFNA(VLOOKUP(Master_Reference[[#This Row],[C-Flex 3500K Eco Part Number]],Lutron_CFlex_Lookup[],MATCH("Lutron Kit PN",Lutron_CFlex_Lookup[#Headers],0),FALSE),"")</f>
        <v/>
      </c>
      <c r="AH55" s="1" t="str">
        <f>_xlfn.IFNA(VLOOKUP(Master_Reference[[#This Row],[C-Flex 4000K Eco Part Number]],Lutron_CFlex_Lookup[],MATCH("Lutron Kit PN",Lutron_CFlex_Lookup[#Headers],0),FALSE),"")</f>
        <v/>
      </c>
      <c r="AI55" s="1" t="str">
        <f>_xlfn.IFNA(VLOOKUP(Master_Reference[[#This Row],[C-Flex 5000K Eco Part Number]],Lutron_CFlex_Lookup[],MATCH("Lutron Kit PN",Lutron_CFlex_Lookup[#Headers],0),FALSE),"")</f>
        <v/>
      </c>
      <c r="AJ55" s="1" t="str">
        <f>_xlfn.IFNA(VLOOKUP(Master_Reference[[#This Row],[C-Flex 3000K 3W Part Number]],Lutron_CFlex_Lookup[],MATCH("Lutron Kit PN",Lutron_CFlex_Lookup[#Headers],0),FALSE),"")</f>
        <v/>
      </c>
      <c r="AK55" s="1" t="str">
        <f>_xlfn.IFNA(VLOOKUP(Master_Reference[[#This Row],[C-Flex 3500K 3W Part Number]],Lutron_CFlex_Lookup[],MATCH("Lutron Kit PN",Lutron_CFlex_Lookup[#Headers],0),FALSE),"")</f>
        <v/>
      </c>
      <c r="AL55" s="1" t="str">
        <f>_xlfn.IFNA(VLOOKUP(Master_Reference[[#This Row],[C-Flex 4000K 3W Part Number]],Lutron_CFlex_Lookup[],MATCH("Lutron Kit PN",Lutron_CFlex_Lookup[#Headers],0),FALSE),"")</f>
        <v/>
      </c>
      <c r="AM55" s="1" t="str">
        <f>_xlfn.IFNA(VLOOKUP(Master_Reference[[#This Row],[C-Flex 5000K 3W Part Number]],Lutron_CFlex_Lookup[],MATCH("Lutron Kit PN",Lutron_CFlex_Lookup[#Headers],0),FALSE),"")</f>
        <v/>
      </c>
      <c r="AN55" s="1" t="b">
        <f>NOT(ISNA(VLOOKUP(Master_Reference[[#This Row],[Model Number]],ObsoleteModels[],1,FALSE)))</f>
        <v>1</v>
      </c>
      <c r="AO55" s="1" t="str">
        <f>IF(LEFT(Master_Reference[[#This Row],[Model Number]],1)="U",LEFT(Master_Reference[[#This Row],[Model Number]],4),LEFT(Master_Reference[[#This Row],[Model Number]],3))</f>
        <v>EC3</v>
      </c>
    </row>
    <row r="56" spans="1:41" x14ac:dyDescent="0.25">
      <c r="A56" s="2" t="s">
        <v>206</v>
      </c>
      <c r="B56" s="1" t="b">
        <v>1</v>
      </c>
      <c r="C56" s="1" t="b">
        <v>1</v>
      </c>
      <c r="G56" s="1" t="b">
        <f>IF(OR(LEFT(RIGHT(Master_Reference[[#This Row],[Model Number]],3),1)="C",LEFT(RIGHT(Master_Reference[[#This Row],[Model Number]],4),1)="C"),TRUE,"")</f>
        <v>1</v>
      </c>
      <c r="H56" s="1" t="str">
        <f>IF(LEFT(Master_Reference[[#This Row],[Model Number]],1)="U",TRUE,"")</f>
        <v/>
      </c>
      <c r="I56" s="1" t="str">
        <f>IF(Master_Reference[[#This Row],[Lamp Type]]="T4","",IF(Master_Reference[[#This Row],[Case Type]]="M","",TRUE))</f>
        <v/>
      </c>
      <c r="J56" s="1" t="str">
        <f t="shared" si="0"/>
        <v>T4</v>
      </c>
      <c r="K56" s="1" t="s">
        <v>190</v>
      </c>
      <c r="L56" s="1" t="s">
        <v>88</v>
      </c>
      <c r="M56" s="1">
        <v>1</v>
      </c>
      <c r="N56" s="1" t="s">
        <v>149</v>
      </c>
      <c r="O56" s="1" t="s">
        <v>150</v>
      </c>
      <c r="P56" s="1" t="b">
        <v>1</v>
      </c>
      <c r="R56" t="b">
        <f>IF(COUNTBLANK(Master_Reference[[#This Row],[C-Flex 3000K Eco Part Number]:[C-Flex 4000K Eco Part Number]])=3,FALSE,TRUE)</f>
        <v>1</v>
      </c>
      <c r="S56" t="b">
        <f>IF(COUNTBLANK(Master_Reference[[#This Row],[C-Flex 3000K 3W Part Number]:[C-Flex 4000K 3W Part Number]])=3,FALSE,TRUE)</f>
        <v>1</v>
      </c>
      <c r="T56" t="b">
        <f>IF(COUNTBLANK(Master_Reference[[#This Row],[Lutron 3000K Eco Part Number]:[Lutron 4000K Eco Part Number]])=3,FALSE,TRUE)</f>
        <v>0</v>
      </c>
      <c r="U56" t="b">
        <f>IF(COUNTBLANK(Master_Reference[[#This Row],[Lutron 3000K 3W Part Number]:[Lutron 4000K 3W Part Number]])=3,FALSE,TRUE)</f>
        <v>0</v>
      </c>
      <c r="V56" s="12" t="s">
        <v>199</v>
      </c>
      <c r="W56" s="12" t="s">
        <v>200</v>
      </c>
      <c r="X56" s="12" t="s">
        <v>201</v>
      </c>
      <c r="Y56" t="s">
        <v>2125</v>
      </c>
      <c r="Z56" s="12" t="s">
        <v>202</v>
      </c>
      <c r="AA56" s="12" t="s">
        <v>203</v>
      </c>
      <c r="AB56" s="12" t="s">
        <v>204</v>
      </c>
      <c r="AC56" t="s">
        <v>2125</v>
      </c>
      <c r="AD56" t="str">
        <f>SUBSTITUTE(Master_Reference[[#This Row],[C-Flex 4000K Eco Part Number]],"40-","xx-")</f>
        <v>RP-G24Q-1wwm-1L-8xx-E1-K-G2</v>
      </c>
      <c r="AE56" t="str">
        <f>SUBSTITUTE(Master_Reference[[#This Row],[C-Flex 4000K 3W Part Number]],"40-","xx-")</f>
        <v>RP-G24Q-1wwm-1L-8xx-3W-K-G2</v>
      </c>
      <c r="AF56" s="1" t="str">
        <f>_xlfn.IFNA(VLOOKUP(Master_Reference[[#This Row],[C-Flex 3000K Eco Part Number]],Lutron_CFlex_Lookup[],MATCH("Lutron Kit PN",Lutron_CFlex_Lookup[#Headers],0),FALSE),"")</f>
        <v/>
      </c>
      <c r="AG56" s="1" t="str">
        <f>_xlfn.IFNA(VLOOKUP(Master_Reference[[#This Row],[C-Flex 3500K Eco Part Number]],Lutron_CFlex_Lookup[],MATCH("Lutron Kit PN",Lutron_CFlex_Lookup[#Headers],0),FALSE),"")</f>
        <v/>
      </c>
      <c r="AH56" s="1" t="str">
        <f>_xlfn.IFNA(VLOOKUP(Master_Reference[[#This Row],[C-Flex 4000K Eco Part Number]],Lutron_CFlex_Lookup[],MATCH("Lutron Kit PN",Lutron_CFlex_Lookup[#Headers],0),FALSE),"")</f>
        <v/>
      </c>
      <c r="AI56" s="1" t="str">
        <f>_xlfn.IFNA(VLOOKUP(Master_Reference[[#This Row],[C-Flex 5000K Eco Part Number]],Lutron_CFlex_Lookup[],MATCH("Lutron Kit PN",Lutron_CFlex_Lookup[#Headers],0),FALSE),"")</f>
        <v/>
      </c>
      <c r="AJ56" s="1" t="str">
        <f>_xlfn.IFNA(VLOOKUP(Master_Reference[[#This Row],[C-Flex 3000K 3W Part Number]],Lutron_CFlex_Lookup[],MATCH("Lutron Kit PN",Lutron_CFlex_Lookup[#Headers],0),FALSE),"")</f>
        <v/>
      </c>
      <c r="AK56" s="1" t="str">
        <f>_xlfn.IFNA(VLOOKUP(Master_Reference[[#This Row],[C-Flex 3500K 3W Part Number]],Lutron_CFlex_Lookup[],MATCH("Lutron Kit PN",Lutron_CFlex_Lookup[#Headers],0),FALSE),"")</f>
        <v/>
      </c>
      <c r="AL56" s="1" t="str">
        <f>_xlfn.IFNA(VLOOKUP(Master_Reference[[#This Row],[C-Flex 4000K 3W Part Number]],Lutron_CFlex_Lookup[],MATCH("Lutron Kit PN",Lutron_CFlex_Lookup[#Headers],0),FALSE),"")</f>
        <v/>
      </c>
      <c r="AM56" s="1" t="str">
        <f>_xlfn.IFNA(VLOOKUP(Master_Reference[[#This Row],[C-Flex 5000K 3W Part Number]],Lutron_CFlex_Lookup[],MATCH("Lutron Kit PN",Lutron_CFlex_Lookup[#Headers],0),FALSE),"")</f>
        <v/>
      </c>
      <c r="AN56" s="1" t="b">
        <f>NOT(ISNA(VLOOKUP(Master_Reference[[#This Row],[Model Number]],ObsoleteModels[],1,FALSE)))</f>
        <v>1</v>
      </c>
      <c r="AO56" s="1" t="str">
        <f>IF(LEFT(Master_Reference[[#This Row],[Model Number]],1)="U",LEFT(Master_Reference[[#This Row],[Model Number]],4),LEFT(Master_Reference[[#This Row],[Model Number]],3))</f>
        <v>EC3</v>
      </c>
    </row>
    <row r="57" spans="1:41" x14ac:dyDescent="0.25">
      <c r="A57" s="2" t="s">
        <v>207</v>
      </c>
      <c r="B57" s="1" t="b">
        <v>1</v>
      </c>
      <c r="C57" s="1" t="b">
        <v>1</v>
      </c>
      <c r="G57" s="1" t="b">
        <f>IF(OR(LEFT(RIGHT(Master_Reference[[#This Row],[Model Number]],3),1)="C",LEFT(RIGHT(Master_Reference[[#This Row],[Model Number]],4),1)="C"),TRUE,"")</f>
        <v>1</v>
      </c>
      <c r="H57" s="1" t="str">
        <f>IF(LEFT(Master_Reference[[#This Row],[Model Number]],1)="U",TRUE,"")</f>
        <v/>
      </c>
      <c r="I57" s="1" t="str">
        <f>IF(Master_Reference[[#This Row],[Lamp Type]]="T4","",IF(Master_Reference[[#This Row],[Case Type]]="M","",TRUE))</f>
        <v/>
      </c>
      <c r="J57" s="1" t="str">
        <f t="shared" si="0"/>
        <v>T4</v>
      </c>
      <c r="K57" s="1" t="s">
        <v>190</v>
      </c>
      <c r="L57" s="1" t="s">
        <v>88</v>
      </c>
      <c r="M57" s="1">
        <v>1</v>
      </c>
      <c r="N57" s="1" t="s">
        <v>149</v>
      </c>
      <c r="O57" s="1" t="s">
        <v>150</v>
      </c>
      <c r="P57" s="1" t="b">
        <v>1</v>
      </c>
      <c r="R57" t="b">
        <f>IF(COUNTBLANK(Master_Reference[[#This Row],[C-Flex 3000K Eco Part Number]:[C-Flex 4000K Eco Part Number]])=3,FALSE,TRUE)</f>
        <v>1</v>
      </c>
      <c r="S57" t="b">
        <f>IF(COUNTBLANK(Master_Reference[[#This Row],[C-Flex 3000K 3W Part Number]:[C-Flex 4000K 3W Part Number]])=3,FALSE,TRUE)</f>
        <v>1</v>
      </c>
      <c r="T57" t="b">
        <f>IF(COUNTBLANK(Master_Reference[[#This Row],[Lutron 3000K Eco Part Number]:[Lutron 4000K Eco Part Number]])=3,FALSE,TRUE)</f>
        <v>0</v>
      </c>
      <c r="U57" t="b">
        <f>IF(COUNTBLANK(Master_Reference[[#This Row],[Lutron 3000K 3W Part Number]:[Lutron 4000K 3W Part Number]])=3,FALSE,TRUE)</f>
        <v>0</v>
      </c>
      <c r="V57" s="12" t="s">
        <v>199</v>
      </c>
      <c r="W57" s="12" t="s">
        <v>200</v>
      </c>
      <c r="X57" s="12" t="s">
        <v>201</v>
      </c>
      <c r="Y57" t="s">
        <v>2125</v>
      </c>
      <c r="Z57" s="12" t="s">
        <v>202</v>
      </c>
      <c r="AA57" s="12" t="s">
        <v>203</v>
      </c>
      <c r="AB57" s="12" t="s">
        <v>204</v>
      </c>
      <c r="AC57" t="s">
        <v>2125</v>
      </c>
      <c r="AD57" t="str">
        <f>SUBSTITUTE(Master_Reference[[#This Row],[C-Flex 4000K Eco Part Number]],"40-","xx-")</f>
        <v>RP-G24Q-1wwm-1L-8xx-E1-K-G2</v>
      </c>
      <c r="AE57" t="str">
        <f>SUBSTITUTE(Master_Reference[[#This Row],[C-Flex 4000K 3W Part Number]],"40-","xx-")</f>
        <v>RP-G24Q-1wwm-1L-8xx-3W-K-G2</v>
      </c>
      <c r="AF57" s="1" t="str">
        <f>_xlfn.IFNA(VLOOKUP(Master_Reference[[#This Row],[C-Flex 3000K Eco Part Number]],Lutron_CFlex_Lookup[],MATCH("Lutron Kit PN",Lutron_CFlex_Lookup[#Headers],0),FALSE),"")</f>
        <v/>
      </c>
      <c r="AG57" s="1" t="str">
        <f>_xlfn.IFNA(VLOOKUP(Master_Reference[[#This Row],[C-Flex 3500K Eco Part Number]],Lutron_CFlex_Lookup[],MATCH("Lutron Kit PN",Lutron_CFlex_Lookup[#Headers],0),FALSE),"")</f>
        <v/>
      </c>
      <c r="AH57" s="1" t="str">
        <f>_xlfn.IFNA(VLOOKUP(Master_Reference[[#This Row],[C-Flex 4000K Eco Part Number]],Lutron_CFlex_Lookup[],MATCH("Lutron Kit PN",Lutron_CFlex_Lookup[#Headers],0),FALSE),"")</f>
        <v/>
      </c>
      <c r="AI57" s="1" t="str">
        <f>_xlfn.IFNA(VLOOKUP(Master_Reference[[#This Row],[C-Flex 5000K Eco Part Number]],Lutron_CFlex_Lookup[],MATCH("Lutron Kit PN",Lutron_CFlex_Lookup[#Headers],0),FALSE),"")</f>
        <v/>
      </c>
      <c r="AJ57" s="1" t="str">
        <f>_xlfn.IFNA(VLOOKUP(Master_Reference[[#This Row],[C-Flex 3000K 3W Part Number]],Lutron_CFlex_Lookup[],MATCH("Lutron Kit PN",Lutron_CFlex_Lookup[#Headers],0),FALSE),"")</f>
        <v/>
      </c>
      <c r="AK57" s="1" t="str">
        <f>_xlfn.IFNA(VLOOKUP(Master_Reference[[#This Row],[C-Flex 3500K 3W Part Number]],Lutron_CFlex_Lookup[],MATCH("Lutron Kit PN",Lutron_CFlex_Lookup[#Headers],0),FALSE),"")</f>
        <v/>
      </c>
      <c r="AL57" s="1" t="str">
        <f>_xlfn.IFNA(VLOOKUP(Master_Reference[[#This Row],[C-Flex 4000K 3W Part Number]],Lutron_CFlex_Lookup[],MATCH("Lutron Kit PN",Lutron_CFlex_Lookup[#Headers],0),FALSE),"")</f>
        <v/>
      </c>
      <c r="AM57" s="1" t="str">
        <f>_xlfn.IFNA(VLOOKUP(Master_Reference[[#This Row],[C-Flex 5000K 3W Part Number]],Lutron_CFlex_Lookup[],MATCH("Lutron Kit PN",Lutron_CFlex_Lookup[#Headers],0),FALSE),"")</f>
        <v/>
      </c>
      <c r="AN57" s="1" t="b">
        <f>NOT(ISNA(VLOOKUP(Master_Reference[[#This Row],[Model Number]],ObsoleteModels[],1,FALSE)))</f>
        <v>1</v>
      </c>
      <c r="AO57" s="1" t="str">
        <f>IF(LEFT(Master_Reference[[#This Row],[Model Number]],1)="U",LEFT(Master_Reference[[#This Row],[Model Number]],4),LEFT(Master_Reference[[#This Row],[Model Number]],3))</f>
        <v>EC3</v>
      </c>
    </row>
    <row r="58" spans="1:41" x14ac:dyDescent="0.25">
      <c r="A58" s="2" t="s">
        <v>208</v>
      </c>
      <c r="B58" s="1" t="b">
        <v>1</v>
      </c>
      <c r="C58" s="1" t="b">
        <v>1</v>
      </c>
      <c r="G58" s="1" t="b">
        <f>IF(OR(LEFT(RIGHT(Master_Reference[[#This Row],[Model Number]],3),1)="C",LEFT(RIGHT(Master_Reference[[#This Row],[Model Number]],4),1)="C"),TRUE,"")</f>
        <v>1</v>
      </c>
      <c r="H58" s="1" t="str">
        <f>IF(LEFT(Master_Reference[[#This Row],[Model Number]],1)="U",TRUE,"")</f>
        <v/>
      </c>
      <c r="I58" s="1" t="str">
        <f>IF(Master_Reference[[#This Row],[Lamp Type]]="T4","",IF(Master_Reference[[#This Row],[Case Type]]="M","",TRUE))</f>
        <v/>
      </c>
      <c r="J58" s="1" t="str">
        <f t="shared" si="0"/>
        <v>T4</v>
      </c>
      <c r="K58" s="1" t="s">
        <v>190</v>
      </c>
      <c r="L58" s="1" t="s">
        <v>88</v>
      </c>
      <c r="M58" s="1">
        <v>1</v>
      </c>
      <c r="N58" s="1" t="s">
        <v>149</v>
      </c>
      <c r="O58" s="1" t="s">
        <v>150</v>
      </c>
      <c r="P58" s="1" t="b">
        <v>1</v>
      </c>
      <c r="R58" t="b">
        <f>IF(COUNTBLANK(Master_Reference[[#This Row],[C-Flex 3000K Eco Part Number]:[C-Flex 4000K Eco Part Number]])=3,FALSE,TRUE)</f>
        <v>1</v>
      </c>
      <c r="S58" t="b">
        <f>IF(COUNTBLANK(Master_Reference[[#This Row],[C-Flex 3000K 3W Part Number]:[C-Flex 4000K 3W Part Number]])=3,FALSE,TRUE)</f>
        <v>1</v>
      </c>
      <c r="T58" t="b">
        <f>IF(COUNTBLANK(Master_Reference[[#This Row],[Lutron 3000K Eco Part Number]:[Lutron 4000K Eco Part Number]])=3,FALSE,TRUE)</f>
        <v>0</v>
      </c>
      <c r="U58" t="b">
        <f>IF(COUNTBLANK(Master_Reference[[#This Row],[Lutron 3000K 3W Part Number]:[Lutron 4000K 3W Part Number]])=3,FALSE,TRUE)</f>
        <v>0</v>
      </c>
      <c r="V58" s="12" t="s">
        <v>199</v>
      </c>
      <c r="W58" s="12" t="s">
        <v>200</v>
      </c>
      <c r="X58" s="12" t="s">
        <v>201</v>
      </c>
      <c r="Y58" t="s">
        <v>2125</v>
      </c>
      <c r="Z58" s="12" t="s">
        <v>202</v>
      </c>
      <c r="AA58" s="12" t="s">
        <v>203</v>
      </c>
      <c r="AB58" s="12" t="s">
        <v>204</v>
      </c>
      <c r="AC58" t="s">
        <v>2125</v>
      </c>
      <c r="AD58" t="str">
        <f>SUBSTITUTE(Master_Reference[[#This Row],[C-Flex 4000K Eco Part Number]],"40-","xx-")</f>
        <v>RP-G24Q-1wwm-1L-8xx-E1-K-G2</v>
      </c>
      <c r="AE58" t="str">
        <f>SUBSTITUTE(Master_Reference[[#This Row],[C-Flex 4000K 3W Part Number]],"40-","xx-")</f>
        <v>RP-G24Q-1wwm-1L-8xx-3W-K-G2</v>
      </c>
      <c r="AF58" s="1" t="str">
        <f>_xlfn.IFNA(VLOOKUP(Master_Reference[[#This Row],[C-Flex 3000K Eco Part Number]],Lutron_CFlex_Lookup[],MATCH("Lutron Kit PN",Lutron_CFlex_Lookup[#Headers],0),FALSE),"")</f>
        <v/>
      </c>
      <c r="AG58" s="1" t="str">
        <f>_xlfn.IFNA(VLOOKUP(Master_Reference[[#This Row],[C-Flex 3500K Eco Part Number]],Lutron_CFlex_Lookup[],MATCH("Lutron Kit PN",Lutron_CFlex_Lookup[#Headers],0),FALSE),"")</f>
        <v/>
      </c>
      <c r="AH58" s="1" t="str">
        <f>_xlfn.IFNA(VLOOKUP(Master_Reference[[#This Row],[C-Flex 4000K Eco Part Number]],Lutron_CFlex_Lookup[],MATCH("Lutron Kit PN",Lutron_CFlex_Lookup[#Headers],0),FALSE),"")</f>
        <v/>
      </c>
      <c r="AI58" s="1" t="str">
        <f>_xlfn.IFNA(VLOOKUP(Master_Reference[[#This Row],[C-Flex 5000K Eco Part Number]],Lutron_CFlex_Lookup[],MATCH("Lutron Kit PN",Lutron_CFlex_Lookup[#Headers],0),FALSE),"")</f>
        <v/>
      </c>
      <c r="AJ58" s="1" t="str">
        <f>_xlfn.IFNA(VLOOKUP(Master_Reference[[#This Row],[C-Flex 3000K 3W Part Number]],Lutron_CFlex_Lookup[],MATCH("Lutron Kit PN",Lutron_CFlex_Lookup[#Headers],0),FALSE),"")</f>
        <v/>
      </c>
      <c r="AK58" s="1" t="str">
        <f>_xlfn.IFNA(VLOOKUP(Master_Reference[[#This Row],[C-Flex 3500K 3W Part Number]],Lutron_CFlex_Lookup[],MATCH("Lutron Kit PN",Lutron_CFlex_Lookup[#Headers],0),FALSE),"")</f>
        <v/>
      </c>
      <c r="AL58" s="1" t="str">
        <f>_xlfn.IFNA(VLOOKUP(Master_Reference[[#This Row],[C-Flex 4000K 3W Part Number]],Lutron_CFlex_Lookup[],MATCH("Lutron Kit PN",Lutron_CFlex_Lookup[#Headers],0),FALSE),"")</f>
        <v/>
      </c>
      <c r="AM58" s="1" t="str">
        <f>_xlfn.IFNA(VLOOKUP(Master_Reference[[#This Row],[C-Flex 5000K 3W Part Number]],Lutron_CFlex_Lookup[],MATCH("Lutron Kit PN",Lutron_CFlex_Lookup[#Headers],0),FALSE),"")</f>
        <v/>
      </c>
      <c r="AN58" s="1" t="b">
        <f>NOT(ISNA(VLOOKUP(Master_Reference[[#This Row],[Model Number]],ObsoleteModels[],1,FALSE)))</f>
        <v>1</v>
      </c>
      <c r="AO58" s="1" t="str">
        <f>IF(LEFT(Master_Reference[[#This Row],[Model Number]],1)="U",LEFT(Master_Reference[[#This Row],[Model Number]],4),LEFT(Master_Reference[[#This Row],[Model Number]],3))</f>
        <v>EC3</v>
      </c>
    </row>
    <row r="59" spans="1:41" x14ac:dyDescent="0.25">
      <c r="A59" s="2" t="s">
        <v>209</v>
      </c>
      <c r="B59" s="1" t="b">
        <v>1</v>
      </c>
      <c r="C59" s="1" t="b">
        <v>1</v>
      </c>
      <c r="G59" s="1" t="str">
        <f>IF(OR(LEFT(RIGHT(Master_Reference[[#This Row],[Model Number]],3),1)="C",LEFT(RIGHT(Master_Reference[[#This Row],[Model Number]],4),1)="C"),TRUE,"")</f>
        <v/>
      </c>
      <c r="H59" s="1" t="str">
        <f>IF(LEFT(Master_Reference[[#This Row],[Model Number]],1)="U",TRUE,"")</f>
        <v/>
      </c>
      <c r="I59" s="1" t="str">
        <f>IF(Master_Reference[[#This Row],[Lamp Type]]="T4","",IF(Master_Reference[[#This Row],[Case Type]]="M","",TRUE))</f>
        <v/>
      </c>
      <c r="J59" s="1" t="str">
        <f t="shared" si="0"/>
        <v>T4</v>
      </c>
      <c r="K59" s="1" t="s">
        <v>190</v>
      </c>
      <c r="L59" s="1" t="s">
        <v>88</v>
      </c>
      <c r="M59" s="1">
        <v>1</v>
      </c>
      <c r="N59" s="1" t="s">
        <v>149</v>
      </c>
      <c r="O59" s="1" t="s">
        <v>150</v>
      </c>
      <c r="P59" s="1" t="b">
        <v>1</v>
      </c>
      <c r="Q59" s="1" t="s">
        <v>91</v>
      </c>
      <c r="R59" t="b">
        <f>IF(COUNTBLANK(Master_Reference[[#This Row],[C-Flex 3000K Eco Part Number]:[C-Flex 4000K Eco Part Number]])=3,FALSE,TRUE)</f>
        <v>0</v>
      </c>
      <c r="S59" t="b">
        <f>IF(COUNTBLANK(Master_Reference[[#This Row],[C-Flex 3000K 3W Part Number]:[C-Flex 4000K 3W Part Number]])=3,FALSE,TRUE)</f>
        <v>0</v>
      </c>
      <c r="T59" t="b">
        <f>IF(COUNTBLANK(Master_Reference[[#This Row],[Lutron 3000K Eco Part Number]:[Lutron 4000K Eco Part Number]])=3,FALSE,TRUE)</f>
        <v>0</v>
      </c>
      <c r="U59" t="b">
        <f>IF(COUNTBLANK(Master_Reference[[#This Row],[Lutron 3000K 3W Part Number]:[Lutron 4000K 3W Part Number]])=3,FALSE,TRUE)</f>
        <v>0</v>
      </c>
      <c r="V59" s="12"/>
      <c r="W59" s="12"/>
      <c r="X59" s="12"/>
      <c r="Y59" t="s">
        <v>2125</v>
      </c>
      <c r="Z59" s="12"/>
      <c r="AA59" s="12"/>
      <c r="AB59" s="12"/>
      <c r="AC59" t="s">
        <v>2125</v>
      </c>
      <c r="AD59" t="str">
        <f>SUBSTITUTE(Master_Reference[[#This Row],[C-Flex 4000K Eco Part Number]],"40-","xx-")</f>
        <v/>
      </c>
      <c r="AE59" t="str">
        <f>SUBSTITUTE(Master_Reference[[#This Row],[C-Flex 4000K 3W Part Number]],"40-","xx-")</f>
        <v/>
      </c>
      <c r="AF59" s="1" t="str">
        <f>_xlfn.IFNA(VLOOKUP(Master_Reference[[#This Row],[C-Flex 3000K Eco Part Number]],Lutron_CFlex_Lookup[],MATCH("Lutron Kit PN",Lutron_CFlex_Lookup[#Headers],0),FALSE),"")</f>
        <v/>
      </c>
      <c r="AG59" s="1" t="str">
        <f>_xlfn.IFNA(VLOOKUP(Master_Reference[[#This Row],[C-Flex 3500K Eco Part Number]],Lutron_CFlex_Lookup[],MATCH("Lutron Kit PN",Lutron_CFlex_Lookup[#Headers],0),FALSE),"")</f>
        <v/>
      </c>
      <c r="AH59" s="1" t="str">
        <f>_xlfn.IFNA(VLOOKUP(Master_Reference[[#This Row],[C-Flex 4000K Eco Part Number]],Lutron_CFlex_Lookup[],MATCH("Lutron Kit PN",Lutron_CFlex_Lookup[#Headers],0),FALSE),"")</f>
        <v/>
      </c>
      <c r="AI59" s="1" t="str">
        <f>_xlfn.IFNA(VLOOKUP(Master_Reference[[#This Row],[C-Flex 5000K Eco Part Number]],Lutron_CFlex_Lookup[],MATCH("Lutron Kit PN",Lutron_CFlex_Lookup[#Headers],0),FALSE),"")</f>
        <v/>
      </c>
      <c r="AJ59" s="1" t="str">
        <f>_xlfn.IFNA(VLOOKUP(Master_Reference[[#This Row],[C-Flex 3000K 3W Part Number]],Lutron_CFlex_Lookup[],MATCH("Lutron Kit PN",Lutron_CFlex_Lookup[#Headers],0),FALSE),"")</f>
        <v/>
      </c>
      <c r="AK59" s="1" t="str">
        <f>_xlfn.IFNA(VLOOKUP(Master_Reference[[#This Row],[C-Flex 3500K 3W Part Number]],Lutron_CFlex_Lookup[],MATCH("Lutron Kit PN",Lutron_CFlex_Lookup[#Headers],0),FALSE),"")</f>
        <v/>
      </c>
      <c r="AL59" s="1" t="str">
        <f>_xlfn.IFNA(VLOOKUP(Master_Reference[[#This Row],[C-Flex 4000K 3W Part Number]],Lutron_CFlex_Lookup[],MATCH("Lutron Kit PN",Lutron_CFlex_Lookup[#Headers],0),FALSE),"")</f>
        <v/>
      </c>
      <c r="AM59" s="1" t="str">
        <f>_xlfn.IFNA(VLOOKUP(Master_Reference[[#This Row],[C-Flex 5000K 3W Part Number]],Lutron_CFlex_Lookup[],MATCH("Lutron Kit PN",Lutron_CFlex_Lookup[#Headers],0),FALSE),"")</f>
        <v/>
      </c>
      <c r="AN59" s="1" t="b">
        <f>NOT(ISNA(VLOOKUP(Master_Reference[[#This Row],[Model Number]],ObsoleteModels[],1,FALSE)))</f>
        <v>1</v>
      </c>
      <c r="AO59" s="1" t="str">
        <f>IF(LEFT(Master_Reference[[#This Row],[Model Number]],1)="U",LEFT(Master_Reference[[#This Row],[Model Number]],4),LEFT(Master_Reference[[#This Row],[Model Number]],3))</f>
        <v>EC3</v>
      </c>
    </row>
    <row r="60" spans="1:41" x14ac:dyDescent="0.25">
      <c r="A60" s="2" t="s">
        <v>210</v>
      </c>
      <c r="B60" s="1" t="b">
        <v>1</v>
      </c>
      <c r="C60" s="1" t="b">
        <v>1</v>
      </c>
      <c r="G60" s="1" t="str">
        <f>IF(OR(LEFT(RIGHT(Master_Reference[[#This Row],[Model Number]],3),1)="C",LEFT(RIGHT(Master_Reference[[#This Row],[Model Number]],4),1)="C"),TRUE,"")</f>
        <v/>
      </c>
      <c r="H60" s="1" t="str">
        <f>IF(LEFT(Master_Reference[[#This Row],[Model Number]],1)="U",TRUE,"")</f>
        <v/>
      </c>
      <c r="I60" s="1" t="str">
        <f>IF(Master_Reference[[#This Row],[Lamp Type]]="T4","",IF(Master_Reference[[#This Row],[Case Type]]="M","",TRUE))</f>
        <v/>
      </c>
      <c r="J60" s="1" t="str">
        <f t="shared" si="0"/>
        <v>T4</v>
      </c>
      <c r="K60" s="1" t="s">
        <v>190</v>
      </c>
      <c r="L60" s="1" t="s">
        <v>88</v>
      </c>
      <c r="M60" s="1">
        <v>2</v>
      </c>
      <c r="N60" s="1" t="s">
        <v>149</v>
      </c>
      <c r="O60" s="1" t="s">
        <v>150</v>
      </c>
      <c r="R60" t="b">
        <f>IF(COUNTBLANK(Master_Reference[[#This Row],[C-Flex 3000K Eco Part Number]:[C-Flex 4000K Eco Part Number]])=3,FALSE,TRUE)</f>
        <v>1</v>
      </c>
      <c r="S60" t="b">
        <f>IF(COUNTBLANK(Master_Reference[[#This Row],[C-Flex 3000K 3W Part Number]:[C-Flex 4000K 3W Part Number]])=3,FALSE,TRUE)</f>
        <v>1</v>
      </c>
      <c r="T60" t="b">
        <f>IF(COUNTBLANK(Master_Reference[[#This Row],[Lutron 3000K Eco Part Number]:[Lutron 4000K Eco Part Number]])=3,FALSE,TRUE)</f>
        <v>0</v>
      </c>
      <c r="U60" t="b">
        <f>IF(COUNTBLANK(Master_Reference[[#This Row],[Lutron 3000K 3W Part Number]:[Lutron 4000K 3W Part Number]])=3,FALSE,TRUE)</f>
        <v>0</v>
      </c>
      <c r="V60" s="12" t="s">
        <v>1576</v>
      </c>
      <c r="W60" s="12" t="s">
        <v>1577</v>
      </c>
      <c r="X60" s="12" t="s">
        <v>1578</v>
      </c>
      <c r="Y60" t="s">
        <v>2125</v>
      </c>
      <c r="Z60" s="12" t="s">
        <v>1579</v>
      </c>
      <c r="AA60" s="12" t="s">
        <v>1580</v>
      </c>
      <c r="AB60" s="12" t="s">
        <v>1581</v>
      </c>
      <c r="AC60" t="s">
        <v>2125</v>
      </c>
      <c r="AD60" t="str">
        <f>SUBSTITUTE(Master_Reference[[#This Row],[C-Flex 4000K Eco Part Number]],"40-","xx-")</f>
        <v>RP-G24Q-2wwm-2L-8xx-E1-KN-G2</v>
      </c>
      <c r="AE60" t="str">
        <f>SUBSTITUTE(Master_Reference[[#This Row],[C-Flex 4000K 3W Part Number]],"40-","xx-")</f>
        <v>RP-G24Q-2wwm-2L-8xx-3W-KN-G2</v>
      </c>
      <c r="AF60" s="1" t="str">
        <f>_xlfn.IFNA(VLOOKUP(Master_Reference[[#This Row],[C-Flex 3000K Eco Part Number]],Lutron_CFlex_Lookup[],MATCH("Lutron Kit PN",Lutron_CFlex_Lookup[#Headers],0),FALSE),"")</f>
        <v/>
      </c>
      <c r="AG60" s="1" t="str">
        <f>_xlfn.IFNA(VLOOKUP(Master_Reference[[#This Row],[C-Flex 3500K Eco Part Number]],Lutron_CFlex_Lookup[],MATCH("Lutron Kit PN",Lutron_CFlex_Lookup[#Headers],0),FALSE),"")</f>
        <v/>
      </c>
      <c r="AH60" s="1" t="str">
        <f>_xlfn.IFNA(VLOOKUP(Master_Reference[[#This Row],[C-Flex 4000K Eco Part Number]],Lutron_CFlex_Lookup[],MATCH("Lutron Kit PN",Lutron_CFlex_Lookup[#Headers],0),FALSE),"")</f>
        <v/>
      </c>
      <c r="AI60" s="1" t="str">
        <f>_xlfn.IFNA(VLOOKUP(Master_Reference[[#This Row],[C-Flex 5000K Eco Part Number]],Lutron_CFlex_Lookup[],MATCH("Lutron Kit PN",Lutron_CFlex_Lookup[#Headers],0),FALSE),"")</f>
        <v/>
      </c>
      <c r="AJ60" s="1" t="str">
        <f>_xlfn.IFNA(VLOOKUP(Master_Reference[[#This Row],[C-Flex 3000K 3W Part Number]],Lutron_CFlex_Lookup[],MATCH("Lutron Kit PN",Lutron_CFlex_Lookup[#Headers],0),FALSE),"")</f>
        <v/>
      </c>
      <c r="AK60" s="1" t="str">
        <f>_xlfn.IFNA(VLOOKUP(Master_Reference[[#This Row],[C-Flex 3500K 3W Part Number]],Lutron_CFlex_Lookup[],MATCH("Lutron Kit PN",Lutron_CFlex_Lookup[#Headers],0),FALSE),"")</f>
        <v/>
      </c>
      <c r="AL60" s="1" t="str">
        <f>_xlfn.IFNA(VLOOKUP(Master_Reference[[#This Row],[C-Flex 4000K 3W Part Number]],Lutron_CFlex_Lookup[],MATCH("Lutron Kit PN",Lutron_CFlex_Lookup[#Headers],0),FALSE),"")</f>
        <v/>
      </c>
      <c r="AM60" s="1" t="str">
        <f>_xlfn.IFNA(VLOOKUP(Master_Reference[[#This Row],[C-Flex 5000K 3W Part Number]],Lutron_CFlex_Lookup[],MATCH("Lutron Kit PN",Lutron_CFlex_Lookup[#Headers],0),FALSE),"")</f>
        <v/>
      </c>
      <c r="AN60" s="1" t="b">
        <f>NOT(ISNA(VLOOKUP(Master_Reference[[#This Row],[Model Number]],ObsoleteModels[],1,FALSE)))</f>
        <v>1</v>
      </c>
      <c r="AO60" s="1" t="str">
        <f>IF(LEFT(Master_Reference[[#This Row],[Model Number]],1)="U",LEFT(Master_Reference[[#This Row],[Model Number]],4),LEFT(Master_Reference[[#This Row],[Model Number]],3))</f>
        <v>EC3</v>
      </c>
    </row>
    <row r="61" spans="1:41" x14ac:dyDescent="0.25">
      <c r="A61" s="2" t="s">
        <v>211</v>
      </c>
      <c r="B61" s="1" t="b">
        <v>1</v>
      </c>
      <c r="C61" s="1" t="b">
        <v>1</v>
      </c>
      <c r="G61" s="1" t="str">
        <f>IF(OR(LEFT(RIGHT(Master_Reference[[#This Row],[Model Number]],3),1)="C",LEFT(RIGHT(Master_Reference[[#This Row],[Model Number]],4),1)="C"),TRUE,"")</f>
        <v/>
      </c>
      <c r="H61" s="1" t="str">
        <f>IF(LEFT(Master_Reference[[#This Row],[Model Number]],1)="U",TRUE,"")</f>
        <v/>
      </c>
      <c r="I61" s="1" t="str">
        <f>IF(Master_Reference[[#This Row],[Lamp Type]]="T4","",IF(Master_Reference[[#This Row],[Case Type]]="M","",TRUE))</f>
        <v/>
      </c>
      <c r="J61" s="1" t="str">
        <f t="shared" si="0"/>
        <v>T4</v>
      </c>
      <c r="K61" s="1" t="s">
        <v>190</v>
      </c>
      <c r="L61" s="1" t="s">
        <v>88</v>
      </c>
      <c r="M61" s="1">
        <v>2</v>
      </c>
      <c r="N61" s="1" t="s">
        <v>149</v>
      </c>
      <c r="O61" s="1" t="s">
        <v>150</v>
      </c>
      <c r="Q61" s="1" t="s">
        <v>91</v>
      </c>
      <c r="R61" t="b">
        <f>IF(COUNTBLANK(Master_Reference[[#This Row],[C-Flex 3000K Eco Part Number]:[C-Flex 4000K Eco Part Number]])=3,FALSE,TRUE)</f>
        <v>0</v>
      </c>
      <c r="S61" t="b">
        <f>IF(COUNTBLANK(Master_Reference[[#This Row],[C-Flex 3000K 3W Part Number]:[C-Flex 4000K 3W Part Number]])=3,FALSE,TRUE)</f>
        <v>0</v>
      </c>
      <c r="T61" t="b">
        <f>IF(COUNTBLANK(Master_Reference[[#This Row],[Lutron 3000K Eco Part Number]:[Lutron 4000K Eco Part Number]])=3,FALSE,TRUE)</f>
        <v>0</v>
      </c>
      <c r="U61" t="b">
        <f>IF(COUNTBLANK(Master_Reference[[#This Row],[Lutron 3000K 3W Part Number]:[Lutron 4000K 3W Part Number]])=3,FALSE,TRUE)</f>
        <v>0</v>
      </c>
      <c r="V61" s="12"/>
      <c r="W61" s="12"/>
      <c r="X61" s="12"/>
      <c r="Y61" t="s">
        <v>2125</v>
      </c>
      <c r="Z61" s="12"/>
      <c r="AA61" s="12"/>
      <c r="AB61" s="12"/>
      <c r="AC61" t="s">
        <v>2125</v>
      </c>
      <c r="AD61" t="str">
        <f>SUBSTITUTE(Master_Reference[[#This Row],[C-Flex 4000K Eco Part Number]],"40-","xx-")</f>
        <v/>
      </c>
      <c r="AE61" t="str">
        <f>SUBSTITUTE(Master_Reference[[#This Row],[C-Flex 4000K 3W Part Number]],"40-","xx-")</f>
        <v/>
      </c>
      <c r="AF61" s="1" t="str">
        <f>_xlfn.IFNA(VLOOKUP(Master_Reference[[#This Row],[C-Flex 3000K Eco Part Number]],Lutron_CFlex_Lookup[],MATCH("Lutron Kit PN",Lutron_CFlex_Lookup[#Headers],0),FALSE),"")</f>
        <v/>
      </c>
      <c r="AG61" s="1" t="str">
        <f>_xlfn.IFNA(VLOOKUP(Master_Reference[[#This Row],[C-Flex 3500K Eco Part Number]],Lutron_CFlex_Lookup[],MATCH("Lutron Kit PN",Lutron_CFlex_Lookup[#Headers],0),FALSE),"")</f>
        <v/>
      </c>
      <c r="AH61" s="1" t="str">
        <f>_xlfn.IFNA(VLOOKUP(Master_Reference[[#This Row],[C-Flex 4000K Eco Part Number]],Lutron_CFlex_Lookup[],MATCH("Lutron Kit PN",Lutron_CFlex_Lookup[#Headers],0),FALSE),"")</f>
        <v/>
      </c>
      <c r="AI61" s="1" t="str">
        <f>_xlfn.IFNA(VLOOKUP(Master_Reference[[#This Row],[C-Flex 5000K Eco Part Number]],Lutron_CFlex_Lookup[],MATCH("Lutron Kit PN",Lutron_CFlex_Lookup[#Headers],0),FALSE),"")</f>
        <v/>
      </c>
      <c r="AJ61" s="1" t="str">
        <f>_xlfn.IFNA(VLOOKUP(Master_Reference[[#This Row],[C-Flex 3000K 3W Part Number]],Lutron_CFlex_Lookup[],MATCH("Lutron Kit PN",Lutron_CFlex_Lookup[#Headers],0),FALSE),"")</f>
        <v/>
      </c>
      <c r="AK61" s="1" t="str">
        <f>_xlfn.IFNA(VLOOKUP(Master_Reference[[#This Row],[C-Flex 3500K 3W Part Number]],Lutron_CFlex_Lookup[],MATCH("Lutron Kit PN",Lutron_CFlex_Lookup[#Headers],0),FALSE),"")</f>
        <v/>
      </c>
      <c r="AL61" s="1" t="str">
        <f>_xlfn.IFNA(VLOOKUP(Master_Reference[[#This Row],[C-Flex 4000K 3W Part Number]],Lutron_CFlex_Lookup[],MATCH("Lutron Kit PN",Lutron_CFlex_Lookup[#Headers],0),FALSE),"")</f>
        <v/>
      </c>
      <c r="AM61" s="1" t="str">
        <f>_xlfn.IFNA(VLOOKUP(Master_Reference[[#This Row],[C-Flex 5000K 3W Part Number]],Lutron_CFlex_Lookup[],MATCH("Lutron Kit PN",Lutron_CFlex_Lookup[#Headers],0),FALSE),"")</f>
        <v/>
      </c>
      <c r="AN61" s="1" t="b">
        <f>NOT(ISNA(VLOOKUP(Master_Reference[[#This Row],[Model Number]],ObsoleteModels[],1,FALSE)))</f>
        <v>1</v>
      </c>
      <c r="AO61" s="1" t="str">
        <f>IF(LEFT(Master_Reference[[#This Row],[Model Number]],1)="U",LEFT(Master_Reference[[#This Row],[Model Number]],4),LEFT(Master_Reference[[#This Row],[Model Number]],3))</f>
        <v>EC3</v>
      </c>
    </row>
    <row r="62" spans="1:41" x14ac:dyDescent="0.25">
      <c r="A62" s="2" t="s">
        <v>212</v>
      </c>
      <c r="B62" s="1" t="b">
        <v>1</v>
      </c>
      <c r="C62" s="1" t="b">
        <v>1</v>
      </c>
      <c r="G62" s="1" t="str">
        <f>IF(OR(LEFT(RIGHT(Master_Reference[[#This Row],[Model Number]],3),1)="C",LEFT(RIGHT(Master_Reference[[#This Row],[Model Number]],4),1)="C"),TRUE,"")</f>
        <v/>
      </c>
      <c r="H62" s="1" t="str">
        <f>IF(LEFT(Master_Reference[[#This Row],[Model Number]],1)="U",TRUE,"")</f>
        <v/>
      </c>
      <c r="I62" s="1" t="str">
        <f>IF(Master_Reference[[#This Row],[Lamp Type]]="T4","",IF(Master_Reference[[#This Row],[Case Type]]="M","",TRUE))</f>
        <v/>
      </c>
      <c r="J62" s="1" t="str">
        <f t="shared" si="0"/>
        <v>T4</v>
      </c>
      <c r="K62" s="1" t="s">
        <v>190</v>
      </c>
      <c r="L62" s="1" t="s">
        <v>88</v>
      </c>
      <c r="M62" s="1">
        <v>2</v>
      </c>
      <c r="N62" s="1" t="s">
        <v>149</v>
      </c>
      <c r="O62" s="1" t="s">
        <v>150</v>
      </c>
      <c r="P62" s="1" t="b">
        <v>1</v>
      </c>
      <c r="R62" t="b">
        <f>IF(COUNTBLANK(Master_Reference[[#This Row],[C-Flex 3000K Eco Part Number]:[C-Flex 4000K Eco Part Number]])=3,FALSE,TRUE)</f>
        <v>1</v>
      </c>
      <c r="S62" t="b">
        <f>IF(COUNTBLANK(Master_Reference[[#This Row],[C-Flex 3000K 3W Part Number]:[C-Flex 4000K 3W Part Number]])=3,FALSE,TRUE)</f>
        <v>1</v>
      </c>
      <c r="T62" t="b">
        <f>IF(COUNTBLANK(Master_Reference[[#This Row],[Lutron 3000K Eco Part Number]:[Lutron 4000K Eco Part Number]])=3,FALSE,TRUE)</f>
        <v>0</v>
      </c>
      <c r="U62" t="b">
        <f>IF(COUNTBLANK(Master_Reference[[#This Row],[Lutron 3000K 3W Part Number]:[Lutron 4000K 3W Part Number]])=3,FALSE,TRUE)</f>
        <v>0</v>
      </c>
      <c r="V62" s="12" t="s">
        <v>1582</v>
      </c>
      <c r="W62" s="12" t="s">
        <v>1583</v>
      </c>
      <c r="X62" s="12" t="s">
        <v>1584</v>
      </c>
      <c r="Y62" t="s">
        <v>2125</v>
      </c>
      <c r="Z62" s="12" t="s">
        <v>1585</v>
      </c>
      <c r="AA62" s="12" t="s">
        <v>1586</v>
      </c>
      <c r="AB62" s="12" t="s">
        <v>1587</v>
      </c>
      <c r="AC62" t="s">
        <v>2125</v>
      </c>
      <c r="AD62" t="str">
        <f>SUBSTITUTE(Master_Reference[[#This Row],[C-Flex 4000K Eco Part Number]],"40-","xx-")</f>
        <v>RP-G24Q-2wwm-2L-8xx-E1-K-G2</v>
      </c>
      <c r="AE62" t="str">
        <f>SUBSTITUTE(Master_Reference[[#This Row],[C-Flex 4000K 3W Part Number]],"40-","xx-")</f>
        <v>RP-G24Q-2wwm-2L-8xx-3W-K-G2</v>
      </c>
      <c r="AF62" s="1" t="str">
        <f>_xlfn.IFNA(VLOOKUP(Master_Reference[[#This Row],[C-Flex 3000K Eco Part Number]],Lutron_CFlex_Lookup[],MATCH("Lutron Kit PN",Lutron_CFlex_Lookup[#Headers],0),FALSE),"")</f>
        <v/>
      </c>
      <c r="AG62" s="1" t="str">
        <f>_xlfn.IFNA(VLOOKUP(Master_Reference[[#This Row],[C-Flex 3500K Eco Part Number]],Lutron_CFlex_Lookup[],MATCH("Lutron Kit PN",Lutron_CFlex_Lookup[#Headers],0),FALSE),"")</f>
        <v/>
      </c>
      <c r="AH62" s="1" t="str">
        <f>_xlfn.IFNA(VLOOKUP(Master_Reference[[#This Row],[C-Flex 4000K Eco Part Number]],Lutron_CFlex_Lookup[],MATCH("Lutron Kit PN",Lutron_CFlex_Lookup[#Headers],0),FALSE),"")</f>
        <v/>
      </c>
      <c r="AI62" s="1" t="str">
        <f>_xlfn.IFNA(VLOOKUP(Master_Reference[[#This Row],[C-Flex 5000K Eco Part Number]],Lutron_CFlex_Lookup[],MATCH("Lutron Kit PN",Lutron_CFlex_Lookup[#Headers],0),FALSE),"")</f>
        <v/>
      </c>
      <c r="AJ62" s="1" t="str">
        <f>_xlfn.IFNA(VLOOKUP(Master_Reference[[#This Row],[C-Flex 3000K 3W Part Number]],Lutron_CFlex_Lookup[],MATCH("Lutron Kit PN",Lutron_CFlex_Lookup[#Headers],0),FALSE),"")</f>
        <v/>
      </c>
      <c r="AK62" s="1" t="str">
        <f>_xlfn.IFNA(VLOOKUP(Master_Reference[[#This Row],[C-Flex 3500K 3W Part Number]],Lutron_CFlex_Lookup[],MATCH("Lutron Kit PN",Lutron_CFlex_Lookup[#Headers],0),FALSE),"")</f>
        <v/>
      </c>
      <c r="AL62" s="1" t="str">
        <f>_xlfn.IFNA(VLOOKUP(Master_Reference[[#This Row],[C-Flex 4000K 3W Part Number]],Lutron_CFlex_Lookup[],MATCH("Lutron Kit PN",Lutron_CFlex_Lookup[#Headers],0),FALSE),"")</f>
        <v/>
      </c>
      <c r="AM62" s="1" t="str">
        <f>_xlfn.IFNA(VLOOKUP(Master_Reference[[#This Row],[C-Flex 5000K 3W Part Number]],Lutron_CFlex_Lookup[],MATCH("Lutron Kit PN",Lutron_CFlex_Lookup[#Headers],0),FALSE),"")</f>
        <v/>
      </c>
      <c r="AN62" s="1" t="b">
        <f>NOT(ISNA(VLOOKUP(Master_Reference[[#This Row],[Model Number]],ObsoleteModels[],1,FALSE)))</f>
        <v>1</v>
      </c>
      <c r="AO62" s="1" t="str">
        <f>IF(LEFT(Master_Reference[[#This Row],[Model Number]],1)="U",LEFT(Master_Reference[[#This Row],[Model Number]],4),LEFT(Master_Reference[[#This Row],[Model Number]],3))</f>
        <v>EC3</v>
      </c>
    </row>
    <row r="63" spans="1:41" x14ac:dyDescent="0.25">
      <c r="A63" s="2" t="s">
        <v>213</v>
      </c>
      <c r="B63" s="1" t="b">
        <v>1</v>
      </c>
      <c r="C63" s="1" t="b">
        <v>1</v>
      </c>
      <c r="G63" s="1" t="str">
        <f>IF(OR(LEFT(RIGHT(Master_Reference[[#This Row],[Model Number]],3),1)="C",LEFT(RIGHT(Master_Reference[[#This Row],[Model Number]],4),1)="C"),TRUE,"")</f>
        <v/>
      </c>
      <c r="H63" s="1" t="str">
        <f>IF(LEFT(Master_Reference[[#This Row],[Model Number]],1)="U",TRUE,"")</f>
        <v/>
      </c>
      <c r="I63" s="1" t="str">
        <f>IF(Master_Reference[[#This Row],[Lamp Type]]="T4","",IF(Master_Reference[[#This Row],[Case Type]]="M","",TRUE))</f>
        <v/>
      </c>
      <c r="J63" s="1" t="str">
        <f t="shared" si="0"/>
        <v>T4</v>
      </c>
      <c r="K63" s="1" t="s">
        <v>190</v>
      </c>
      <c r="L63" s="1" t="s">
        <v>88</v>
      </c>
      <c r="M63" s="1">
        <v>2</v>
      </c>
      <c r="N63" s="1" t="s">
        <v>149</v>
      </c>
      <c r="O63" s="1" t="s">
        <v>150</v>
      </c>
      <c r="P63" s="1" t="b">
        <v>1</v>
      </c>
      <c r="Q63" s="1" t="s">
        <v>91</v>
      </c>
      <c r="R63" t="b">
        <f>IF(COUNTBLANK(Master_Reference[[#This Row],[C-Flex 3000K Eco Part Number]:[C-Flex 4000K Eco Part Number]])=3,FALSE,TRUE)</f>
        <v>0</v>
      </c>
      <c r="S63" t="b">
        <f>IF(COUNTBLANK(Master_Reference[[#This Row],[C-Flex 3000K 3W Part Number]:[C-Flex 4000K 3W Part Number]])=3,FALSE,TRUE)</f>
        <v>0</v>
      </c>
      <c r="T63" t="b">
        <f>IF(COUNTBLANK(Master_Reference[[#This Row],[Lutron 3000K Eco Part Number]:[Lutron 4000K Eco Part Number]])=3,FALSE,TRUE)</f>
        <v>0</v>
      </c>
      <c r="U63" t="b">
        <f>IF(COUNTBLANK(Master_Reference[[#This Row],[Lutron 3000K 3W Part Number]:[Lutron 4000K 3W Part Number]])=3,FALSE,TRUE)</f>
        <v>0</v>
      </c>
      <c r="V63" s="12"/>
      <c r="W63" s="12"/>
      <c r="X63" s="12"/>
      <c r="Y63" t="s">
        <v>2125</v>
      </c>
      <c r="Z63" s="12"/>
      <c r="AA63" s="12"/>
      <c r="AB63" s="12"/>
      <c r="AC63" t="s">
        <v>2125</v>
      </c>
      <c r="AD63" t="str">
        <f>SUBSTITUTE(Master_Reference[[#This Row],[C-Flex 4000K Eco Part Number]],"40-","xx-")</f>
        <v/>
      </c>
      <c r="AE63" t="str">
        <f>SUBSTITUTE(Master_Reference[[#This Row],[C-Flex 4000K 3W Part Number]],"40-","xx-")</f>
        <v/>
      </c>
      <c r="AF63" s="1" t="str">
        <f>_xlfn.IFNA(VLOOKUP(Master_Reference[[#This Row],[C-Flex 3000K Eco Part Number]],Lutron_CFlex_Lookup[],MATCH("Lutron Kit PN",Lutron_CFlex_Lookup[#Headers],0),FALSE),"")</f>
        <v/>
      </c>
      <c r="AG63" s="1" t="str">
        <f>_xlfn.IFNA(VLOOKUP(Master_Reference[[#This Row],[C-Flex 3500K Eco Part Number]],Lutron_CFlex_Lookup[],MATCH("Lutron Kit PN",Lutron_CFlex_Lookup[#Headers],0),FALSE),"")</f>
        <v/>
      </c>
      <c r="AH63" s="1" t="str">
        <f>_xlfn.IFNA(VLOOKUP(Master_Reference[[#This Row],[C-Flex 4000K Eco Part Number]],Lutron_CFlex_Lookup[],MATCH("Lutron Kit PN",Lutron_CFlex_Lookup[#Headers],0),FALSE),"")</f>
        <v/>
      </c>
      <c r="AI63" s="1" t="str">
        <f>_xlfn.IFNA(VLOOKUP(Master_Reference[[#This Row],[C-Flex 5000K Eco Part Number]],Lutron_CFlex_Lookup[],MATCH("Lutron Kit PN",Lutron_CFlex_Lookup[#Headers],0),FALSE),"")</f>
        <v/>
      </c>
      <c r="AJ63" s="1" t="str">
        <f>_xlfn.IFNA(VLOOKUP(Master_Reference[[#This Row],[C-Flex 3000K 3W Part Number]],Lutron_CFlex_Lookup[],MATCH("Lutron Kit PN",Lutron_CFlex_Lookup[#Headers],0),FALSE),"")</f>
        <v/>
      </c>
      <c r="AK63" s="1" t="str">
        <f>_xlfn.IFNA(VLOOKUP(Master_Reference[[#This Row],[C-Flex 3500K 3W Part Number]],Lutron_CFlex_Lookup[],MATCH("Lutron Kit PN",Lutron_CFlex_Lookup[#Headers],0),FALSE),"")</f>
        <v/>
      </c>
      <c r="AL63" s="1" t="str">
        <f>_xlfn.IFNA(VLOOKUP(Master_Reference[[#This Row],[C-Flex 4000K 3W Part Number]],Lutron_CFlex_Lookup[],MATCH("Lutron Kit PN",Lutron_CFlex_Lookup[#Headers],0),FALSE),"")</f>
        <v/>
      </c>
      <c r="AM63" s="1" t="str">
        <f>_xlfn.IFNA(VLOOKUP(Master_Reference[[#This Row],[C-Flex 5000K 3W Part Number]],Lutron_CFlex_Lookup[],MATCH("Lutron Kit PN",Lutron_CFlex_Lookup[#Headers],0),FALSE),"")</f>
        <v/>
      </c>
      <c r="AN63" s="1" t="b">
        <f>NOT(ISNA(VLOOKUP(Master_Reference[[#This Row],[Model Number]],ObsoleteModels[],1,FALSE)))</f>
        <v>1</v>
      </c>
      <c r="AO63" s="1" t="str">
        <f>IF(LEFT(Master_Reference[[#This Row],[Model Number]],1)="U",LEFT(Master_Reference[[#This Row],[Model Number]],4),LEFT(Master_Reference[[#This Row],[Model Number]],3))</f>
        <v>EC3</v>
      </c>
    </row>
    <row r="64" spans="1:41" x14ac:dyDescent="0.25">
      <c r="A64" s="2" t="s">
        <v>214</v>
      </c>
      <c r="B64" s="1"/>
      <c r="C64" s="1" t="b">
        <v>1</v>
      </c>
      <c r="G64" s="1" t="str">
        <f>IF(OR(LEFT(RIGHT(Master_Reference[[#This Row],[Model Number]],3),1)="C",LEFT(RIGHT(Master_Reference[[#This Row],[Model Number]],4),1)="C"),TRUE,"")</f>
        <v/>
      </c>
      <c r="H64" s="1" t="str">
        <f>IF(LEFT(Master_Reference[[#This Row],[Model Number]],1)="U",TRUE,"")</f>
        <v/>
      </c>
      <c r="I64" s="1" t="b">
        <f>IF(Master_Reference[[#This Row],[Lamp Type]]="T4","",IF(Master_Reference[[#This Row],[Case Type]]="M","",TRUE))</f>
        <v>1</v>
      </c>
      <c r="J64" s="1" t="s">
        <v>215</v>
      </c>
      <c r="K64" s="1">
        <v>36</v>
      </c>
      <c r="L64" s="1" t="s">
        <v>216</v>
      </c>
      <c r="M64" s="1">
        <v>1</v>
      </c>
      <c r="N64" s="1" t="s">
        <v>149</v>
      </c>
      <c r="O64" s="1" t="s">
        <v>217</v>
      </c>
      <c r="R64" t="b">
        <f>IF(COUNTBLANK(Master_Reference[[#This Row],[C-Flex 3000K Eco Part Number]:[C-Flex 4000K Eco Part Number]])=3,FALSE,TRUE)</f>
        <v>0</v>
      </c>
      <c r="S64" t="b">
        <f>IF(COUNTBLANK(Master_Reference[[#This Row],[C-Flex 3000K 3W Part Number]:[C-Flex 4000K 3W Part Number]])=3,FALSE,TRUE)</f>
        <v>0</v>
      </c>
      <c r="T64" t="b">
        <f>IF(COUNTBLANK(Master_Reference[[#This Row],[Lutron 3000K Eco Part Number]:[Lutron 4000K Eco Part Number]])=3,FALSE,TRUE)</f>
        <v>0</v>
      </c>
      <c r="U64" t="b">
        <f>IF(COUNTBLANK(Master_Reference[[#This Row],[Lutron 3000K 3W Part Number]:[Lutron 4000K 3W Part Number]])=3,FALSE,TRUE)</f>
        <v>0</v>
      </c>
      <c r="V64" s="12"/>
      <c r="W64" s="12"/>
      <c r="X64" s="12"/>
      <c r="Y64" t="s">
        <v>2125</v>
      </c>
      <c r="Z64" s="12"/>
      <c r="AA64" s="12"/>
      <c r="AB64" s="12"/>
      <c r="AC64" t="s">
        <v>2125</v>
      </c>
      <c r="AD64" t="str">
        <f>SUBSTITUTE(Master_Reference[[#This Row],[C-Flex 4000K Eco Part Number]],"40-","xx-")</f>
        <v/>
      </c>
      <c r="AE64" t="str">
        <f>SUBSTITUTE(Master_Reference[[#This Row],[C-Flex 4000K 3W Part Number]],"40-","xx-")</f>
        <v/>
      </c>
      <c r="AF64" s="1" t="str">
        <f>_xlfn.IFNA(VLOOKUP(Master_Reference[[#This Row],[C-Flex 3000K Eco Part Number]],Lutron_CFlex_Lookup[],MATCH("Lutron Kit PN",Lutron_CFlex_Lookup[#Headers],0),FALSE),"")</f>
        <v/>
      </c>
      <c r="AG64" s="1" t="str">
        <f>_xlfn.IFNA(VLOOKUP(Master_Reference[[#This Row],[C-Flex 3500K Eco Part Number]],Lutron_CFlex_Lookup[],MATCH("Lutron Kit PN",Lutron_CFlex_Lookup[#Headers],0),FALSE),"")</f>
        <v/>
      </c>
      <c r="AH64" s="1" t="str">
        <f>_xlfn.IFNA(VLOOKUP(Master_Reference[[#This Row],[C-Flex 4000K Eco Part Number]],Lutron_CFlex_Lookup[],MATCH("Lutron Kit PN",Lutron_CFlex_Lookup[#Headers],0),FALSE),"")</f>
        <v/>
      </c>
      <c r="AI64" s="1" t="str">
        <f>_xlfn.IFNA(VLOOKUP(Master_Reference[[#This Row],[C-Flex 5000K Eco Part Number]],Lutron_CFlex_Lookup[],MATCH("Lutron Kit PN",Lutron_CFlex_Lookup[#Headers],0),FALSE),"")</f>
        <v/>
      </c>
      <c r="AJ64" s="1" t="str">
        <f>_xlfn.IFNA(VLOOKUP(Master_Reference[[#This Row],[C-Flex 3000K 3W Part Number]],Lutron_CFlex_Lookup[],MATCH("Lutron Kit PN",Lutron_CFlex_Lookup[#Headers],0),FALSE),"")</f>
        <v/>
      </c>
      <c r="AK64" s="1" t="str">
        <f>_xlfn.IFNA(VLOOKUP(Master_Reference[[#This Row],[C-Flex 3500K 3W Part Number]],Lutron_CFlex_Lookup[],MATCH("Lutron Kit PN",Lutron_CFlex_Lookup[#Headers],0),FALSE),"")</f>
        <v/>
      </c>
      <c r="AL64" s="1" t="str">
        <f>_xlfn.IFNA(VLOOKUP(Master_Reference[[#This Row],[C-Flex 4000K 3W Part Number]],Lutron_CFlex_Lookup[],MATCH("Lutron Kit PN",Lutron_CFlex_Lookup[#Headers],0),FALSE),"")</f>
        <v/>
      </c>
      <c r="AM64" s="1" t="str">
        <f>_xlfn.IFNA(VLOOKUP(Master_Reference[[#This Row],[C-Flex 5000K 3W Part Number]],Lutron_CFlex_Lookup[],MATCH("Lutron Kit PN",Lutron_CFlex_Lookup[#Headers],0),FALSE),"")</f>
        <v/>
      </c>
      <c r="AN64" s="1" t="b">
        <f>NOT(ISNA(VLOOKUP(Master_Reference[[#This Row],[Model Number]],ObsoleteModels[],1,FALSE)))</f>
        <v>1</v>
      </c>
      <c r="AO64" s="1" t="str">
        <f>IF(LEFT(Master_Reference[[#This Row],[Model Number]],1)="U",LEFT(Master_Reference[[#This Row],[Model Number]],4),LEFT(Master_Reference[[#This Row],[Model Number]],3))</f>
        <v>EC3</v>
      </c>
    </row>
    <row r="65" spans="1:41" x14ac:dyDescent="0.25">
      <c r="A65" s="2" t="s">
        <v>218</v>
      </c>
      <c r="B65" s="1"/>
      <c r="C65" s="1" t="b">
        <v>1</v>
      </c>
      <c r="G65" s="1" t="str">
        <f>IF(OR(LEFT(RIGHT(Master_Reference[[#This Row],[Model Number]],3),1)="C",LEFT(RIGHT(Master_Reference[[#This Row],[Model Number]],4),1)="C"),TRUE,"")</f>
        <v/>
      </c>
      <c r="H65" s="1" t="str">
        <f>IF(LEFT(Master_Reference[[#This Row],[Model Number]],1)="U",TRUE,"")</f>
        <v/>
      </c>
      <c r="I65" s="1" t="b">
        <f>IF(Master_Reference[[#This Row],[Lamp Type]]="T4","",IF(Master_Reference[[#This Row],[Case Type]]="M","",TRUE))</f>
        <v>1</v>
      </c>
      <c r="J65" s="1" t="s">
        <v>215</v>
      </c>
      <c r="K65" s="1">
        <v>36</v>
      </c>
      <c r="L65" s="1" t="s">
        <v>216</v>
      </c>
      <c r="M65" s="1">
        <v>2</v>
      </c>
      <c r="N65" s="1" t="s">
        <v>149</v>
      </c>
      <c r="O65" s="1" t="s">
        <v>217</v>
      </c>
      <c r="R65" t="b">
        <f>IF(COUNTBLANK(Master_Reference[[#This Row],[C-Flex 3000K Eco Part Number]:[C-Flex 4000K Eco Part Number]])=3,FALSE,TRUE)</f>
        <v>0</v>
      </c>
      <c r="S65" t="b">
        <f>IF(COUNTBLANK(Master_Reference[[#This Row],[C-Flex 3000K 3W Part Number]:[C-Flex 4000K 3W Part Number]])=3,FALSE,TRUE)</f>
        <v>0</v>
      </c>
      <c r="T65" t="b">
        <f>IF(COUNTBLANK(Master_Reference[[#This Row],[Lutron 3000K Eco Part Number]:[Lutron 4000K Eco Part Number]])=3,FALSE,TRUE)</f>
        <v>0</v>
      </c>
      <c r="U65" t="b">
        <f>IF(COUNTBLANK(Master_Reference[[#This Row],[Lutron 3000K 3W Part Number]:[Lutron 4000K 3W Part Number]])=3,FALSE,TRUE)</f>
        <v>0</v>
      </c>
      <c r="V65" s="12"/>
      <c r="W65" s="12"/>
      <c r="X65" s="12"/>
      <c r="Y65" t="s">
        <v>2125</v>
      </c>
      <c r="Z65" s="12"/>
      <c r="AA65" s="12"/>
      <c r="AB65" s="12"/>
      <c r="AC65" t="s">
        <v>2125</v>
      </c>
      <c r="AD65" t="str">
        <f>SUBSTITUTE(Master_Reference[[#This Row],[C-Flex 4000K Eco Part Number]],"40-","xx-")</f>
        <v/>
      </c>
      <c r="AE65" t="str">
        <f>SUBSTITUTE(Master_Reference[[#This Row],[C-Flex 4000K 3W Part Number]],"40-","xx-")</f>
        <v/>
      </c>
      <c r="AF65" s="1" t="str">
        <f>_xlfn.IFNA(VLOOKUP(Master_Reference[[#This Row],[C-Flex 3000K Eco Part Number]],Lutron_CFlex_Lookup[],MATCH("Lutron Kit PN",Lutron_CFlex_Lookup[#Headers],0),FALSE),"")</f>
        <v/>
      </c>
      <c r="AG65" s="1" t="str">
        <f>_xlfn.IFNA(VLOOKUP(Master_Reference[[#This Row],[C-Flex 3500K Eco Part Number]],Lutron_CFlex_Lookup[],MATCH("Lutron Kit PN",Lutron_CFlex_Lookup[#Headers],0),FALSE),"")</f>
        <v/>
      </c>
      <c r="AH65" s="1" t="str">
        <f>_xlfn.IFNA(VLOOKUP(Master_Reference[[#This Row],[C-Flex 4000K Eco Part Number]],Lutron_CFlex_Lookup[],MATCH("Lutron Kit PN",Lutron_CFlex_Lookup[#Headers],0),FALSE),"")</f>
        <v/>
      </c>
      <c r="AI65" s="1" t="str">
        <f>_xlfn.IFNA(VLOOKUP(Master_Reference[[#This Row],[C-Flex 5000K Eco Part Number]],Lutron_CFlex_Lookup[],MATCH("Lutron Kit PN",Lutron_CFlex_Lookup[#Headers],0),FALSE),"")</f>
        <v/>
      </c>
      <c r="AJ65" s="1" t="str">
        <f>_xlfn.IFNA(VLOOKUP(Master_Reference[[#This Row],[C-Flex 3000K 3W Part Number]],Lutron_CFlex_Lookup[],MATCH("Lutron Kit PN",Lutron_CFlex_Lookup[#Headers],0),FALSE),"")</f>
        <v/>
      </c>
      <c r="AK65" s="1" t="str">
        <f>_xlfn.IFNA(VLOOKUP(Master_Reference[[#This Row],[C-Flex 3500K 3W Part Number]],Lutron_CFlex_Lookup[],MATCH("Lutron Kit PN",Lutron_CFlex_Lookup[#Headers],0),FALSE),"")</f>
        <v/>
      </c>
      <c r="AL65" s="1" t="str">
        <f>_xlfn.IFNA(VLOOKUP(Master_Reference[[#This Row],[C-Flex 4000K 3W Part Number]],Lutron_CFlex_Lookup[],MATCH("Lutron Kit PN",Lutron_CFlex_Lookup[#Headers],0),FALSE),"")</f>
        <v/>
      </c>
      <c r="AM65" s="1" t="str">
        <f>_xlfn.IFNA(VLOOKUP(Master_Reference[[#This Row],[C-Flex 5000K 3W Part Number]],Lutron_CFlex_Lookup[],MATCH("Lutron Kit PN",Lutron_CFlex_Lookup[#Headers],0),FALSE),"")</f>
        <v/>
      </c>
      <c r="AN65" s="1" t="b">
        <f>NOT(ISNA(VLOOKUP(Master_Reference[[#This Row],[Model Number]],ObsoleteModels[],1,FALSE)))</f>
        <v>1</v>
      </c>
      <c r="AO65" s="1" t="str">
        <f>IF(LEFT(Master_Reference[[#This Row],[Model Number]],1)="U",LEFT(Master_Reference[[#This Row],[Model Number]],4),LEFT(Master_Reference[[#This Row],[Model Number]],3))</f>
        <v>EC3</v>
      </c>
    </row>
    <row r="66" spans="1:41" x14ac:dyDescent="0.25">
      <c r="A66" s="2" t="s">
        <v>219</v>
      </c>
      <c r="B66" s="1"/>
      <c r="C66" s="1" t="b">
        <v>1</v>
      </c>
      <c r="G66" s="1" t="str">
        <f>IF(OR(LEFT(RIGHT(Master_Reference[[#This Row],[Model Number]],3),1)="C",LEFT(RIGHT(Master_Reference[[#This Row],[Model Number]],4),1)="C"),TRUE,"")</f>
        <v/>
      </c>
      <c r="H66" s="1" t="str">
        <f>IF(LEFT(Master_Reference[[#This Row],[Model Number]],1)="U",TRUE,"")</f>
        <v/>
      </c>
      <c r="I66" s="1" t="b">
        <f>IF(Master_Reference[[#This Row],[Lamp Type]]="T4","",IF(Master_Reference[[#This Row],[Case Type]]="M","",TRUE))</f>
        <v>1</v>
      </c>
      <c r="J66" s="1" t="str">
        <f>RIGHT(LEFT(A66,5),2)</f>
        <v>T5</v>
      </c>
      <c r="K66" s="1">
        <v>40</v>
      </c>
      <c r="L66" s="1" t="s">
        <v>220</v>
      </c>
      <c r="M66" s="1">
        <v>1</v>
      </c>
      <c r="N66" s="1" t="s">
        <v>149</v>
      </c>
      <c r="O66" s="1" t="s">
        <v>217</v>
      </c>
      <c r="R66" t="b">
        <f>IF(COUNTBLANK(Master_Reference[[#This Row],[C-Flex 3000K Eco Part Number]:[C-Flex 4000K Eco Part Number]])=3,FALSE,TRUE)</f>
        <v>0</v>
      </c>
      <c r="S66" t="b">
        <f>IF(COUNTBLANK(Master_Reference[[#This Row],[C-Flex 3000K 3W Part Number]:[C-Flex 4000K 3W Part Number]])=3,FALSE,TRUE)</f>
        <v>0</v>
      </c>
      <c r="T66" t="b">
        <f>IF(COUNTBLANK(Master_Reference[[#This Row],[Lutron 3000K Eco Part Number]:[Lutron 4000K Eco Part Number]])=3,FALSE,TRUE)</f>
        <v>0</v>
      </c>
      <c r="U66" t="b">
        <f>IF(COUNTBLANK(Master_Reference[[#This Row],[Lutron 3000K 3W Part Number]:[Lutron 4000K 3W Part Number]])=3,FALSE,TRUE)</f>
        <v>0</v>
      </c>
      <c r="V66" s="12"/>
      <c r="W66" s="12"/>
      <c r="X66" s="12"/>
      <c r="Y66" t="s">
        <v>2125</v>
      </c>
      <c r="Z66" s="12"/>
      <c r="AA66" s="12"/>
      <c r="AB66" s="12"/>
      <c r="AC66" t="s">
        <v>2125</v>
      </c>
      <c r="AD66" t="str">
        <f>SUBSTITUTE(Master_Reference[[#This Row],[C-Flex 4000K Eco Part Number]],"40-","xx-")</f>
        <v/>
      </c>
      <c r="AE66" t="str">
        <f>SUBSTITUTE(Master_Reference[[#This Row],[C-Flex 4000K 3W Part Number]],"40-","xx-")</f>
        <v/>
      </c>
      <c r="AF66" s="1" t="str">
        <f>_xlfn.IFNA(VLOOKUP(Master_Reference[[#This Row],[C-Flex 3000K Eco Part Number]],Lutron_CFlex_Lookup[],MATCH("Lutron Kit PN",Lutron_CFlex_Lookup[#Headers],0),FALSE),"")</f>
        <v/>
      </c>
      <c r="AG66" s="1" t="str">
        <f>_xlfn.IFNA(VLOOKUP(Master_Reference[[#This Row],[C-Flex 3500K Eco Part Number]],Lutron_CFlex_Lookup[],MATCH("Lutron Kit PN",Lutron_CFlex_Lookup[#Headers],0),FALSE),"")</f>
        <v/>
      </c>
      <c r="AH66" s="1" t="str">
        <f>_xlfn.IFNA(VLOOKUP(Master_Reference[[#This Row],[C-Flex 4000K Eco Part Number]],Lutron_CFlex_Lookup[],MATCH("Lutron Kit PN",Lutron_CFlex_Lookup[#Headers],0),FALSE),"")</f>
        <v/>
      </c>
      <c r="AI66" s="1" t="str">
        <f>_xlfn.IFNA(VLOOKUP(Master_Reference[[#This Row],[C-Flex 5000K Eco Part Number]],Lutron_CFlex_Lookup[],MATCH("Lutron Kit PN",Lutron_CFlex_Lookup[#Headers],0),FALSE),"")</f>
        <v/>
      </c>
      <c r="AJ66" s="1" t="str">
        <f>_xlfn.IFNA(VLOOKUP(Master_Reference[[#This Row],[C-Flex 3000K 3W Part Number]],Lutron_CFlex_Lookup[],MATCH("Lutron Kit PN",Lutron_CFlex_Lookup[#Headers],0),FALSE),"")</f>
        <v/>
      </c>
      <c r="AK66" s="1" t="str">
        <f>_xlfn.IFNA(VLOOKUP(Master_Reference[[#This Row],[C-Flex 3500K 3W Part Number]],Lutron_CFlex_Lookup[],MATCH("Lutron Kit PN",Lutron_CFlex_Lookup[#Headers],0),FALSE),"")</f>
        <v/>
      </c>
      <c r="AL66" s="1" t="str">
        <f>_xlfn.IFNA(VLOOKUP(Master_Reference[[#This Row],[C-Flex 4000K 3W Part Number]],Lutron_CFlex_Lookup[],MATCH("Lutron Kit PN",Lutron_CFlex_Lookup[#Headers],0),FALSE),"")</f>
        <v/>
      </c>
      <c r="AM66" s="1" t="str">
        <f>_xlfn.IFNA(VLOOKUP(Master_Reference[[#This Row],[C-Flex 5000K 3W Part Number]],Lutron_CFlex_Lookup[],MATCH("Lutron Kit PN",Lutron_CFlex_Lookup[#Headers],0),FALSE),"")</f>
        <v/>
      </c>
      <c r="AN66" s="1" t="b">
        <f>NOT(ISNA(VLOOKUP(Master_Reference[[#This Row],[Model Number]],ObsoleteModels[],1,FALSE)))</f>
        <v>1</v>
      </c>
      <c r="AO66" s="1" t="str">
        <f>IF(LEFT(Master_Reference[[#This Row],[Model Number]],1)="U",LEFT(Master_Reference[[#This Row],[Model Number]],4),LEFT(Master_Reference[[#This Row],[Model Number]],3))</f>
        <v>EC3</v>
      </c>
    </row>
    <row r="67" spans="1:41" x14ac:dyDescent="0.25">
      <c r="A67" s="2" t="s">
        <v>221</v>
      </c>
      <c r="B67" s="1"/>
      <c r="C67" s="1" t="b">
        <v>1</v>
      </c>
      <c r="G67" s="1" t="str">
        <f>IF(OR(LEFT(RIGHT(Master_Reference[[#This Row],[Model Number]],3),1)="C",LEFT(RIGHT(Master_Reference[[#This Row],[Model Number]],4),1)="C"),TRUE,"")</f>
        <v/>
      </c>
      <c r="H67" s="1" t="str">
        <f>IF(LEFT(Master_Reference[[#This Row],[Model Number]],1)="U",TRUE,"")</f>
        <v/>
      </c>
      <c r="I67" s="1" t="b">
        <f>IF(Master_Reference[[#This Row],[Lamp Type]]="T4","",IF(Master_Reference[[#This Row],[Case Type]]="M","",TRUE))</f>
        <v>1</v>
      </c>
      <c r="J67" s="1" t="str">
        <f>RIGHT(LEFT(A67,5),2)</f>
        <v>T5</v>
      </c>
      <c r="K67" s="1">
        <v>40</v>
      </c>
      <c r="L67" s="1" t="s">
        <v>220</v>
      </c>
      <c r="M67" s="1">
        <v>2</v>
      </c>
      <c r="N67" s="1" t="s">
        <v>149</v>
      </c>
      <c r="O67" s="1" t="s">
        <v>217</v>
      </c>
      <c r="R67" t="b">
        <f>IF(COUNTBLANK(Master_Reference[[#This Row],[C-Flex 3000K Eco Part Number]:[C-Flex 4000K Eco Part Number]])=3,FALSE,TRUE)</f>
        <v>0</v>
      </c>
      <c r="S67" t="b">
        <f>IF(COUNTBLANK(Master_Reference[[#This Row],[C-Flex 3000K 3W Part Number]:[C-Flex 4000K 3W Part Number]])=3,FALSE,TRUE)</f>
        <v>0</v>
      </c>
      <c r="T67" t="b">
        <f>IF(COUNTBLANK(Master_Reference[[#This Row],[Lutron 3000K Eco Part Number]:[Lutron 4000K Eco Part Number]])=3,FALSE,TRUE)</f>
        <v>0</v>
      </c>
      <c r="U67" t="b">
        <f>IF(COUNTBLANK(Master_Reference[[#This Row],[Lutron 3000K 3W Part Number]:[Lutron 4000K 3W Part Number]])=3,FALSE,TRUE)</f>
        <v>0</v>
      </c>
      <c r="V67" s="12"/>
      <c r="W67" s="12"/>
      <c r="X67" s="12"/>
      <c r="Y67" t="s">
        <v>2125</v>
      </c>
      <c r="Z67" s="12"/>
      <c r="AA67" s="12"/>
      <c r="AB67" s="12"/>
      <c r="AC67" t="s">
        <v>2125</v>
      </c>
      <c r="AD67" t="str">
        <f>SUBSTITUTE(Master_Reference[[#This Row],[C-Flex 4000K Eco Part Number]],"40-","xx-")</f>
        <v/>
      </c>
      <c r="AE67" t="str">
        <f>SUBSTITUTE(Master_Reference[[#This Row],[C-Flex 4000K 3W Part Number]],"40-","xx-")</f>
        <v/>
      </c>
      <c r="AF67" s="1" t="str">
        <f>_xlfn.IFNA(VLOOKUP(Master_Reference[[#This Row],[C-Flex 3000K Eco Part Number]],Lutron_CFlex_Lookup[],MATCH("Lutron Kit PN",Lutron_CFlex_Lookup[#Headers],0),FALSE),"")</f>
        <v/>
      </c>
      <c r="AG67" s="1" t="str">
        <f>_xlfn.IFNA(VLOOKUP(Master_Reference[[#This Row],[C-Flex 3500K Eco Part Number]],Lutron_CFlex_Lookup[],MATCH("Lutron Kit PN",Lutron_CFlex_Lookup[#Headers],0),FALSE),"")</f>
        <v/>
      </c>
      <c r="AH67" s="1" t="str">
        <f>_xlfn.IFNA(VLOOKUP(Master_Reference[[#This Row],[C-Flex 4000K Eco Part Number]],Lutron_CFlex_Lookup[],MATCH("Lutron Kit PN",Lutron_CFlex_Lookup[#Headers],0),FALSE),"")</f>
        <v/>
      </c>
      <c r="AI67" s="1" t="str">
        <f>_xlfn.IFNA(VLOOKUP(Master_Reference[[#This Row],[C-Flex 5000K Eco Part Number]],Lutron_CFlex_Lookup[],MATCH("Lutron Kit PN",Lutron_CFlex_Lookup[#Headers],0),FALSE),"")</f>
        <v/>
      </c>
      <c r="AJ67" s="1" t="str">
        <f>_xlfn.IFNA(VLOOKUP(Master_Reference[[#This Row],[C-Flex 3000K 3W Part Number]],Lutron_CFlex_Lookup[],MATCH("Lutron Kit PN",Lutron_CFlex_Lookup[#Headers],0),FALSE),"")</f>
        <v/>
      </c>
      <c r="AK67" s="1" t="str">
        <f>_xlfn.IFNA(VLOOKUP(Master_Reference[[#This Row],[C-Flex 3500K 3W Part Number]],Lutron_CFlex_Lookup[],MATCH("Lutron Kit PN",Lutron_CFlex_Lookup[#Headers],0),FALSE),"")</f>
        <v/>
      </c>
      <c r="AL67" s="1" t="str">
        <f>_xlfn.IFNA(VLOOKUP(Master_Reference[[#This Row],[C-Flex 4000K 3W Part Number]],Lutron_CFlex_Lookup[],MATCH("Lutron Kit PN",Lutron_CFlex_Lookup[#Headers],0),FALSE),"")</f>
        <v/>
      </c>
      <c r="AM67" s="1" t="str">
        <f>_xlfn.IFNA(VLOOKUP(Master_Reference[[#This Row],[C-Flex 5000K 3W Part Number]],Lutron_CFlex_Lookup[],MATCH("Lutron Kit PN",Lutron_CFlex_Lookup[#Headers],0),FALSE),"")</f>
        <v/>
      </c>
      <c r="AN67" s="1" t="b">
        <f>NOT(ISNA(VLOOKUP(Master_Reference[[#This Row],[Model Number]],ObsoleteModels[],1,FALSE)))</f>
        <v>1</v>
      </c>
      <c r="AO67" s="1" t="str">
        <f>IF(LEFT(Master_Reference[[#This Row],[Model Number]],1)="U",LEFT(Master_Reference[[#This Row],[Model Number]],4),LEFT(Master_Reference[[#This Row],[Model Number]],3))</f>
        <v>EC3</v>
      </c>
    </row>
    <row r="68" spans="1:41" x14ac:dyDescent="0.25">
      <c r="A68" s="2" t="s">
        <v>222</v>
      </c>
      <c r="B68" s="1"/>
      <c r="C68" s="1" t="b">
        <v>1</v>
      </c>
      <c r="G68" s="1" t="str">
        <f>IF(OR(LEFT(RIGHT(Master_Reference[[#This Row],[Model Number]],3),1)="C",LEFT(RIGHT(Master_Reference[[#This Row],[Model Number]],4),1)="C"),TRUE,"")</f>
        <v/>
      </c>
      <c r="H68" s="1" t="str">
        <f>IF(LEFT(Master_Reference[[#This Row],[Model Number]],1)="U",TRUE,"")</f>
        <v/>
      </c>
      <c r="I68" s="1" t="b">
        <f>IF(Master_Reference[[#This Row],[Lamp Type]]="T4","",IF(Master_Reference[[#This Row],[Case Type]]="M","",TRUE))</f>
        <v>1</v>
      </c>
      <c r="J68" s="1" t="str">
        <f>RIGHT(LEFT(A68,5),2)</f>
        <v>T5</v>
      </c>
      <c r="K68" s="1">
        <v>40</v>
      </c>
      <c r="L68" s="1" t="s">
        <v>220</v>
      </c>
      <c r="M68" s="1">
        <v>2</v>
      </c>
      <c r="N68" s="1" t="s">
        <v>149</v>
      </c>
      <c r="O68" s="1" t="s">
        <v>217</v>
      </c>
      <c r="Q68" s="1" t="s">
        <v>91</v>
      </c>
      <c r="R68" t="b">
        <f>IF(COUNTBLANK(Master_Reference[[#This Row],[C-Flex 3000K Eco Part Number]:[C-Flex 4000K Eco Part Number]])=3,FALSE,TRUE)</f>
        <v>0</v>
      </c>
      <c r="S68" t="b">
        <f>IF(COUNTBLANK(Master_Reference[[#This Row],[C-Flex 3000K 3W Part Number]:[C-Flex 4000K 3W Part Number]])=3,FALSE,TRUE)</f>
        <v>0</v>
      </c>
      <c r="T68" t="b">
        <f>IF(COUNTBLANK(Master_Reference[[#This Row],[Lutron 3000K Eco Part Number]:[Lutron 4000K Eco Part Number]])=3,FALSE,TRUE)</f>
        <v>0</v>
      </c>
      <c r="U68" t="b">
        <f>IF(COUNTBLANK(Master_Reference[[#This Row],[Lutron 3000K 3W Part Number]:[Lutron 4000K 3W Part Number]])=3,FALSE,TRUE)</f>
        <v>0</v>
      </c>
      <c r="V68" s="12"/>
      <c r="W68" s="12"/>
      <c r="X68" s="12"/>
      <c r="Y68" t="s">
        <v>2125</v>
      </c>
      <c r="Z68" s="12"/>
      <c r="AA68" s="12"/>
      <c r="AB68" s="12"/>
      <c r="AC68" t="s">
        <v>2125</v>
      </c>
      <c r="AD68" t="str">
        <f>SUBSTITUTE(Master_Reference[[#This Row],[C-Flex 4000K Eco Part Number]],"40-","xx-")</f>
        <v/>
      </c>
      <c r="AE68" t="str">
        <f>SUBSTITUTE(Master_Reference[[#This Row],[C-Flex 4000K 3W Part Number]],"40-","xx-")</f>
        <v/>
      </c>
      <c r="AF68" s="1" t="str">
        <f>_xlfn.IFNA(VLOOKUP(Master_Reference[[#This Row],[C-Flex 3000K Eco Part Number]],Lutron_CFlex_Lookup[],MATCH("Lutron Kit PN",Lutron_CFlex_Lookup[#Headers],0),FALSE),"")</f>
        <v/>
      </c>
      <c r="AG68" s="1" t="str">
        <f>_xlfn.IFNA(VLOOKUP(Master_Reference[[#This Row],[C-Flex 3500K Eco Part Number]],Lutron_CFlex_Lookup[],MATCH("Lutron Kit PN",Lutron_CFlex_Lookup[#Headers],0),FALSE),"")</f>
        <v/>
      </c>
      <c r="AH68" s="1" t="str">
        <f>_xlfn.IFNA(VLOOKUP(Master_Reference[[#This Row],[C-Flex 4000K Eco Part Number]],Lutron_CFlex_Lookup[],MATCH("Lutron Kit PN",Lutron_CFlex_Lookup[#Headers],0),FALSE),"")</f>
        <v/>
      </c>
      <c r="AI68" s="1" t="str">
        <f>_xlfn.IFNA(VLOOKUP(Master_Reference[[#This Row],[C-Flex 5000K Eco Part Number]],Lutron_CFlex_Lookup[],MATCH("Lutron Kit PN",Lutron_CFlex_Lookup[#Headers],0),FALSE),"")</f>
        <v/>
      </c>
      <c r="AJ68" s="1" t="str">
        <f>_xlfn.IFNA(VLOOKUP(Master_Reference[[#This Row],[C-Flex 3000K 3W Part Number]],Lutron_CFlex_Lookup[],MATCH("Lutron Kit PN",Lutron_CFlex_Lookup[#Headers],0),FALSE),"")</f>
        <v/>
      </c>
      <c r="AK68" s="1" t="str">
        <f>_xlfn.IFNA(VLOOKUP(Master_Reference[[#This Row],[C-Flex 3500K 3W Part Number]],Lutron_CFlex_Lookup[],MATCH("Lutron Kit PN",Lutron_CFlex_Lookup[#Headers],0),FALSE),"")</f>
        <v/>
      </c>
      <c r="AL68" s="1" t="str">
        <f>_xlfn.IFNA(VLOOKUP(Master_Reference[[#This Row],[C-Flex 4000K 3W Part Number]],Lutron_CFlex_Lookup[],MATCH("Lutron Kit PN",Lutron_CFlex_Lookup[#Headers],0),FALSE),"")</f>
        <v/>
      </c>
      <c r="AM68" s="1" t="str">
        <f>_xlfn.IFNA(VLOOKUP(Master_Reference[[#This Row],[C-Flex 5000K 3W Part Number]],Lutron_CFlex_Lookup[],MATCH("Lutron Kit PN",Lutron_CFlex_Lookup[#Headers],0),FALSE),"")</f>
        <v/>
      </c>
      <c r="AN68" s="1" t="b">
        <f>NOT(ISNA(VLOOKUP(Master_Reference[[#This Row],[Model Number]],ObsoleteModels[],1,FALSE)))</f>
        <v>1</v>
      </c>
      <c r="AO68" s="1" t="str">
        <f>IF(LEFT(Master_Reference[[#This Row],[Model Number]],1)="U",LEFT(Master_Reference[[#This Row],[Model Number]],4),LEFT(Master_Reference[[#This Row],[Model Number]],3))</f>
        <v>EC3</v>
      </c>
    </row>
    <row r="69" spans="1:41" x14ac:dyDescent="0.25">
      <c r="A69" s="2" t="s">
        <v>223</v>
      </c>
      <c r="B69" s="1"/>
      <c r="C69" s="1" t="b">
        <v>1</v>
      </c>
      <c r="G69" s="1" t="str">
        <f>IF(OR(LEFT(RIGHT(Master_Reference[[#This Row],[Model Number]],3),1)="C",LEFT(RIGHT(Master_Reference[[#This Row],[Model Number]],4),1)="C"),TRUE,"")</f>
        <v/>
      </c>
      <c r="H69" s="1" t="str">
        <f>IF(LEFT(Master_Reference[[#This Row],[Model Number]],1)="U",TRUE,"")</f>
        <v/>
      </c>
      <c r="I69" s="1" t="b">
        <f>IF(Master_Reference[[#This Row],[Lamp Type]]="T4","",IF(Master_Reference[[#This Row],[Case Type]]="M","",TRUE))</f>
        <v>1</v>
      </c>
      <c r="J69" s="1" t="str">
        <f>RIGHT(LEFT(A69,5),2)</f>
        <v>T5</v>
      </c>
      <c r="K69" s="1">
        <v>40</v>
      </c>
      <c r="L69" s="1" t="s">
        <v>220</v>
      </c>
      <c r="M69" s="1">
        <v>3</v>
      </c>
      <c r="N69" s="1" t="s">
        <v>149</v>
      </c>
      <c r="O69" s="1" t="s">
        <v>217</v>
      </c>
      <c r="R69" t="b">
        <f>IF(COUNTBLANK(Master_Reference[[#This Row],[C-Flex 3000K Eco Part Number]:[C-Flex 4000K Eco Part Number]])=3,FALSE,TRUE)</f>
        <v>0</v>
      </c>
      <c r="S69" t="b">
        <f>IF(COUNTBLANK(Master_Reference[[#This Row],[C-Flex 3000K 3W Part Number]:[C-Flex 4000K 3W Part Number]])=3,FALSE,TRUE)</f>
        <v>0</v>
      </c>
      <c r="T69" t="b">
        <f>IF(COUNTBLANK(Master_Reference[[#This Row],[Lutron 3000K Eco Part Number]:[Lutron 4000K Eco Part Number]])=3,FALSE,TRUE)</f>
        <v>0</v>
      </c>
      <c r="U69" t="b">
        <f>IF(COUNTBLANK(Master_Reference[[#This Row],[Lutron 3000K 3W Part Number]:[Lutron 4000K 3W Part Number]])=3,FALSE,TRUE)</f>
        <v>0</v>
      </c>
      <c r="V69" s="12"/>
      <c r="W69" s="12"/>
      <c r="X69" s="12"/>
      <c r="Y69" t="s">
        <v>2125</v>
      </c>
      <c r="Z69" s="12"/>
      <c r="AA69" s="12"/>
      <c r="AB69" s="12"/>
      <c r="AC69" t="s">
        <v>2125</v>
      </c>
      <c r="AD69" t="str">
        <f>SUBSTITUTE(Master_Reference[[#This Row],[C-Flex 4000K Eco Part Number]],"40-","xx-")</f>
        <v/>
      </c>
      <c r="AE69" t="str">
        <f>SUBSTITUTE(Master_Reference[[#This Row],[C-Flex 4000K 3W Part Number]],"40-","xx-")</f>
        <v/>
      </c>
      <c r="AF69" s="1" t="str">
        <f>_xlfn.IFNA(VLOOKUP(Master_Reference[[#This Row],[C-Flex 3000K Eco Part Number]],Lutron_CFlex_Lookup[],MATCH("Lutron Kit PN",Lutron_CFlex_Lookup[#Headers],0),FALSE),"")</f>
        <v/>
      </c>
      <c r="AG69" s="1" t="str">
        <f>_xlfn.IFNA(VLOOKUP(Master_Reference[[#This Row],[C-Flex 3500K Eco Part Number]],Lutron_CFlex_Lookup[],MATCH("Lutron Kit PN",Lutron_CFlex_Lookup[#Headers],0),FALSE),"")</f>
        <v/>
      </c>
      <c r="AH69" s="1" t="str">
        <f>_xlfn.IFNA(VLOOKUP(Master_Reference[[#This Row],[C-Flex 4000K Eco Part Number]],Lutron_CFlex_Lookup[],MATCH("Lutron Kit PN",Lutron_CFlex_Lookup[#Headers],0),FALSE),"")</f>
        <v/>
      </c>
      <c r="AI69" s="1" t="str">
        <f>_xlfn.IFNA(VLOOKUP(Master_Reference[[#This Row],[C-Flex 5000K Eco Part Number]],Lutron_CFlex_Lookup[],MATCH("Lutron Kit PN",Lutron_CFlex_Lookup[#Headers],0),FALSE),"")</f>
        <v/>
      </c>
      <c r="AJ69" s="1" t="str">
        <f>_xlfn.IFNA(VLOOKUP(Master_Reference[[#This Row],[C-Flex 3000K 3W Part Number]],Lutron_CFlex_Lookup[],MATCH("Lutron Kit PN",Lutron_CFlex_Lookup[#Headers],0),FALSE),"")</f>
        <v/>
      </c>
      <c r="AK69" s="1" t="str">
        <f>_xlfn.IFNA(VLOOKUP(Master_Reference[[#This Row],[C-Flex 3500K 3W Part Number]],Lutron_CFlex_Lookup[],MATCH("Lutron Kit PN",Lutron_CFlex_Lookup[#Headers],0),FALSE),"")</f>
        <v/>
      </c>
      <c r="AL69" s="1" t="str">
        <f>_xlfn.IFNA(VLOOKUP(Master_Reference[[#This Row],[C-Flex 4000K 3W Part Number]],Lutron_CFlex_Lookup[],MATCH("Lutron Kit PN",Lutron_CFlex_Lookup[#Headers],0),FALSE),"")</f>
        <v/>
      </c>
      <c r="AM69" s="1" t="str">
        <f>_xlfn.IFNA(VLOOKUP(Master_Reference[[#This Row],[C-Flex 5000K 3W Part Number]],Lutron_CFlex_Lookup[],MATCH("Lutron Kit PN",Lutron_CFlex_Lookup[#Headers],0),FALSE),"")</f>
        <v/>
      </c>
      <c r="AN69" s="1" t="b">
        <f>NOT(ISNA(VLOOKUP(Master_Reference[[#This Row],[Model Number]],ObsoleteModels[],1,FALSE)))</f>
        <v>1</v>
      </c>
      <c r="AO69" s="1" t="str">
        <f>IF(LEFT(Master_Reference[[#This Row],[Model Number]],1)="U",LEFT(Master_Reference[[#This Row],[Model Number]],4),LEFT(Master_Reference[[#This Row],[Model Number]],3))</f>
        <v>EC3</v>
      </c>
    </row>
    <row r="70" spans="1:41" x14ac:dyDescent="0.25">
      <c r="A70" s="2" t="s">
        <v>224</v>
      </c>
      <c r="B70" s="1"/>
      <c r="C70" s="1" t="b">
        <v>1</v>
      </c>
      <c r="G70" s="1" t="str">
        <f>IF(OR(LEFT(RIGHT(Master_Reference[[#This Row],[Model Number]],3),1)="C",LEFT(RIGHT(Master_Reference[[#This Row],[Model Number]],4),1)="C"),TRUE,"")</f>
        <v/>
      </c>
      <c r="H70" s="1" t="str">
        <f>IF(LEFT(Master_Reference[[#This Row],[Model Number]],1)="U",TRUE,"")</f>
        <v/>
      </c>
      <c r="I70" s="1" t="b">
        <f>IF(Master_Reference[[#This Row],[Lamp Type]]="T4","",IF(Master_Reference[[#This Row],[Case Type]]="M","",TRUE))</f>
        <v>1</v>
      </c>
      <c r="J70" s="1" t="s">
        <v>215</v>
      </c>
      <c r="K70" s="1">
        <v>50</v>
      </c>
      <c r="L70" s="1" t="s">
        <v>225</v>
      </c>
      <c r="M70" s="1">
        <v>1</v>
      </c>
      <c r="N70" s="1" t="s">
        <v>149</v>
      </c>
      <c r="O70" s="1" t="s">
        <v>217</v>
      </c>
      <c r="R70" t="b">
        <f>IF(COUNTBLANK(Master_Reference[[#This Row],[C-Flex 3000K Eco Part Number]:[C-Flex 4000K Eco Part Number]])=3,FALSE,TRUE)</f>
        <v>1</v>
      </c>
      <c r="S70" t="b">
        <f>IF(COUNTBLANK(Master_Reference[[#This Row],[C-Flex 3000K 3W Part Number]:[C-Flex 4000K 3W Part Number]])=3,FALSE,TRUE)</f>
        <v>1</v>
      </c>
      <c r="T70" t="b">
        <f>IF(COUNTBLANK(Master_Reference[[#This Row],[Lutron 3000K Eco Part Number]:[Lutron 4000K Eco Part Number]])=3,FALSE,TRUE)</f>
        <v>1</v>
      </c>
      <c r="U70" t="b">
        <f>IF(COUNTBLANK(Master_Reference[[#This Row],[Lutron 3000K 3W Part Number]:[Lutron 4000K 3W Part Number]])=3,FALSE,TRUE)</f>
        <v>1</v>
      </c>
      <c r="V70" s="12" t="s">
        <v>226</v>
      </c>
      <c r="W70" s="12" t="s">
        <v>227</v>
      </c>
      <c r="X70" s="12" t="s">
        <v>228</v>
      </c>
      <c r="Y70" t="s">
        <v>1712</v>
      </c>
      <c r="Z70" s="12" t="s">
        <v>229</v>
      </c>
      <c r="AA70" s="12" t="s">
        <v>230</v>
      </c>
      <c r="AB70" s="12" t="s">
        <v>231</v>
      </c>
      <c r="AC70" t="s">
        <v>1801</v>
      </c>
      <c r="AD70" t="str">
        <f>SUBSTITUTE(Master_Reference[[#This Row],[C-Flex 4000K Eco Part Number]],"40-","xx-")</f>
        <v>RP-PLL-2.5K-1L-8xx-E1-M-G2</v>
      </c>
      <c r="AE70" t="str">
        <f>SUBSTITUTE(Master_Reference[[#This Row],[C-Flex 4000K 3W Part Number]],"40-","xx-")</f>
        <v>RP-PLL-2.5K-1L-8xx-3W-M-G2</v>
      </c>
      <c r="AF70" s="1" t="str">
        <f>_xlfn.IFNA(VLOOKUP(Master_Reference[[#This Row],[C-Flex 3000K Eco Part Number]],Lutron_CFlex_Lookup[],MATCH("Lutron Kit PN",Lutron_CFlex_Lookup[#Headers],0),FALSE),"")</f>
        <v>ELD-TT-1M30-q</v>
      </c>
      <c r="AG70" s="1" t="str">
        <f>_xlfn.IFNA(VLOOKUP(Master_Reference[[#This Row],[C-Flex 3500K Eco Part Number]],Lutron_CFlex_Lookup[],MATCH("Lutron Kit PN",Lutron_CFlex_Lookup[#Headers],0),FALSE),"")</f>
        <v>ELD-TT-1M35-q</v>
      </c>
      <c r="AH70" s="1" t="str">
        <f>_xlfn.IFNA(VLOOKUP(Master_Reference[[#This Row],[C-Flex 4000K Eco Part Number]],Lutron_CFlex_Lookup[],MATCH("Lutron Kit PN",Lutron_CFlex_Lookup[#Headers],0),FALSE),"")</f>
        <v>ELD-TT-1M40-q</v>
      </c>
      <c r="AI70" s="1" t="str">
        <f>_xlfn.IFNA(VLOOKUP(Master_Reference[[#This Row],[C-Flex 5000K Eco Part Number]],Lutron_CFlex_Lookup[],MATCH("Lutron Kit PN",Lutron_CFlex_Lookup[#Headers],0),FALSE),"")</f>
        <v>ELD-TT-1M50-q</v>
      </c>
      <c r="AJ70" s="1" t="str">
        <f>_xlfn.IFNA(VLOOKUP(Master_Reference[[#This Row],[C-Flex 3000K 3W Part Number]],Lutron_CFlex_Lookup[],MATCH("Lutron Kit PN",Lutron_CFlex_Lookup[#Headers],0),FALSE),"")</f>
        <v>3LD-TT-1M30-q</v>
      </c>
      <c r="AK70" s="1" t="str">
        <f>_xlfn.IFNA(VLOOKUP(Master_Reference[[#This Row],[C-Flex 3500K 3W Part Number]],Lutron_CFlex_Lookup[],MATCH("Lutron Kit PN",Lutron_CFlex_Lookup[#Headers],0),FALSE),"")</f>
        <v>3LD-TT-1M35-q</v>
      </c>
      <c r="AL70" s="1" t="str">
        <f>_xlfn.IFNA(VLOOKUP(Master_Reference[[#This Row],[C-Flex 4000K 3W Part Number]],Lutron_CFlex_Lookup[],MATCH("Lutron Kit PN",Lutron_CFlex_Lookup[#Headers],0),FALSE),"")</f>
        <v>3LD-TT-1M40-q</v>
      </c>
      <c r="AM70" s="1" t="str">
        <f>_xlfn.IFNA(VLOOKUP(Master_Reference[[#This Row],[C-Flex 5000K 3W Part Number]],Lutron_CFlex_Lookup[],MATCH("Lutron Kit PN",Lutron_CFlex_Lookup[#Headers],0),FALSE),"")</f>
        <v>3LD-TT-1M50-q</v>
      </c>
      <c r="AN70" s="1" t="b">
        <f>NOT(ISNA(VLOOKUP(Master_Reference[[#This Row],[Model Number]],ObsoleteModels[],1,FALSE)))</f>
        <v>1</v>
      </c>
      <c r="AO70" s="1" t="str">
        <f>IF(LEFT(Master_Reference[[#This Row],[Model Number]],1)="U",LEFT(Master_Reference[[#This Row],[Model Number]],4),LEFT(Master_Reference[[#This Row],[Model Number]],3))</f>
        <v>EC3</v>
      </c>
    </row>
    <row r="71" spans="1:41" x14ac:dyDescent="0.25">
      <c r="A71" s="2" t="s">
        <v>232</v>
      </c>
      <c r="B71" s="1"/>
      <c r="C71" s="1" t="b">
        <v>1</v>
      </c>
      <c r="G71" s="1" t="str">
        <f>IF(OR(LEFT(RIGHT(Master_Reference[[#This Row],[Model Number]],3),1)="C",LEFT(RIGHT(Master_Reference[[#This Row],[Model Number]],4),1)="C"),TRUE,"")</f>
        <v/>
      </c>
      <c r="H71" s="1" t="str">
        <f>IF(LEFT(Master_Reference[[#This Row],[Model Number]],1)="U",TRUE,"")</f>
        <v/>
      </c>
      <c r="I71" s="1" t="b">
        <f>IF(Master_Reference[[#This Row],[Lamp Type]]="T4","",IF(Master_Reference[[#This Row],[Case Type]]="M","",TRUE))</f>
        <v>1</v>
      </c>
      <c r="J71" s="1" t="s">
        <v>215</v>
      </c>
      <c r="K71" s="1">
        <v>50</v>
      </c>
      <c r="L71" s="1" t="s">
        <v>225</v>
      </c>
      <c r="M71" s="1">
        <v>2</v>
      </c>
      <c r="N71" s="1" t="s">
        <v>149</v>
      </c>
      <c r="O71" s="1" t="s">
        <v>217</v>
      </c>
      <c r="R71" t="b">
        <f>IF(COUNTBLANK(Master_Reference[[#This Row],[C-Flex 3000K Eco Part Number]:[C-Flex 4000K Eco Part Number]])=3,FALSE,TRUE)</f>
        <v>1</v>
      </c>
      <c r="S71" t="b">
        <f>IF(COUNTBLANK(Master_Reference[[#This Row],[C-Flex 3000K 3W Part Number]:[C-Flex 4000K 3W Part Number]])=3,FALSE,TRUE)</f>
        <v>1</v>
      </c>
      <c r="T71" t="b">
        <f>IF(COUNTBLANK(Master_Reference[[#This Row],[Lutron 3000K Eco Part Number]:[Lutron 4000K Eco Part Number]])=3,FALSE,TRUE)</f>
        <v>1</v>
      </c>
      <c r="U71" t="b">
        <f>IF(COUNTBLANK(Master_Reference[[#This Row],[Lutron 3000K 3W Part Number]:[Lutron 4000K 3W Part Number]])=3,FALSE,TRUE)</f>
        <v>1</v>
      </c>
      <c r="V71" s="12" t="s">
        <v>233</v>
      </c>
      <c r="W71" s="12" t="s">
        <v>234</v>
      </c>
      <c r="X71" s="12" t="s">
        <v>235</v>
      </c>
      <c r="Y71" t="s">
        <v>1713</v>
      </c>
      <c r="Z71" s="12" t="s">
        <v>236</v>
      </c>
      <c r="AA71" s="12" t="s">
        <v>237</v>
      </c>
      <c r="AB71" s="12" t="s">
        <v>238</v>
      </c>
      <c r="AC71" t="s">
        <v>1802</v>
      </c>
      <c r="AD71" t="str">
        <f>SUBSTITUTE(Master_Reference[[#This Row],[C-Flex 4000K Eco Part Number]],"40-","xx-")</f>
        <v>RP-PLL-5.0K-2L-8xx-E1-M-G2</v>
      </c>
      <c r="AE71" t="str">
        <f>SUBSTITUTE(Master_Reference[[#This Row],[C-Flex 4000K 3W Part Number]],"40-","xx-")</f>
        <v>RP-PLL-5.0K-2L-8xx-3W-M-G2</v>
      </c>
      <c r="AF71" s="1" t="str">
        <f>_xlfn.IFNA(VLOOKUP(Master_Reference[[#This Row],[C-Flex 3000K Eco Part Number]],Lutron_CFlex_Lookup[],MATCH("Lutron Kit PN",Lutron_CFlex_Lookup[#Headers],0),FALSE),"")</f>
        <v>ELD-TT-2M30-q</v>
      </c>
      <c r="AG71" s="1" t="str">
        <f>_xlfn.IFNA(VLOOKUP(Master_Reference[[#This Row],[C-Flex 3500K Eco Part Number]],Lutron_CFlex_Lookup[],MATCH("Lutron Kit PN",Lutron_CFlex_Lookup[#Headers],0),FALSE),"")</f>
        <v>ELD-TT-2M35-q</v>
      </c>
      <c r="AH71" s="1" t="str">
        <f>_xlfn.IFNA(VLOOKUP(Master_Reference[[#This Row],[C-Flex 4000K Eco Part Number]],Lutron_CFlex_Lookup[],MATCH("Lutron Kit PN",Lutron_CFlex_Lookup[#Headers],0),FALSE),"")</f>
        <v>ELD-TT-2M40-q</v>
      </c>
      <c r="AI71" s="1" t="str">
        <f>_xlfn.IFNA(VLOOKUP(Master_Reference[[#This Row],[C-Flex 5000K Eco Part Number]],Lutron_CFlex_Lookup[],MATCH("Lutron Kit PN",Lutron_CFlex_Lookup[#Headers],0),FALSE),"")</f>
        <v>ELD-TT-2M50-q</v>
      </c>
      <c r="AJ71" s="1" t="str">
        <f>_xlfn.IFNA(VLOOKUP(Master_Reference[[#This Row],[C-Flex 3000K 3W Part Number]],Lutron_CFlex_Lookup[],MATCH("Lutron Kit PN",Lutron_CFlex_Lookup[#Headers],0),FALSE),"")</f>
        <v>3LD-TT-2M30-q</v>
      </c>
      <c r="AK71" s="1" t="str">
        <f>_xlfn.IFNA(VLOOKUP(Master_Reference[[#This Row],[C-Flex 3500K 3W Part Number]],Lutron_CFlex_Lookup[],MATCH("Lutron Kit PN",Lutron_CFlex_Lookup[#Headers],0),FALSE),"")</f>
        <v>3LD-TT-2M35-q</v>
      </c>
      <c r="AL71" s="1" t="str">
        <f>_xlfn.IFNA(VLOOKUP(Master_Reference[[#This Row],[C-Flex 4000K 3W Part Number]],Lutron_CFlex_Lookup[],MATCH("Lutron Kit PN",Lutron_CFlex_Lookup[#Headers],0),FALSE),"")</f>
        <v>3LD-TT-2M40-q</v>
      </c>
      <c r="AM71" s="1" t="str">
        <f>_xlfn.IFNA(VLOOKUP(Master_Reference[[#This Row],[C-Flex 5000K 3W Part Number]],Lutron_CFlex_Lookup[],MATCH("Lutron Kit PN",Lutron_CFlex_Lookup[#Headers],0),FALSE),"")</f>
        <v>3LD-TT-2M50-q</v>
      </c>
      <c r="AN71" s="1" t="b">
        <f>NOT(ISNA(VLOOKUP(Master_Reference[[#This Row],[Model Number]],ObsoleteModels[],1,FALSE)))</f>
        <v>1</v>
      </c>
      <c r="AO71" s="1" t="str">
        <f>IF(LEFT(Master_Reference[[#This Row],[Model Number]],1)="U",LEFT(Master_Reference[[#This Row],[Model Number]],4),LEFT(Master_Reference[[#This Row],[Model Number]],3))</f>
        <v>EC3</v>
      </c>
    </row>
    <row r="72" spans="1:41" x14ac:dyDescent="0.25">
      <c r="A72" s="2" t="s">
        <v>239</v>
      </c>
      <c r="B72" s="1"/>
      <c r="C72" s="1" t="b">
        <v>1</v>
      </c>
      <c r="G72" s="1" t="str">
        <f>IF(OR(LEFT(RIGHT(Master_Reference[[#This Row],[Model Number]],3),1)="C",LEFT(RIGHT(Master_Reference[[#This Row],[Model Number]],4),1)="C"),TRUE,"")</f>
        <v/>
      </c>
      <c r="H72" s="1" t="str">
        <f>IF(LEFT(Master_Reference[[#This Row],[Model Number]],1)="U",TRUE,"")</f>
        <v/>
      </c>
      <c r="I72" s="1" t="b">
        <f>IF(Master_Reference[[#This Row],[Lamp Type]]="T4","",IF(Master_Reference[[#This Row],[Case Type]]="M","",TRUE))</f>
        <v>1</v>
      </c>
      <c r="J72" s="1" t="str">
        <f t="shared" ref="J72:J93" si="1">RIGHT(LEFT(A72,5),2)</f>
        <v>T8</v>
      </c>
      <c r="K72" s="1">
        <v>17</v>
      </c>
      <c r="L72" s="1" t="s">
        <v>112</v>
      </c>
      <c r="M72" s="1">
        <v>1</v>
      </c>
      <c r="N72" s="1" t="s">
        <v>149</v>
      </c>
      <c r="O72" s="1" t="s">
        <v>113</v>
      </c>
      <c r="R72" t="b">
        <f>IF(COUNTBLANK(Master_Reference[[#This Row],[C-Flex 3000K Eco Part Number]:[C-Flex 4000K Eco Part Number]])=3,FALSE,TRUE)</f>
        <v>0</v>
      </c>
      <c r="S72" t="b">
        <f>IF(COUNTBLANK(Master_Reference[[#This Row],[C-Flex 3000K 3W Part Number]:[C-Flex 4000K 3W Part Number]])=3,FALSE,TRUE)</f>
        <v>1</v>
      </c>
      <c r="T72" t="b">
        <f>IF(COUNTBLANK(Master_Reference[[#This Row],[Lutron 3000K Eco Part Number]:[Lutron 4000K Eco Part Number]])=3,FALSE,TRUE)</f>
        <v>0</v>
      </c>
      <c r="U72" t="b">
        <f>IF(COUNTBLANK(Master_Reference[[#This Row],[Lutron 3000K 3W Part Number]:[Lutron 4000K 3W Part Number]])=3,FALSE,TRUE)</f>
        <v>1</v>
      </c>
      <c r="V72" s="12"/>
      <c r="W72" s="12"/>
      <c r="X72" s="12"/>
      <c r="Y72" t="s">
        <v>2125</v>
      </c>
      <c r="Z72" s="12" t="s">
        <v>240</v>
      </c>
      <c r="AA72" s="12" t="s">
        <v>241</v>
      </c>
      <c r="AB72" s="12" t="s">
        <v>242</v>
      </c>
      <c r="AC72" t="s">
        <v>1823</v>
      </c>
      <c r="AD72" t="str">
        <f>SUBSTITUTE(Master_Reference[[#This Row],[C-Flex 4000K Eco Part Number]],"40-","xx-")</f>
        <v/>
      </c>
      <c r="AE72" t="str">
        <f>SUBSTITUTE(Master_Reference[[#This Row],[C-Flex 4000K 3W Part Number]],"40-","xx-")</f>
        <v>RP-T8-2FT-1L-8xx-3W-M-G2</v>
      </c>
      <c r="AF72" s="1" t="str">
        <f>_xlfn.IFNA(VLOOKUP(Master_Reference[[#This Row],[C-Flex 3000K Eco Part Number]],Lutron_CFlex_Lookup[],MATCH("Lutron Kit PN",Lutron_CFlex_Lookup[#Headers],0),FALSE),"")</f>
        <v/>
      </c>
      <c r="AG72" s="1" t="str">
        <f>_xlfn.IFNA(VLOOKUP(Master_Reference[[#This Row],[C-Flex 3500K Eco Part Number]],Lutron_CFlex_Lookup[],MATCH("Lutron Kit PN",Lutron_CFlex_Lookup[#Headers],0),FALSE),"")</f>
        <v/>
      </c>
      <c r="AH72" s="1" t="str">
        <f>_xlfn.IFNA(VLOOKUP(Master_Reference[[#This Row],[C-Flex 4000K Eco Part Number]],Lutron_CFlex_Lookup[],MATCH("Lutron Kit PN",Lutron_CFlex_Lookup[#Headers],0),FALSE),"")</f>
        <v/>
      </c>
      <c r="AI72" s="1" t="str">
        <f>_xlfn.IFNA(VLOOKUP(Master_Reference[[#This Row],[C-Flex 5000K Eco Part Number]],Lutron_CFlex_Lookup[],MATCH("Lutron Kit PN",Lutron_CFlex_Lookup[#Headers],0),FALSE),"")</f>
        <v/>
      </c>
      <c r="AJ72" s="1" t="str">
        <f>_xlfn.IFNA(VLOOKUP(Master_Reference[[#This Row],[C-Flex 3000K 3W Part Number]],Lutron_CFlex_Lookup[],MATCH("Lutron Kit PN",Lutron_CFlex_Lookup[#Headers],0),FALSE),"")</f>
        <v>3LD2T8-1M30-q</v>
      </c>
      <c r="AK72" s="1" t="str">
        <f>_xlfn.IFNA(VLOOKUP(Master_Reference[[#This Row],[C-Flex 3500K 3W Part Number]],Lutron_CFlex_Lookup[],MATCH("Lutron Kit PN",Lutron_CFlex_Lookup[#Headers],0),FALSE),"")</f>
        <v>3LD2T8-1M35-q</v>
      </c>
      <c r="AL72" s="1" t="str">
        <f>_xlfn.IFNA(VLOOKUP(Master_Reference[[#This Row],[C-Flex 4000K 3W Part Number]],Lutron_CFlex_Lookup[],MATCH("Lutron Kit PN",Lutron_CFlex_Lookup[#Headers],0),FALSE),"")</f>
        <v>3LD2T8-1M40-q</v>
      </c>
      <c r="AM72" s="1" t="str">
        <f>_xlfn.IFNA(VLOOKUP(Master_Reference[[#This Row],[C-Flex 5000K 3W Part Number]],Lutron_CFlex_Lookup[],MATCH("Lutron Kit PN",Lutron_CFlex_Lookup[#Headers],0),FALSE),"")</f>
        <v>3LD2T8-1M50-q</v>
      </c>
      <c r="AN72" s="1" t="b">
        <f>NOT(ISNA(VLOOKUP(Master_Reference[[#This Row],[Model Number]],ObsoleteModels[],1,FALSE)))</f>
        <v>1</v>
      </c>
      <c r="AO72" s="1" t="str">
        <f>IF(LEFT(Master_Reference[[#This Row],[Model Number]],1)="U",LEFT(Master_Reference[[#This Row],[Model Number]],4),LEFT(Master_Reference[[#This Row],[Model Number]],3))</f>
        <v>EC3</v>
      </c>
    </row>
    <row r="73" spans="1:41" x14ac:dyDescent="0.25">
      <c r="A73" s="2" t="s">
        <v>243</v>
      </c>
      <c r="B73" s="1"/>
      <c r="C73" s="1" t="b">
        <v>1</v>
      </c>
      <c r="G73" s="1" t="str">
        <f>IF(OR(LEFT(RIGHT(Master_Reference[[#This Row],[Model Number]],3),1)="C",LEFT(RIGHT(Master_Reference[[#This Row],[Model Number]],4),1)="C"),TRUE,"")</f>
        <v/>
      </c>
      <c r="H73" s="1" t="str">
        <f>IF(LEFT(Master_Reference[[#This Row],[Model Number]],1)="U",TRUE,"")</f>
        <v/>
      </c>
      <c r="I73" s="1" t="b">
        <f>IF(Master_Reference[[#This Row],[Lamp Type]]="T4","",IF(Master_Reference[[#This Row],[Case Type]]="M","",TRUE))</f>
        <v>1</v>
      </c>
      <c r="J73" s="1" t="str">
        <f t="shared" si="1"/>
        <v>T8</v>
      </c>
      <c r="K73" s="1">
        <v>17</v>
      </c>
      <c r="L73" s="1" t="s">
        <v>112</v>
      </c>
      <c r="M73" s="1">
        <v>2</v>
      </c>
      <c r="N73" s="1" t="s">
        <v>149</v>
      </c>
      <c r="O73" s="1" t="s">
        <v>113</v>
      </c>
      <c r="R73" t="b">
        <f>IF(COUNTBLANK(Master_Reference[[#This Row],[C-Flex 3000K Eco Part Number]:[C-Flex 4000K Eco Part Number]])=3,FALSE,TRUE)</f>
        <v>0</v>
      </c>
      <c r="S73" t="b">
        <f>IF(COUNTBLANK(Master_Reference[[#This Row],[C-Flex 3000K 3W Part Number]:[C-Flex 4000K 3W Part Number]])=3,FALSE,TRUE)</f>
        <v>1</v>
      </c>
      <c r="T73" t="b">
        <f>IF(COUNTBLANK(Master_Reference[[#This Row],[Lutron 3000K Eco Part Number]:[Lutron 4000K Eco Part Number]])=3,FALSE,TRUE)</f>
        <v>0</v>
      </c>
      <c r="U73" t="b">
        <f>IF(COUNTBLANK(Master_Reference[[#This Row],[Lutron 3000K 3W Part Number]:[Lutron 4000K 3W Part Number]])=3,FALSE,TRUE)</f>
        <v>1</v>
      </c>
      <c r="V73" s="12"/>
      <c r="W73" s="12"/>
      <c r="X73" s="12"/>
      <c r="Y73" t="s">
        <v>2125</v>
      </c>
      <c r="Z73" s="12" t="s">
        <v>244</v>
      </c>
      <c r="AA73" s="12" t="s">
        <v>245</v>
      </c>
      <c r="AB73" s="12" t="s">
        <v>246</v>
      </c>
      <c r="AC73" t="s">
        <v>1824</v>
      </c>
      <c r="AD73" t="str">
        <f>SUBSTITUTE(Master_Reference[[#This Row],[C-Flex 4000K Eco Part Number]],"40-","xx-")</f>
        <v/>
      </c>
      <c r="AE73" t="str">
        <f>SUBSTITUTE(Master_Reference[[#This Row],[C-Flex 4000K 3W Part Number]],"40-","xx-")</f>
        <v>RP-T8-2FT-2L-8xx-3W-M-G2</v>
      </c>
      <c r="AF73" s="1" t="str">
        <f>_xlfn.IFNA(VLOOKUP(Master_Reference[[#This Row],[C-Flex 3000K Eco Part Number]],Lutron_CFlex_Lookup[],MATCH("Lutron Kit PN",Lutron_CFlex_Lookup[#Headers],0),FALSE),"")</f>
        <v/>
      </c>
      <c r="AG73" s="1" t="str">
        <f>_xlfn.IFNA(VLOOKUP(Master_Reference[[#This Row],[C-Flex 3500K Eco Part Number]],Lutron_CFlex_Lookup[],MATCH("Lutron Kit PN",Lutron_CFlex_Lookup[#Headers],0),FALSE),"")</f>
        <v/>
      </c>
      <c r="AH73" s="1" t="str">
        <f>_xlfn.IFNA(VLOOKUP(Master_Reference[[#This Row],[C-Flex 4000K Eco Part Number]],Lutron_CFlex_Lookup[],MATCH("Lutron Kit PN",Lutron_CFlex_Lookup[#Headers],0),FALSE),"")</f>
        <v/>
      </c>
      <c r="AI73" s="1" t="str">
        <f>_xlfn.IFNA(VLOOKUP(Master_Reference[[#This Row],[C-Flex 5000K Eco Part Number]],Lutron_CFlex_Lookup[],MATCH("Lutron Kit PN",Lutron_CFlex_Lookup[#Headers],0),FALSE),"")</f>
        <v/>
      </c>
      <c r="AJ73" s="1" t="str">
        <f>_xlfn.IFNA(VLOOKUP(Master_Reference[[#This Row],[C-Flex 3000K 3W Part Number]],Lutron_CFlex_Lookup[],MATCH("Lutron Kit PN",Lutron_CFlex_Lookup[#Headers],0),FALSE),"")</f>
        <v>3LD2T8-2M30-q</v>
      </c>
      <c r="AK73" s="1" t="str">
        <f>_xlfn.IFNA(VLOOKUP(Master_Reference[[#This Row],[C-Flex 3500K 3W Part Number]],Lutron_CFlex_Lookup[],MATCH("Lutron Kit PN",Lutron_CFlex_Lookup[#Headers],0),FALSE),"")</f>
        <v>3LD2T8-2M35-q</v>
      </c>
      <c r="AL73" s="1" t="str">
        <f>_xlfn.IFNA(VLOOKUP(Master_Reference[[#This Row],[C-Flex 4000K 3W Part Number]],Lutron_CFlex_Lookup[],MATCH("Lutron Kit PN",Lutron_CFlex_Lookup[#Headers],0),FALSE),"")</f>
        <v>3LD2T8-2M40-q</v>
      </c>
      <c r="AM73" s="1" t="str">
        <f>_xlfn.IFNA(VLOOKUP(Master_Reference[[#This Row],[C-Flex 5000K 3W Part Number]],Lutron_CFlex_Lookup[],MATCH("Lutron Kit PN",Lutron_CFlex_Lookup[#Headers],0),FALSE),"")</f>
        <v>3LD2T8-2M50-q</v>
      </c>
      <c r="AN73" s="1" t="b">
        <f>NOT(ISNA(VLOOKUP(Master_Reference[[#This Row],[Model Number]],ObsoleteModels[],1,FALSE)))</f>
        <v>1</v>
      </c>
      <c r="AO73" s="1" t="str">
        <f>IF(LEFT(Master_Reference[[#This Row],[Model Number]],1)="U",LEFT(Master_Reference[[#This Row],[Model Number]],4),LEFT(Master_Reference[[#This Row],[Model Number]],3))</f>
        <v>EC3</v>
      </c>
    </row>
    <row r="74" spans="1:41" x14ac:dyDescent="0.25">
      <c r="A74" s="2" t="s">
        <v>247</v>
      </c>
      <c r="B74" s="1"/>
      <c r="C74" s="1" t="b">
        <v>1</v>
      </c>
      <c r="G74" s="1" t="str">
        <f>IF(OR(LEFT(RIGHT(Master_Reference[[#This Row],[Model Number]],3),1)="C",LEFT(RIGHT(Master_Reference[[#This Row],[Model Number]],4),1)="C"),TRUE,"")</f>
        <v/>
      </c>
      <c r="H74" s="1" t="str">
        <f>IF(LEFT(Master_Reference[[#This Row],[Model Number]],1)="U",TRUE,"")</f>
        <v/>
      </c>
      <c r="I74" s="1" t="b">
        <f>IF(Master_Reference[[#This Row],[Lamp Type]]="T4","",IF(Master_Reference[[#This Row],[Case Type]]="M","",TRUE))</f>
        <v>1</v>
      </c>
      <c r="J74" s="1" t="str">
        <f t="shared" si="1"/>
        <v>T8</v>
      </c>
      <c r="K74" s="1">
        <v>17</v>
      </c>
      <c r="L74" s="1" t="s">
        <v>112</v>
      </c>
      <c r="M74" s="1">
        <v>1</v>
      </c>
      <c r="N74" s="1" t="s">
        <v>149</v>
      </c>
      <c r="O74" s="1" t="s">
        <v>217</v>
      </c>
      <c r="R74" t="b">
        <f>IF(COUNTBLANK(Master_Reference[[#This Row],[C-Flex 3000K Eco Part Number]:[C-Flex 4000K Eco Part Number]])=3,FALSE,TRUE)</f>
        <v>0</v>
      </c>
      <c r="S74" t="b">
        <f>IF(COUNTBLANK(Master_Reference[[#This Row],[C-Flex 3000K 3W Part Number]:[C-Flex 4000K 3W Part Number]])=3,FALSE,TRUE)</f>
        <v>1</v>
      </c>
      <c r="T74" t="b">
        <f>IF(COUNTBLANK(Master_Reference[[#This Row],[Lutron 3000K Eco Part Number]:[Lutron 4000K Eco Part Number]])=3,FALSE,TRUE)</f>
        <v>0</v>
      </c>
      <c r="U74" t="b">
        <f>IF(COUNTBLANK(Master_Reference[[#This Row],[Lutron 3000K 3W Part Number]:[Lutron 4000K 3W Part Number]])=3,FALSE,TRUE)</f>
        <v>1</v>
      </c>
      <c r="V74" s="12"/>
      <c r="W74" s="12"/>
      <c r="X74" s="12"/>
      <c r="Y74" t="s">
        <v>2125</v>
      </c>
      <c r="Z74" s="12" t="s">
        <v>240</v>
      </c>
      <c r="AA74" s="12" t="s">
        <v>241</v>
      </c>
      <c r="AB74" s="12" t="s">
        <v>242</v>
      </c>
      <c r="AC74" t="s">
        <v>1823</v>
      </c>
      <c r="AD74" t="str">
        <f>SUBSTITUTE(Master_Reference[[#This Row],[C-Flex 4000K Eco Part Number]],"40-","xx-")</f>
        <v/>
      </c>
      <c r="AE74" t="str">
        <f>SUBSTITUTE(Master_Reference[[#This Row],[C-Flex 4000K 3W Part Number]],"40-","xx-")</f>
        <v>RP-T8-2FT-1L-8xx-3W-M-G2</v>
      </c>
      <c r="AF74" s="1" t="str">
        <f>_xlfn.IFNA(VLOOKUP(Master_Reference[[#This Row],[C-Flex 3000K Eco Part Number]],Lutron_CFlex_Lookup[],MATCH("Lutron Kit PN",Lutron_CFlex_Lookup[#Headers],0),FALSE),"")</f>
        <v/>
      </c>
      <c r="AG74" s="1" t="str">
        <f>_xlfn.IFNA(VLOOKUP(Master_Reference[[#This Row],[C-Flex 3500K Eco Part Number]],Lutron_CFlex_Lookup[],MATCH("Lutron Kit PN",Lutron_CFlex_Lookup[#Headers],0),FALSE),"")</f>
        <v/>
      </c>
      <c r="AH74" s="1" t="str">
        <f>_xlfn.IFNA(VLOOKUP(Master_Reference[[#This Row],[C-Flex 4000K Eco Part Number]],Lutron_CFlex_Lookup[],MATCH("Lutron Kit PN",Lutron_CFlex_Lookup[#Headers],0),FALSE),"")</f>
        <v/>
      </c>
      <c r="AI74" s="1" t="str">
        <f>_xlfn.IFNA(VLOOKUP(Master_Reference[[#This Row],[C-Flex 5000K Eco Part Number]],Lutron_CFlex_Lookup[],MATCH("Lutron Kit PN",Lutron_CFlex_Lookup[#Headers],0),FALSE),"")</f>
        <v/>
      </c>
      <c r="AJ74" s="1" t="str">
        <f>_xlfn.IFNA(VLOOKUP(Master_Reference[[#This Row],[C-Flex 3000K 3W Part Number]],Lutron_CFlex_Lookup[],MATCH("Lutron Kit PN",Lutron_CFlex_Lookup[#Headers],0),FALSE),"")</f>
        <v>3LD2T8-1M30-q</v>
      </c>
      <c r="AK74" s="1" t="str">
        <f>_xlfn.IFNA(VLOOKUP(Master_Reference[[#This Row],[C-Flex 3500K 3W Part Number]],Lutron_CFlex_Lookup[],MATCH("Lutron Kit PN",Lutron_CFlex_Lookup[#Headers],0),FALSE),"")</f>
        <v>3LD2T8-1M35-q</v>
      </c>
      <c r="AL74" s="1" t="str">
        <f>_xlfn.IFNA(VLOOKUP(Master_Reference[[#This Row],[C-Flex 4000K 3W Part Number]],Lutron_CFlex_Lookup[],MATCH("Lutron Kit PN",Lutron_CFlex_Lookup[#Headers],0),FALSE),"")</f>
        <v>3LD2T8-1M40-q</v>
      </c>
      <c r="AM74" s="1" t="str">
        <f>_xlfn.IFNA(VLOOKUP(Master_Reference[[#This Row],[C-Flex 5000K 3W Part Number]],Lutron_CFlex_Lookup[],MATCH("Lutron Kit PN",Lutron_CFlex_Lookup[#Headers],0),FALSE),"")</f>
        <v>3LD2T8-1M50-q</v>
      </c>
      <c r="AN74" s="1" t="b">
        <f>NOT(ISNA(VLOOKUP(Master_Reference[[#This Row],[Model Number]],ObsoleteModels[],1,FALSE)))</f>
        <v>1</v>
      </c>
      <c r="AO74" s="1" t="str">
        <f>IF(LEFT(Master_Reference[[#This Row],[Model Number]],1)="U",LEFT(Master_Reference[[#This Row],[Model Number]],4),LEFT(Master_Reference[[#This Row],[Model Number]],3))</f>
        <v>EC3</v>
      </c>
    </row>
    <row r="75" spans="1:41" x14ac:dyDescent="0.25">
      <c r="A75" s="2" t="s">
        <v>248</v>
      </c>
      <c r="B75" s="1"/>
      <c r="C75" s="1" t="b">
        <v>1</v>
      </c>
      <c r="G75" s="1" t="str">
        <f>IF(OR(LEFT(RIGHT(Master_Reference[[#This Row],[Model Number]],3),1)="C",LEFT(RIGHT(Master_Reference[[#This Row],[Model Number]],4),1)="C"),TRUE,"")</f>
        <v/>
      </c>
      <c r="H75" s="1" t="str">
        <f>IF(LEFT(Master_Reference[[#This Row],[Model Number]],1)="U",TRUE,"")</f>
        <v/>
      </c>
      <c r="I75" s="1" t="b">
        <f>IF(Master_Reference[[#This Row],[Lamp Type]]="T4","",IF(Master_Reference[[#This Row],[Case Type]]="M","",TRUE))</f>
        <v>1</v>
      </c>
      <c r="J75" s="1" t="str">
        <f t="shared" si="1"/>
        <v>T8</v>
      </c>
      <c r="K75" s="1">
        <v>17</v>
      </c>
      <c r="L75" s="1" t="s">
        <v>112</v>
      </c>
      <c r="M75" s="1">
        <v>2</v>
      </c>
      <c r="N75" s="1" t="s">
        <v>149</v>
      </c>
      <c r="O75" s="1" t="s">
        <v>217</v>
      </c>
      <c r="R75" t="b">
        <f>IF(COUNTBLANK(Master_Reference[[#This Row],[C-Flex 3000K Eco Part Number]:[C-Flex 4000K Eco Part Number]])=3,FALSE,TRUE)</f>
        <v>0</v>
      </c>
      <c r="S75" t="b">
        <f>IF(COUNTBLANK(Master_Reference[[#This Row],[C-Flex 3000K 3W Part Number]:[C-Flex 4000K 3W Part Number]])=3,FALSE,TRUE)</f>
        <v>1</v>
      </c>
      <c r="T75" t="b">
        <f>IF(COUNTBLANK(Master_Reference[[#This Row],[Lutron 3000K Eco Part Number]:[Lutron 4000K Eco Part Number]])=3,FALSE,TRUE)</f>
        <v>0</v>
      </c>
      <c r="U75" t="b">
        <f>IF(COUNTBLANK(Master_Reference[[#This Row],[Lutron 3000K 3W Part Number]:[Lutron 4000K 3W Part Number]])=3,FALSE,TRUE)</f>
        <v>1</v>
      </c>
      <c r="V75" s="12"/>
      <c r="W75" s="12"/>
      <c r="X75" s="12"/>
      <c r="Y75" t="s">
        <v>2125</v>
      </c>
      <c r="Z75" s="12" t="s">
        <v>244</v>
      </c>
      <c r="AA75" s="12" t="s">
        <v>245</v>
      </c>
      <c r="AB75" s="12" t="s">
        <v>246</v>
      </c>
      <c r="AC75" t="s">
        <v>1824</v>
      </c>
      <c r="AD75" t="str">
        <f>SUBSTITUTE(Master_Reference[[#This Row],[C-Flex 4000K Eco Part Number]],"40-","xx-")</f>
        <v/>
      </c>
      <c r="AE75" t="str">
        <f>SUBSTITUTE(Master_Reference[[#This Row],[C-Flex 4000K 3W Part Number]],"40-","xx-")</f>
        <v>RP-T8-2FT-2L-8xx-3W-M-G2</v>
      </c>
      <c r="AF75" s="1" t="str">
        <f>_xlfn.IFNA(VLOOKUP(Master_Reference[[#This Row],[C-Flex 3000K Eco Part Number]],Lutron_CFlex_Lookup[],MATCH("Lutron Kit PN",Lutron_CFlex_Lookup[#Headers],0),FALSE),"")</f>
        <v/>
      </c>
      <c r="AG75" s="1" t="str">
        <f>_xlfn.IFNA(VLOOKUP(Master_Reference[[#This Row],[C-Flex 3500K Eco Part Number]],Lutron_CFlex_Lookup[],MATCH("Lutron Kit PN",Lutron_CFlex_Lookup[#Headers],0),FALSE),"")</f>
        <v/>
      </c>
      <c r="AH75" s="1" t="str">
        <f>_xlfn.IFNA(VLOOKUP(Master_Reference[[#This Row],[C-Flex 4000K Eco Part Number]],Lutron_CFlex_Lookup[],MATCH("Lutron Kit PN",Lutron_CFlex_Lookup[#Headers],0),FALSE),"")</f>
        <v/>
      </c>
      <c r="AI75" s="1" t="str">
        <f>_xlfn.IFNA(VLOOKUP(Master_Reference[[#This Row],[C-Flex 5000K Eco Part Number]],Lutron_CFlex_Lookup[],MATCH("Lutron Kit PN",Lutron_CFlex_Lookup[#Headers],0),FALSE),"")</f>
        <v/>
      </c>
      <c r="AJ75" s="1" t="str">
        <f>_xlfn.IFNA(VLOOKUP(Master_Reference[[#This Row],[C-Flex 3000K 3W Part Number]],Lutron_CFlex_Lookup[],MATCH("Lutron Kit PN",Lutron_CFlex_Lookup[#Headers],0),FALSE),"")</f>
        <v>3LD2T8-2M30-q</v>
      </c>
      <c r="AK75" s="1" t="str">
        <f>_xlfn.IFNA(VLOOKUP(Master_Reference[[#This Row],[C-Flex 3500K 3W Part Number]],Lutron_CFlex_Lookup[],MATCH("Lutron Kit PN",Lutron_CFlex_Lookup[#Headers],0),FALSE),"")</f>
        <v>3LD2T8-2M35-q</v>
      </c>
      <c r="AL75" s="1" t="str">
        <f>_xlfn.IFNA(VLOOKUP(Master_Reference[[#This Row],[C-Flex 4000K 3W Part Number]],Lutron_CFlex_Lookup[],MATCH("Lutron Kit PN",Lutron_CFlex_Lookup[#Headers],0),FALSE),"")</f>
        <v>3LD2T8-2M40-q</v>
      </c>
      <c r="AM75" s="1" t="str">
        <f>_xlfn.IFNA(VLOOKUP(Master_Reference[[#This Row],[C-Flex 5000K 3W Part Number]],Lutron_CFlex_Lookup[],MATCH("Lutron Kit PN",Lutron_CFlex_Lookup[#Headers],0),FALSE),"")</f>
        <v>3LD2T8-2M50-q</v>
      </c>
      <c r="AN75" s="1" t="b">
        <f>NOT(ISNA(VLOOKUP(Master_Reference[[#This Row],[Model Number]],ObsoleteModels[],1,FALSE)))</f>
        <v>1</v>
      </c>
      <c r="AO75" s="1" t="str">
        <f>IF(LEFT(Master_Reference[[#This Row],[Model Number]],1)="U",LEFT(Master_Reference[[#This Row],[Model Number]],4),LEFT(Master_Reference[[#This Row],[Model Number]],3))</f>
        <v>EC3</v>
      </c>
    </row>
    <row r="76" spans="1:41" x14ac:dyDescent="0.25">
      <c r="A76" s="2" t="s">
        <v>249</v>
      </c>
      <c r="B76" s="1"/>
      <c r="C76" s="1" t="b">
        <v>1</v>
      </c>
      <c r="G76" s="1" t="str">
        <f>IF(OR(LEFT(RIGHT(Master_Reference[[#This Row],[Model Number]],3),1)="C",LEFT(RIGHT(Master_Reference[[#This Row],[Model Number]],4),1)="C"),TRUE,"")</f>
        <v/>
      </c>
      <c r="H76" s="1" t="str">
        <f>IF(LEFT(Master_Reference[[#This Row],[Model Number]],1)="U",TRUE,"")</f>
        <v/>
      </c>
      <c r="I76" s="1" t="b">
        <f>IF(Master_Reference[[#This Row],[Lamp Type]]="T4","",IF(Master_Reference[[#This Row],[Case Type]]="M","",TRUE))</f>
        <v>1</v>
      </c>
      <c r="J76" s="1" t="str">
        <f t="shared" si="1"/>
        <v>T8</v>
      </c>
      <c r="K76" s="1">
        <v>17</v>
      </c>
      <c r="L76" s="1" t="s">
        <v>112</v>
      </c>
      <c r="M76" s="1">
        <v>2</v>
      </c>
      <c r="N76" s="1" t="s">
        <v>149</v>
      </c>
      <c r="O76" s="1" t="s">
        <v>217</v>
      </c>
      <c r="Q76" s="1" t="s">
        <v>91</v>
      </c>
      <c r="R76" t="b">
        <f>IF(COUNTBLANK(Master_Reference[[#This Row],[C-Flex 3000K Eco Part Number]:[C-Flex 4000K Eco Part Number]])=3,FALSE,TRUE)</f>
        <v>0</v>
      </c>
      <c r="S76" t="b">
        <f>IF(COUNTBLANK(Master_Reference[[#This Row],[C-Flex 3000K 3W Part Number]:[C-Flex 4000K 3W Part Number]])=3,FALSE,TRUE)</f>
        <v>0</v>
      </c>
      <c r="T76" t="b">
        <f>IF(COUNTBLANK(Master_Reference[[#This Row],[Lutron 3000K Eco Part Number]:[Lutron 4000K Eco Part Number]])=3,FALSE,TRUE)</f>
        <v>0</v>
      </c>
      <c r="U76" t="b">
        <f>IF(COUNTBLANK(Master_Reference[[#This Row],[Lutron 3000K 3W Part Number]:[Lutron 4000K 3W Part Number]])=3,FALSE,TRUE)</f>
        <v>0</v>
      </c>
      <c r="V76" s="12"/>
      <c r="W76" s="12"/>
      <c r="X76" s="12"/>
      <c r="Y76" t="s">
        <v>2125</v>
      </c>
      <c r="Z76" s="12"/>
      <c r="AA76" s="12"/>
      <c r="AB76" s="12"/>
      <c r="AC76" t="s">
        <v>2125</v>
      </c>
      <c r="AD76" t="str">
        <f>SUBSTITUTE(Master_Reference[[#This Row],[C-Flex 4000K Eco Part Number]],"40-","xx-")</f>
        <v/>
      </c>
      <c r="AE76" t="str">
        <f>SUBSTITUTE(Master_Reference[[#This Row],[C-Flex 4000K 3W Part Number]],"40-","xx-")</f>
        <v/>
      </c>
      <c r="AF76" s="1" t="str">
        <f>_xlfn.IFNA(VLOOKUP(Master_Reference[[#This Row],[C-Flex 3000K Eco Part Number]],Lutron_CFlex_Lookup[],MATCH("Lutron Kit PN",Lutron_CFlex_Lookup[#Headers],0),FALSE),"")</f>
        <v/>
      </c>
      <c r="AG76" s="1" t="str">
        <f>_xlfn.IFNA(VLOOKUP(Master_Reference[[#This Row],[C-Flex 3500K Eco Part Number]],Lutron_CFlex_Lookup[],MATCH("Lutron Kit PN",Lutron_CFlex_Lookup[#Headers],0),FALSE),"")</f>
        <v/>
      </c>
      <c r="AH76" s="1" t="str">
        <f>_xlfn.IFNA(VLOOKUP(Master_Reference[[#This Row],[C-Flex 4000K Eco Part Number]],Lutron_CFlex_Lookup[],MATCH("Lutron Kit PN",Lutron_CFlex_Lookup[#Headers],0),FALSE),"")</f>
        <v/>
      </c>
      <c r="AI76" s="1" t="str">
        <f>_xlfn.IFNA(VLOOKUP(Master_Reference[[#This Row],[C-Flex 5000K Eco Part Number]],Lutron_CFlex_Lookup[],MATCH("Lutron Kit PN",Lutron_CFlex_Lookup[#Headers],0),FALSE),"")</f>
        <v/>
      </c>
      <c r="AJ76" s="1" t="str">
        <f>_xlfn.IFNA(VLOOKUP(Master_Reference[[#This Row],[C-Flex 3000K 3W Part Number]],Lutron_CFlex_Lookup[],MATCH("Lutron Kit PN",Lutron_CFlex_Lookup[#Headers],0),FALSE),"")</f>
        <v/>
      </c>
      <c r="AK76" s="1" t="str">
        <f>_xlfn.IFNA(VLOOKUP(Master_Reference[[#This Row],[C-Flex 3500K 3W Part Number]],Lutron_CFlex_Lookup[],MATCH("Lutron Kit PN",Lutron_CFlex_Lookup[#Headers],0),FALSE),"")</f>
        <v/>
      </c>
      <c r="AL76" s="1" t="str">
        <f>_xlfn.IFNA(VLOOKUP(Master_Reference[[#This Row],[C-Flex 4000K 3W Part Number]],Lutron_CFlex_Lookup[],MATCH("Lutron Kit PN",Lutron_CFlex_Lookup[#Headers],0),FALSE),"")</f>
        <v/>
      </c>
      <c r="AM76" s="1" t="str">
        <f>_xlfn.IFNA(VLOOKUP(Master_Reference[[#This Row],[C-Flex 5000K 3W Part Number]],Lutron_CFlex_Lookup[],MATCH("Lutron Kit PN",Lutron_CFlex_Lookup[#Headers],0),FALSE),"")</f>
        <v/>
      </c>
      <c r="AN76" s="1" t="b">
        <f>NOT(ISNA(VLOOKUP(Master_Reference[[#This Row],[Model Number]],ObsoleteModels[],1,FALSE)))</f>
        <v>1</v>
      </c>
      <c r="AO76" s="1" t="str">
        <f>IF(LEFT(Master_Reference[[#This Row],[Model Number]],1)="U",LEFT(Master_Reference[[#This Row],[Model Number]],4),LEFT(Master_Reference[[#This Row],[Model Number]],3))</f>
        <v>EC3</v>
      </c>
    </row>
    <row r="77" spans="1:41" x14ac:dyDescent="0.25">
      <c r="A77" s="2" t="s">
        <v>250</v>
      </c>
      <c r="B77" s="1"/>
      <c r="C77" s="1" t="b">
        <v>1</v>
      </c>
      <c r="G77" s="1" t="str">
        <f>IF(OR(LEFT(RIGHT(Master_Reference[[#This Row],[Model Number]],3),1)="C",LEFT(RIGHT(Master_Reference[[#This Row],[Model Number]],4),1)="C"),TRUE,"")</f>
        <v/>
      </c>
      <c r="H77" s="1" t="str">
        <f>IF(LEFT(Master_Reference[[#This Row],[Model Number]],1)="U",TRUE,"")</f>
        <v/>
      </c>
      <c r="I77" s="1" t="b">
        <f>IF(Master_Reference[[#This Row],[Lamp Type]]="T4","",IF(Master_Reference[[#This Row],[Case Type]]="M","",TRUE))</f>
        <v>1</v>
      </c>
      <c r="J77" s="1" t="str">
        <f t="shared" si="1"/>
        <v>T8</v>
      </c>
      <c r="K77" s="1">
        <v>17</v>
      </c>
      <c r="L77" s="1" t="s">
        <v>112</v>
      </c>
      <c r="M77" s="1">
        <v>3</v>
      </c>
      <c r="N77" s="1" t="s">
        <v>149</v>
      </c>
      <c r="O77" s="1" t="s">
        <v>217</v>
      </c>
      <c r="R77" t="b">
        <f>IF(COUNTBLANK(Master_Reference[[#This Row],[C-Flex 3000K Eco Part Number]:[C-Flex 4000K Eco Part Number]])=3,FALSE,TRUE)</f>
        <v>0</v>
      </c>
      <c r="S77" t="b">
        <f>IF(COUNTBLANK(Master_Reference[[#This Row],[C-Flex 3000K 3W Part Number]:[C-Flex 4000K 3W Part Number]])=3,FALSE,TRUE)</f>
        <v>1</v>
      </c>
      <c r="T77" t="b">
        <f>IF(COUNTBLANK(Master_Reference[[#This Row],[Lutron 3000K Eco Part Number]:[Lutron 4000K Eco Part Number]])=3,FALSE,TRUE)</f>
        <v>0</v>
      </c>
      <c r="U77" t="b">
        <f>IF(COUNTBLANK(Master_Reference[[#This Row],[Lutron 3000K 3W Part Number]:[Lutron 4000K 3W Part Number]])=3,FALSE,TRUE)</f>
        <v>1</v>
      </c>
      <c r="V77" s="12"/>
      <c r="W77" s="12"/>
      <c r="X77" s="12"/>
      <c r="Y77" t="s">
        <v>2125</v>
      </c>
      <c r="Z77" s="12" t="s">
        <v>251</v>
      </c>
      <c r="AA77" s="12" t="s">
        <v>252</v>
      </c>
      <c r="AB77" s="12" t="s">
        <v>253</v>
      </c>
      <c r="AC77" t="s">
        <v>1825</v>
      </c>
      <c r="AD77" t="str">
        <f>SUBSTITUTE(Master_Reference[[#This Row],[C-Flex 4000K Eco Part Number]],"40-","xx-")</f>
        <v/>
      </c>
      <c r="AE77" t="str">
        <f>SUBSTITUTE(Master_Reference[[#This Row],[C-Flex 4000K 3W Part Number]],"40-","xx-")</f>
        <v>RP-T8-2FT-3L-8xx-3W-M-G2</v>
      </c>
      <c r="AF77" s="1" t="str">
        <f>_xlfn.IFNA(VLOOKUP(Master_Reference[[#This Row],[C-Flex 3000K Eco Part Number]],Lutron_CFlex_Lookup[],MATCH("Lutron Kit PN",Lutron_CFlex_Lookup[#Headers],0),FALSE),"")</f>
        <v/>
      </c>
      <c r="AG77" s="1" t="str">
        <f>_xlfn.IFNA(VLOOKUP(Master_Reference[[#This Row],[C-Flex 3500K Eco Part Number]],Lutron_CFlex_Lookup[],MATCH("Lutron Kit PN",Lutron_CFlex_Lookup[#Headers],0),FALSE),"")</f>
        <v/>
      </c>
      <c r="AH77" s="1" t="str">
        <f>_xlfn.IFNA(VLOOKUP(Master_Reference[[#This Row],[C-Flex 4000K Eco Part Number]],Lutron_CFlex_Lookup[],MATCH("Lutron Kit PN",Lutron_CFlex_Lookup[#Headers],0),FALSE),"")</f>
        <v/>
      </c>
      <c r="AI77" s="1" t="str">
        <f>_xlfn.IFNA(VLOOKUP(Master_Reference[[#This Row],[C-Flex 5000K Eco Part Number]],Lutron_CFlex_Lookup[],MATCH("Lutron Kit PN",Lutron_CFlex_Lookup[#Headers],0),FALSE),"")</f>
        <v/>
      </c>
      <c r="AJ77" s="1" t="str">
        <f>_xlfn.IFNA(VLOOKUP(Master_Reference[[#This Row],[C-Flex 3000K 3W Part Number]],Lutron_CFlex_Lookup[],MATCH("Lutron Kit PN",Lutron_CFlex_Lookup[#Headers],0),FALSE),"")</f>
        <v>3LD2T8-3M30-q</v>
      </c>
      <c r="AK77" s="1" t="str">
        <f>_xlfn.IFNA(VLOOKUP(Master_Reference[[#This Row],[C-Flex 3500K 3W Part Number]],Lutron_CFlex_Lookup[],MATCH("Lutron Kit PN",Lutron_CFlex_Lookup[#Headers],0),FALSE),"")</f>
        <v>3LD2T8-3M35-q</v>
      </c>
      <c r="AL77" s="1" t="str">
        <f>_xlfn.IFNA(VLOOKUP(Master_Reference[[#This Row],[C-Flex 4000K 3W Part Number]],Lutron_CFlex_Lookup[],MATCH("Lutron Kit PN",Lutron_CFlex_Lookup[#Headers],0),FALSE),"")</f>
        <v>3LD2T8-3M40-q</v>
      </c>
      <c r="AM77" s="1" t="str">
        <f>_xlfn.IFNA(VLOOKUP(Master_Reference[[#This Row],[C-Flex 5000K 3W Part Number]],Lutron_CFlex_Lookup[],MATCH("Lutron Kit PN",Lutron_CFlex_Lookup[#Headers],0),FALSE),"")</f>
        <v>3LD2T8-3M50-q</v>
      </c>
      <c r="AN77" s="1" t="b">
        <f>NOT(ISNA(VLOOKUP(Master_Reference[[#This Row],[Model Number]],ObsoleteModels[],1,FALSE)))</f>
        <v>1</v>
      </c>
      <c r="AO77" s="1" t="str">
        <f>IF(LEFT(Master_Reference[[#This Row],[Model Number]],1)="U",LEFT(Master_Reference[[#This Row],[Model Number]],4),LEFT(Master_Reference[[#This Row],[Model Number]],3))</f>
        <v>EC3</v>
      </c>
    </row>
    <row r="78" spans="1:41" x14ac:dyDescent="0.25">
      <c r="A78" s="2" t="s">
        <v>254</v>
      </c>
      <c r="B78" s="1"/>
      <c r="C78" s="1" t="b">
        <v>1</v>
      </c>
      <c r="G78" s="1" t="str">
        <f>IF(OR(LEFT(RIGHT(Master_Reference[[#This Row],[Model Number]],3),1)="C",LEFT(RIGHT(Master_Reference[[#This Row],[Model Number]],4),1)="C"),TRUE,"")</f>
        <v/>
      </c>
      <c r="H78" s="1" t="str">
        <f>IF(LEFT(Master_Reference[[#This Row],[Model Number]],1)="U",TRUE,"")</f>
        <v/>
      </c>
      <c r="I78" s="1" t="b">
        <f>IF(Master_Reference[[#This Row],[Lamp Type]]="T4","",IF(Master_Reference[[#This Row],[Case Type]]="M","",TRUE))</f>
        <v>1</v>
      </c>
      <c r="J78" s="1" t="str">
        <f t="shared" si="1"/>
        <v>T8</v>
      </c>
      <c r="K78" s="1">
        <v>25</v>
      </c>
      <c r="L78" s="1" t="s">
        <v>115</v>
      </c>
      <c r="M78" s="1">
        <v>1</v>
      </c>
      <c r="N78" s="1" t="s">
        <v>149</v>
      </c>
      <c r="O78" s="1" t="s">
        <v>113</v>
      </c>
      <c r="R78" t="b">
        <f>IF(COUNTBLANK(Master_Reference[[#This Row],[C-Flex 3000K Eco Part Number]:[C-Flex 4000K Eco Part Number]])=3,FALSE,TRUE)</f>
        <v>0</v>
      </c>
      <c r="S78" t="b">
        <f>IF(COUNTBLANK(Master_Reference[[#This Row],[C-Flex 3000K 3W Part Number]:[C-Flex 4000K 3W Part Number]])=3,FALSE,TRUE)</f>
        <v>1</v>
      </c>
      <c r="T78" t="b">
        <f>IF(COUNTBLANK(Master_Reference[[#This Row],[Lutron 3000K Eco Part Number]:[Lutron 4000K Eco Part Number]])=3,FALSE,TRUE)</f>
        <v>0</v>
      </c>
      <c r="U78" t="b">
        <f>IF(COUNTBLANK(Master_Reference[[#This Row],[Lutron 3000K 3W Part Number]:[Lutron 4000K 3W Part Number]])=3,FALSE,TRUE)</f>
        <v>1</v>
      </c>
      <c r="V78" s="12"/>
      <c r="W78" s="12"/>
      <c r="X78" s="12"/>
      <c r="Y78" t="s">
        <v>2125</v>
      </c>
      <c r="Z78" s="12" t="s">
        <v>255</v>
      </c>
      <c r="AA78" s="12" t="s">
        <v>256</v>
      </c>
      <c r="AB78" s="12" t="s">
        <v>257</v>
      </c>
      <c r="AC78" t="s">
        <v>1826</v>
      </c>
      <c r="AD78" t="str">
        <f>SUBSTITUTE(Master_Reference[[#This Row],[C-Flex 4000K Eco Part Number]],"40-","xx-")</f>
        <v/>
      </c>
      <c r="AE78" t="str">
        <f>SUBSTITUTE(Master_Reference[[#This Row],[C-Flex 4000K 3W Part Number]],"40-","xx-")</f>
        <v>RP-T8-3FT-1L-8xx-3W-M-G2</v>
      </c>
      <c r="AF78" s="1" t="str">
        <f>_xlfn.IFNA(VLOOKUP(Master_Reference[[#This Row],[C-Flex 3000K Eco Part Number]],Lutron_CFlex_Lookup[],MATCH("Lutron Kit PN",Lutron_CFlex_Lookup[#Headers],0),FALSE),"")</f>
        <v/>
      </c>
      <c r="AG78" s="1" t="str">
        <f>_xlfn.IFNA(VLOOKUP(Master_Reference[[#This Row],[C-Flex 3500K Eco Part Number]],Lutron_CFlex_Lookup[],MATCH("Lutron Kit PN",Lutron_CFlex_Lookup[#Headers],0),FALSE),"")</f>
        <v/>
      </c>
      <c r="AH78" s="1" t="str">
        <f>_xlfn.IFNA(VLOOKUP(Master_Reference[[#This Row],[C-Flex 4000K Eco Part Number]],Lutron_CFlex_Lookup[],MATCH("Lutron Kit PN",Lutron_CFlex_Lookup[#Headers],0),FALSE),"")</f>
        <v/>
      </c>
      <c r="AI78" s="1" t="str">
        <f>_xlfn.IFNA(VLOOKUP(Master_Reference[[#This Row],[C-Flex 5000K Eco Part Number]],Lutron_CFlex_Lookup[],MATCH("Lutron Kit PN",Lutron_CFlex_Lookup[#Headers],0),FALSE),"")</f>
        <v/>
      </c>
      <c r="AJ78" s="1" t="str">
        <f>_xlfn.IFNA(VLOOKUP(Master_Reference[[#This Row],[C-Flex 3000K 3W Part Number]],Lutron_CFlex_Lookup[],MATCH("Lutron Kit PN",Lutron_CFlex_Lookup[#Headers],0),FALSE),"")</f>
        <v>3LD3T8-1M30-q</v>
      </c>
      <c r="AK78" s="1" t="str">
        <f>_xlfn.IFNA(VLOOKUP(Master_Reference[[#This Row],[C-Flex 3500K 3W Part Number]],Lutron_CFlex_Lookup[],MATCH("Lutron Kit PN",Lutron_CFlex_Lookup[#Headers],0),FALSE),"")</f>
        <v>3LD3T8-1M35-q</v>
      </c>
      <c r="AL78" s="1" t="str">
        <f>_xlfn.IFNA(VLOOKUP(Master_Reference[[#This Row],[C-Flex 4000K 3W Part Number]],Lutron_CFlex_Lookup[],MATCH("Lutron Kit PN",Lutron_CFlex_Lookup[#Headers],0),FALSE),"")</f>
        <v>3LD3T8-1M40-q</v>
      </c>
      <c r="AM78" s="1" t="str">
        <f>_xlfn.IFNA(VLOOKUP(Master_Reference[[#This Row],[C-Flex 5000K 3W Part Number]],Lutron_CFlex_Lookup[],MATCH("Lutron Kit PN",Lutron_CFlex_Lookup[#Headers],0),FALSE),"")</f>
        <v>3LD3T8-1M50-q</v>
      </c>
      <c r="AN78" s="1" t="b">
        <f>NOT(ISNA(VLOOKUP(Master_Reference[[#This Row],[Model Number]],ObsoleteModels[],1,FALSE)))</f>
        <v>1</v>
      </c>
      <c r="AO78" s="1" t="str">
        <f>IF(LEFT(Master_Reference[[#This Row],[Model Number]],1)="U",LEFT(Master_Reference[[#This Row],[Model Number]],4),LEFT(Master_Reference[[#This Row],[Model Number]],3))</f>
        <v>EC3</v>
      </c>
    </row>
    <row r="79" spans="1:41" x14ac:dyDescent="0.25">
      <c r="A79" s="2" t="s">
        <v>258</v>
      </c>
      <c r="B79" s="1"/>
      <c r="C79" s="1" t="b">
        <v>1</v>
      </c>
      <c r="G79" s="1" t="str">
        <f>IF(OR(LEFT(RIGHT(Master_Reference[[#This Row],[Model Number]],3),1)="C",LEFT(RIGHT(Master_Reference[[#This Row],[Model Number]],4),1)="C"),TRUE,"")</f>
        <v/>
      </c>
      <c r="H79" s="1" t="str">
        <f>IF(LEFT(Master_Reference[[#This Row],[Model Number]],1)="U",TRUE,"")</f>
        <v/>
      </c>
      <c r="I79" s="1" t="b">
        <f>IF(Master_Reference[[#This Row],[Lamp Type]]="T4","",IF(Master_Reference[[#This Row],[Case Type]]="M","",TRUE))</f>
        <v>1</v>
      </c>
      <c r="J79" s="1" t="str">
        <f t="shared" si="1"/>
        <v>T8</v>
      </c>
      <c r="K79" s="1">
        <v>25</v>
      </c>
      <c r="L79" s="1" t="s">
        <v>115</v>
      </c>
      <c r="M79" s="1">
        <v>2</v>
      </c>
      <c r="N79" s="1" t="s">
        <v>149</v>
      </c>
      <c r="O79" s="1" t="s">
        <v>113</v>
      </c>
      <c r="R79" t="b">
        <f>IF(COUNTBLANK(Master_Reference[[#This Row],[C-Flex 3000K Eco Part Number]:[C-Flex 4000K Eco Part Number]])=3,FALSE,TRUE)</f>
        <v>0</v>
      </c>
      <c r="S79" t="b">
        <f>IF(COUNTBLANK(Master_Reference[[#This Row],[C-Flex 3000K 3W Part Number]:[C-Flex 4000K 3W Part Number]])=3,FALSE,TRUE)</f>
        <v>1</v>
      </c>
      <c r="T79" t="b">
        <f>IF(COUNTBLANK(Master_Reference[[#This Row],[Lutron 3000K Eco Part Number]:[Lutron 4000K Eco Part Number]])=3,FALSE,TRUE)</f>
        <v>0</v>
      </c>
      <c r="U79" t="b">
        <f>IF(COUNTBLANK(Master_Reference[[#This Row],[Lutron 3000K 3W Part Number]:[Lutron 4000K 3W Part Number]])=3,FALSE,TRUE)</f>
        <v>1</v>
      </c>
      <c r="V79" s="12"/>
      <c r="W79" s="12"/>
      <c r="X79" s="12"/>
      <c r="Y79" t="s">
        <v>2125</v>
      </c>
      <c r="Z79" s="12" t="s">
        <v>259</v>
      </c>
      <c r="AA79" s="12" t="s">
        <v>260</v>
      </c>
      <c r="AB79" s="12" t="s">
        <v>261</v>
      </c>
      <c r="AC79" t="s">
        <v>1827</v>
      </c>
      <c r="AD79" t="str">
        <f>SUBSTITUTE(Master_Reference[[#This Row],[C-Flex 4000K Eco Part Number]],"40-","xx-")</f>
        <v/>
      </c>
      <c r="AE79" t="str">
        <f>SUBSTITUTE(Master_Reference[[#This Row],[C-Flex 4000K 3W Part Number]],"40-","xx-")</f>
        <v>RP-T8-3FT-2L-8xx-3W-M-G2</v>
      </c>
      <c r="AF79" s="1" t="str">
        <f>_xlfn.IFNA(VLOOKUP(Master_Reference[[#This Row],[C-Flex 3000K Eco Part Number]],Lutron_CFlex_Lookup[],MATCH("Lutron Kit PN",Lutron_CFlex_Lookup[#Headers],0),FALSE),"")</f>
        <v/>
      </c>
      <c r="AG79" s="1" t="str">
        <f>_xlfn.IFNA(VLOOKUP(Master_Reference[[#This Row],[C-Flex 3500K Eco Part Number]],Lutron_CFlex_Lookup[],MATCH("Lutron Kit PN",Lutron_CFlex_Lookup[#Headers],0),FALSE),"")</f>
        <v/>
      </c>
      <c r="AH79" s="1" t="str">
        <f>_xlfn.IFNA(VLOOKUP(Master_Reference[[#This Row],[C-Flex 4000K Eco Part Number]],Lutron_CFlex_Lookup[],MATCH("Lutron Kit PN",Lutron_CFlex_Lookup[#Headers],0),FALSE),"")</f>
        <v/>
      </c>
      <c r="AI79" s="1" t="str">
        <f>_xlfn.IFNA(VLOOKUP(Master_Reference[[#This Row],[C-Flex 5000K Eco Part Number]],Lutron_CFlex_Lookup[],MATCH("Lutron Kit PN",Lutron_CFlex_Lookup[#Headers],0),FALSE),"")</f>
        <v/>
      </c>
      <c r="AJ79" s="1" t="str">
        <f>_xlfn.IFNA(VLOOKUP(Master_Reference[[#This Row],[C-Flex 3000K 3W Part Number]],Lutron_CFlex_Lookup[],MATCH("Lutron Kit PN",Lutron_CFlex_Lookup[#Headers],0),FALSE),"")</f>
        <v>3LD3T8-2M30-q</v>
      </c>
      <c r="AK79" s="1" t="str">
        <f>_xlfn.IFNA(VLOOKUP(Master_Reference[[#This Row],[C-Flex 3500K 3W Part Number]],Lutron_CFlex_Lookup[],MATCH("Lutron Kit PN",Lutron_CFlex_Lookup[#Headers],0),FALSE),"")</f>
        <v>3LD3T8-2M35-q</v>
      </c>
      <c r="AL79" s="1" t="str">
        <f>_xlfn.IFNA(VLOOKUP(Master_Reference[[#This Row],[C-Flex 4000K 3W Part Number]],Lutron_CFlex_Lookup[],MATCH("Lutron Kit PN",Lutron_CFlex_Lookup[#Headers],0),FALSE),"")</f>
        <v>3LD3T8-2M40-q</v>
      </c>
      <c r="AM79" s="1" t="str">
        <f>_xlfn.IFNA(VLOOKUP(Master_Reference[[#This Row],[C-Flex 5000K 3W Part Number]],Lutron_CFlex_Lookup[],MATCH("Lutron Kit PN",Lutron_CFlex_Lookup[#Headers],0),FALSE),"")</f>
        <v>3LD3T8-2M50-q</v>
      </c>
      <c r="AN79" s="1" t="b">
        <f>NOT(ISNA(VLOOKUP(Master_Reference[[#This Row],[Model Number]],ObsoleteModels[],1,FALSE)))</f>
        <v>1</v>
      </c>
      <c r="AO79" s="1" t="str">
        <f>IF(LEFT(Master_Reference[[#This Row],[Model Number]],1)="U",LEFT(Master_Reference[[#This Row],[Model Number]],4),LEFT(Master_Reference[[#This Row],[Model Number]],3))</f>
        <v>EC3</v>
      </c>
    </row>
    <row r="80" spans="1:41" x14ac:dyDescent="0.25">
      <c r="A80" s="2" t="s">
        <v>262</v>
      </c>
      <c r="B80" s="1"/>
      <c r="C80" s="1" t="b">
        <v>1</v>
      </c>
      <c r="G80" s="1" t="str">
        <f>IF(OR(LEFT(RIGHT(Master_Reference[[#This Row],[Model Number]],3),1)="C",LEFT(RIGHT(Master_Reference[[#This Row],[Model Number]],4),1)="C"),TRUE,"")</f>
        <v/>
      </c>
      <c r="H80" s="1" t="str">
        <f>IF(LEFT(Master_Reference[[#This Row],[Model Number]],1)="U",TRUE,"")</f>
        <v/>
      </c>
      <c r="I80" s="1" t="b">
        <f>IF(Master_Reference[[#This Row],[Lamp Type]]="T4","",IF(Master_Reference[[#This Row],[Case Type]]="M","",TRUE))</f>
        <v>1</v>
      </c>
      <c r="J80" s="1" t="str">
        <f t="shared" si="1"/>
        <v>T8</v>
      </c>
      <c r="K80" s="1">
        <v>25</v>
      </c>
      <c r="L80" s="1" t="s">
        <v>115</v>
      </c>
      <c r="M80" s="1">
        <v>1</v>
      </c>
      <c r="N80" s="1" t="s">
        <v>149</v>
      </c>
      <c r="O80" s="1" t="s">
        <v>217</v>
      </c>
      <c r="R80" t="b">
        <f>IF(COUNTBLANK(Master_Reference[[#This Row],[C-Flex 3000K Eco Part Number]:[C-Flex 4000K Eco Part Number]])=3,FALSE,TRUE)</f>
        <v>0</v>
      </c>
      <c r="S80" t="b">
        <f>IF(COUNTBLANK(Master_Reference[[#This Row],[C-Flex 3000K 3W Part Number]:[C-Flex 4000K 3W Part Number]])=3,FALSE,TRUE)</f>
        <v>1</v>
      </c>
      <c r="T80" t="b">
        <f>IF(COUNTBLANK(Master_Reference[[#This Row],[Lutron 3000K Eco Part Number]:[Lutron 4000K Eco Part Number]])=3,FALSE,TRUE)</f>
        <v>0</v>
      </c>
      <c r="U80" t="b">
        <f>IF(COUNTBLANK(Master_Reference[[#This Row],[Lutron 3000K 3W Part Number]:[Lutron 4000K 3W Part Number]])=3,FALSE,TRUE)</f>
        <v>1</v>
      </c>
      <c r="V80" s="12"/>
      <c r="W80" s="12"/>
      <c r="X80" s="12"/>
      <c r="Y80" t="s">
        <v>2125</v>
      </c>
      <c r="Z80" s="12" t="s">
        <v>255</v>
      </c>
      <c r="AA80" s="12" t="s">
        <v>256</v>
      </c>
      <c r="AB80" s="12" t="s">
        <v>257</v>
      </c>
      <c r="AC80" t="s">
        <v>1826</v>
      </c>
      <c r="AD80" t="str">
        <f>SUBSTITUTE(Master_Reference[[#This Row],[C-Flex 4000K Eco Part Number]],"40-","xx-")</f>
        <v/>
      </c>
      <c r="AE80" t="str">
        <f>SUBSTITUTE(Master_Reference[[#This Row],[C-Flex 4000K 3W Part Number]],"40-","xx-")</f>
        <v>RP-T8-3FT-1L-8xx-3W-M-G2</v>
      </c>
      <c r="AF80" s="1" t="str">
        <f>_xlfn.IFNA(VLOOKUP(Master_Reference[[#This Row],[C-Flex 3000K Eco Part Number]],Lutron_CFlex_Lookup[],MATCH("Lutron Kit PN",Lutron_CFlex_Lookup[#Headers],0),FALSE),"")</f>
        <v/>
      </c>
      <c r="AG80" s="1" t="str">
        <f>_xlfn.IFNA(VLOOKUP(Master_Reference[[#This Row],[C-Flex 3500K Eco Part Number]],Lutron_CFlex_Lookup[],MATCH("Lutron Kit PN",Lutron_CFlex_Lookup[#Headers],0),FALSE),"")</f>
        <v/>
      </c>
      <c r="AH80" s="1" t="str">
        <f>_xlfn.IFNA(VLOOKUP(Master_Reference[[#This Row],[C-Flex 4000K Eco Part Number]],Lutron_CFlex_Lookup[],MATCH("Lutron Kit PN",Lutron_CFlex_Lookup[#Headers],0),FALSE),"")</f>
        <v/>
      </c>
      <c r="AI80" s="1" t="str">
        <f>_xlfn.IFNA(VLOOKUP(Master_Reference[[#This Row],[C-Flex 5000K Eco Part Number]],Lutron_CFlex_Lookup[],MATCH("Lutron Kit PN",Lutron_CFlex_Lookup[#Headers],0),FALSE),"")</f>
        <v/>
      </c>
      <c r="AJ80" s="1" t="str">
        <f>_xlfn.IFNA(VLOOKUP(Master_Reference[[#This Row],[C-Flex 3000K 3W Part Number]],Lutron_CFlex_Lookup[],MATCH("Lutron Kit PN",Lutron_CFlex_Lookup[#Headers],0),FALSE),"")</f>
        <v>3LD3T8-1M30-q</v>
      </c>
      <c r="AK80" s="1" t="str">
        <f>_xlfn.IFNA(VLOOKUP(Master_Reference[[#This Row],[C-Flex 3500K 3W Part Number]],Lutron_CFlex_Lookup[],MATCH("Lutron Kit PN",Lutron_CFlex_Lookup[#Headers],0),FALSE),"")</f>
        <v>3LD3T8-1M35-q</v>
      </c>
      <c r="AL80" s="1" t="str">
        <f>_xlfn.IFNA(VLOOKUP(Master_Reference[[#This Row],[C-Flex 4000K 3W Part Number]],Lutron_CFlex_Lookup[],MATCH("Lutron Kit PN",Lutron_CFlex_Lookup[#Headers],0),FALSE),"")</f>
        <v>3LD3T8-1M40-q</v>
      </c>
      <c r="AM80" s="1" t="str">
        <f>_xlfn.IFNA(VLOOKUP(Master_Reference[[#This Row],[C-Flex 5000K 3W Part Number]],Lutron_CFlex_Lookup[],MATCH("Lutron Kit PN",Lutron_CFlex_Lookup[#Headers],0),FALSE),"")</f>
        <v>3LD3T8-1M50-q</v>
      </c>
      <c r="AN80" s="1" t="b">
        <f>NOT(ISNA(VLOOKUP(Master_Reference[[#This Row],[Model Number]],ObsoleteModels[],1,FALSE)))</f>
        <v>1</v>
      </c>
      <c r="AO80" s="1" t="str">
        <f>IF(LEFT(Master_Reference[[#This Row],[Model Number]],1)="U",LEFT(Master_Reference[[#This Row],[Model Number]],4),LEFT(Master_Reference[[#This Row],[Model Number]],3))</f>
        <v>EC3</v>
      </c>
    </row>
    <row r="81" spans="1:41" x14ac:dyDescent="0.25">
      <c r="A81" s="2" t="s">
        <v>263</v>
      </c>
      <c r="B81" s="1"/>
      <c r="C81" s="1" t="b">
        <v>1</v>
      </c>
      <c r="G81" s="1" t="str">
        <f>IF(OR(LEFT(RIGHT(Master_Reference[[#This Row],[Model Number]],3),1)="C",LEFT(RIGHT(Master_Reference[[#This Row],[Model Number]],4),1)="C"),TRUE,"")</f>
        <v/>
      </c>
      <c r="H81" s="1" t="str">
        <f>IF(LEFT(Master_Reference[[#This Row],[Model Number]],1)="U",TRUE,"")</f>
        <v/>
      </c>
      <c r="I81" s="1" t="b">
        <f>IF(Master_Reference[[#This Row],[Lamp Type]]="T4","",IF(Master_Reference[[#This Row],[Case Type]]="M","",TRUE))</f>
        <v>1</v>
      </c>
      <c r="J81" s="1" t="str">
        <f t="shared" si="1"/>
        <v>T8</v>
      </c>
      <c r="K81" s="1">
        <v>32</v>
      </c>
      <c r="L81" s="1" t="s">
        <v>118</v>
      </c>
      <c r="M81" s="1">
        <v>1</v>
      </c>
      <c r="N81" s="1" t="s">
        <v>149</v>
      </c>
      <c r="O81" s="1" t="s">
        <v>113</v>
      </c>
      <c r="R81" t="b">
        <f>IF(COUNTBLANK(Master_Reference[[#This Row],[C-Flex 3000K Eco Part Number]:[C-Flex 4000K Eco Part Number]])=3,FALSE,TRUE)</f>
        <v>0</v>
      </c>
      <c r="S81" t="b">
        <f>IF(COUNTBLANK(Master_Reference[[#This Row],[C-Flex 3000K 3W Part Number]:[C-Flex 4000K 3W Part Number]])=3,FALSE,TRUE)</f>
        <v>1</v>
      </c>
      <c r="T81" t="b">
        <f>IF(COUNTBLANK(Master_Reference[[#This Row],[Lutron 3000K Eco Part Number]:[Lutron 4000K Eco Part Number]])=3,FALSE,TRUE)</f>
        <v>0</v>
      </c>
      <c r="U81" t="b">
        <f>IF(COUNTBLANK(Master_Reference[[#This Row],[Lutron 3000K 3W Part Number]:[Lutron 4000K 3W Part Number]])=3,FALSE,TRUE)</f>
        <v>1</v>
      </c>
      <c r="V81" s="12"/>
      <c r="W81" s="12"/>
      <c r="X81" s="12"/>
      <c r="Y81" t="s">
        <v>2125</v>
      </c>
      <c r="Z81" s="12" t="s">
        <v>264</v>
      </c>
      <c r="AA81" s="12" t="s">
        <v>265</v>
      </c>
      <c r="AB81" s="12" t="s">
        <v>266</v>
      </c>
      <c r="AC81" t="s">
        <v>1829</v>
      </c>
      <c r="AD81" t="str">
        <f>SUBSTITUTE(Master_Reference[[#This Row],[C-Flex 4000K Eco Part Number]],"40-","xx-")</f>
        <v/>
      </c>
      <c r="AE81" t="str">
        <f>SUBSTITUTE(Master_Reference[[#This Row],[C-Flex 4000K 3W Part Number]],"40-","xx-")</f>
        <v>RP-T8-4FT-1L-8xx-3W-M-G2</v>
      </c>
      <c r="AF81" s="1" t="str">
        <f>_xlfn.IFNA(VLOOKUP(Master_Reference[[#This Row],[C-Flex 3000K Eco Part Number]],Lutron_CFlex_Lookup[],MATCH("Lutron Kit PN",Lutron_CFlex_Lookup[#Headers],0),FALSE),"")</f>
        <v/>
      </c>
      <c r="AG81" s="1" t="str">
        <f>_xlfn.IFNA(VLOOKUP(Master_Reference[[#This Row],[C-Flex 3500K Eco Part Number]],Lutron_CFlex_Lookup[],MATCH("Lutron Kit PN",Lutron_CFlex_Lookup[#Headers],0),FALSE),"")</f>
        <v/>
      </c>
      <c r="AH81" s="1" t="str">
        <f>_xlfn.IFNA(VLOOKUP(Master_Reference[[#This Row],[C-Flex 4000K Eco Part Number]],Lutron_CFlex_Lookup[],MATCH("Lutron Kit PN",Lutron_CFlex_Lookup[#Headers],0),FALSE),"")</f>
        <v/>
      </c>
      <c r="AI81" s="1" t="str">
        <f>_xlfn.IFNA(VLOOKUP(Master_Reference[[#This Row],[C-Flex 5000K Eco Part Number]],Lutron_CFlex_Lookup[],MATCH("Lutron Kit PN",Lutron_CFlex_Lookup[#Headers],0),FALSE),"")</f>
        <v/>
      </c>
      <c r="AJ81" s="1" t="str">
        <f>_xlfn.IFNA(VLOOKUP(Master_Reference[[#This Row],[C-Flex 3000K 3W Part Number]],Lutron_CFlex_Lookup[],MATCH("Lutron Kit PN",Lutron_CFlex_Lookup[#Headers],0),FALSE),"")</f>
        <v>3LD4T8-1M30-q</v>
      </c>
      <c r="AK81" s="1" t="str">
        <f>_xlfn.IFNA(VLOOKUP(Master_Reference[[#This Row],[C-Flex 3500K 3W Part Number]],Lutron_CFlex_Lookup[],MATCH("Lutron Kit PN",Lutron_CFlex_Lookup[#Headers],0),FALSE),"")</f>
        <v>3LD4T8-1M35-q</v>
      </c>
      <c r="AL81" s="1" t="str">
        <f>_xlfn.IFNA(VLOOKUP(Master_Reference[[#This Row],[C-Flex 4000K 3W Part Number]],Lutron_CFlex_Lookup[],MATCH("Lutron Kit PN",Lutron_CFlex_Lookup[#Headers],0),FALSE),"")</f>
        <v>3LD4T8-1M40-q</v>
      </c>
      <c r="AM81" s="1" t="str">
        <f>_xlfn.IFNA(VLOOKUP(Master_Reference[[#This Row],[C-Flex 5000K 3W Part Number]],Lutron_CFlex_Lookup[],MATCH("Lutron Kit PN",Lutron_CFlex_Lookup[#Headers],0),FALSE),"")</f>
        <v>3LD4T8-1M50-q</v>
      </c>
      <c r="AN81" s="1" t="b">
        <f>NOT(ISNA(VLOOKUP(Master_Reference[[#This Row],[Model Number]],ObsoleteModels[],1,FALSE)))</f>
        <v>1</v>
      </c>
      <c r="AO81" s="1" t="str">
        <f>IF(LEFT(Master_Reference[[#This Row],[Model Number]],1)="U",LEFT(Master_Reference[[#This Row],[Model Number]],4),LEFT(Master_Reference[[#This Row],[Model Number]],3))</f>
        <v>EC3</v>
      </c>
    </row>
    <row r="82" spans="1:41" x14ac:dyDescent="0.25">
      <c r="A82" s="2" t="s">
        <v>267</v>
      </c>
      <c r="B82" s="1"/>
      <c r="C82" s="1" t="b">
        <v>1</v>
      </c>
      <c r="G82" s="1" t="str">
        <f>IF(OR(LEFT(RIGHT(Master_Reference[[#This Row],[Model Number]],3),1)="C",LEFT(RIGHT(Master_Reference[[#This Row],[Model Number]],4),1)="C"),TRUE,"")</f>
        <v/>
      </c>
      <c r="H82" s="1" t="str">
        <f>IF(LEFT(Master_Reference[[#This Row],[Model Number]],1)="U",TRUE,"")</f>
        <v/>
      </c>
      <c r="I82" s="1" t="b">
        <f>IF(Master_Reference[[#This Row],[Lamp Type]]="T4","",IF(Master_Reference[[#This Row],[Case Type]]="M","",TRUE))</f>
        <v>1</v>
      </c>
      <c r="J82" s="1" t="str">
        <f t="shared" si="1"/>
        <v>T8</v>
      </c>
      <c r="K82" s="1">
        <v>32</v>
      </c>
      <c r="L82" s="1" t="s">
        <v>118</v>
      </c>
      <c r="M82" s="1">
        <v>1</v>
      </c>
      <c r="N82" s="1" t="s">
        <v>149</v>
      </c>
      <c r="O82" s="1" t="s">
        <v>113</v>
      </c>
      <c r="R82" t="b">
        <f>IF(COUNTBLANK(Master_Reference[[#This Row],[C-Flex 3000K Eco Part Number]:[C-Flex 4000K Eco Part Number]])=3,FALSE,TRUE)</f>
        <v>0</v>
      </c>
      <c r="S82" t="b">
        <f>IF(COUNTBLANK(Master_Reference[[#This Row],[C-Flex 3000K 3W Part Number]:[C-Flex 4000K 3W Part Number]])=3,FALSE,TRUE)</f>
        <v>1</v>
      </c>
      <c r="T82" t="b">
        <f>IF(COUNTBLANK(Master_Reference[[#This Row],[Lutron 3000K Eco Part Number]:[Lutron 4000K Eco Part Number]])=3,FALSE,TRUE)</f>
        <v>0</v>
      </c>
      <c r="U82" t="b">
        <f>IF(COUNTBLANK(Master_Reference[[#This Row],[Lutron 3000K 3W Part Number]:[Lutron 4000K 3W Part Number]])=3,FALSE,TRUE)</f>
        <v>1</v>
      </c>
      <c r="V82" s="12"/>
      <c r="W82" s="12"/>
      <c r="X82" s="12"/>
      <c r="Y82" t="s">
        <v>2125</v>
      </c>
      <c r="Z82" s="12" t="s">
        <v>264</v>
      </c>
      <c r="AA82" s="12" t="s">
        <v>265</v>
      </c>
      <c r="AB82" s="12" t="s">
        <v>266</v>
      </c>
      <c r="AC82" t="s">
        <v>1829</v>
      </c>
      <c r="AD82" t="str">
        <f>SUBSTITUTE(Master_Reference[[#This Row],[C-Flex 4000K Eco Part Number]],"40-","xx-")</f>
        <v/>
      </c>
      <c r="AE82" t="str">
        <f>SUBSTITUTE(Master_Reference[[#This Row],[C-Flex 4000K 3W Part Number]],"40-","xx-")</f>
        <v>RP-T8-4FT-1L-8xx-3W-M-G2</v>
      </c>
      <c r="AF82" s="1" t="str">
        <f>_xlfn.IFNA(VLOOKUP(Master_Reference[[#This Row],[C-Flex 3000K Eco Part Number]],Lutron_CFlex_Lookup[],MATCH("Lutron Kit PN",Lutron_CFlex_Lookup[#Headers],0),FALSE),"")</f>
        <v/>
      </c>
      <c r="AG82" s="1" t="str">
        <f>_xlfn.IFNA(VLOOKUP(Master_Reference[[#This Row],[C-Flex 3500K Eco Part Number]],Lutron_CFlex_Lookup[],MATCH("Lutron Kit PN",Lutron_CFlex_Lookup[#Headers],0),FALSE),"")</f>
        <v/>
      </c>
      <c r="AH82" s="1" t="str">
        <f>_xlfn.IFNA(VLOOKUP(Master_Reference[[#This Row],[C-Flex 4000K Eco Part Number]],Lutron_CFlex_Lookup[],MATCH("Lutron Kit PN",Lutron_CFlex_Lookup[#Headers],0),FALSE),"")</f>
        <v/>
      </c>
      <c r="AI82" s="1" t="str">
        <f>_xlfn.IFNA(VLOOKUP(Master_Reference[[#This Row],[C-Flex 5000K Eco Part Number]],Lutron_CFlex_Lookup[],MATCH("Lutron Kit PN",Lutron_CFlex_Lookup[#Headers],0),FALSE),"")</f>
        <v/>
      </c>
      <c r="AJ82" s="1" t="str">
        <f>_xlfn.IFNA(VLOOKUP(Master_Reference[[#This Row],[C-Flex 3000K 3W Part Number]],Lutron_CFlex_Lookup[],MATCH("Lutron Kit PN",Lutron_CFlex_Lookup[#Headers],0),FALSE),"")</f>
        <v>3LD4T8-1M30-q</v>
      </c>
      <c r="AK82" s="1" t="str">
        <f>_xlfn.IFNA(VLOOKUP(Master_Reference[[#This Row],[C-Flex 3500K 3W Part Number]],Lutron_CFlex_Lookup[],MATCH("Lutron Kit PN",Lutron_CFlex_Lookup[#Headers],0),FALSE),"")</f>
        <v>3LD4T8-1M35-q</v>
      </c>
      <c r="AL82" s="1" t="str">
        <f>_xlfn.IFNA(VLOOKUP(Master_Reference[[#This Row],[C-Flex 4000K 3W Part Number]],Lutron_CFlex_Lookup[],MATCH("Lutron Kit PN",Lutron_CFlex_Lookup[#Headers],0),FALSE),"")</f>
        <v>3LD4T8-1M40-q</v>
      </c>
      <c r="AM82" s="1" t="str">
        <f>_xlfn.IFNA(VLOOKUP(Master_Reference[[#This Row],[C-Flex 5000K 3W Part Number]],Lutron_CFlex_Lookup[],MATCH("Lutron Kit PN",Lutron_CFlex_Lookup[#Headers],0),FALSE),"")</f>
        <v>3LD4T8-1M50-q</v>
      </c>
      <c r="AN82" s="1" t="b">
        <f>NOT(ISNA(VLOOKUP(Master_Reference[[#This Row],[Model Number]],ObsoleteModels[],1,FALSE)))</f>
        <v>1</v>
      </c>
      <c r="AO82" s="1" t="str">
        <f>IF(LEFT(Master_Reference[[#This Row],[Model Number]],1)="U",LEFT(Master_Reference[[#This Row],[Model Number]],4),LEFT(Master_Reference[[#This Row],[Model Number]],3))</f>
        <v>EC3</v>
      </c>
    </row>
    <row r="83" spans="1:41" x14ac:dyDescent="0.25">
      <c r="A83" s="2" t="s">
        <v>268</v>
      </c>
      <c r="B83" s="1"/>
      <c r="C83" s="1" t="b">
        <v>1</v>
      </c>
      <c r="G83" s="1" t="str">
        <f>IF(OR(LEFT(RIGHT(Master_Reference[[#This Row],[Model Number]],3),1)="C",LEFT(RIGHT(Master_Reference[[#This Row],[Model Number]],4),1)="C"),TRUE,"")</f>
        <v/>
      </c>
      <c r="H83" s="1" t="str">
        <f>IF(LEFT(Master_Reference[[#This Row],[Model Number]],1)="U",TRUE,"")</f>
        <v/>
      </c>
      <c r="I83" s="1" t="b">
        <f>IF(Master_Reference[[#This Row],[Lamp Type]]="T4","",IF(Master_Reference[[#This Row],[Case Type]]="M","",TRUE))</f>
        <v>1</v>
      </c>
      <c r="J83" s="1" t="str">
        <f t="shared" si="1"/>
        <v>T8</v>
      </c>
      <c r="K83" s="1">
        <v>32</v>
      </c>
      <c r="L83" s="1" t="s">
        <v>118</v>
      </c>
      <c r="M83" s="1">
        <v>2</v>
      </c>
      <c r="N83" s="1" t="s">
        <v>149</v>
      </c>
      <c r="O83" s="1" t="s">
        <v>113</v>
      </c>
      <c r="R83" t="b">
        <f>IF(COUNTBLANK(Master_Reference[[#This Row],[C-Flex 3000K Eco Part Number]:[C-Flex 4000K Eco Part Number]])=3,FALSE,TRUE)</f>
        <v>0</v>
      </c>
      <c r="S83" t="b">
        <f>IF(COUNTBLANK(Master_Reference[[#This Row],[C-Flex 3000K 3W Part Number]:[C-Flex 4000K 3W Part Number]])=3,FALSE,TRUE)</f>
        <v>1</v>
      </c>
      <c r="T83" t="b">
        <f>IF(COUNTBLANK(Master_Reference[[#This Row],[Lutron 3000K Eco Part Number]:[Lutron 4000K Eco Part Number]])=3,FALSE,TRUE)</f>
        <v>0</v>
      </c>
      <c r="U83" t="b">
        <f>IF(COUNTBLANK(Master_Reference[[#This Row],[Lutron 3000K 3W Part Number]:[Lutron 4000K 3W Part Number]])=3,FALSE,TRUE)</f>
        <v>1</v>
      </c>
      <c r="V83" s="12"/>
      <c r="W83" s="12"/>
      <c r="X83" s="12"/>
      <c r="Y83" t="s">
        <v>2125</v>
      </c>
      <c r="Z83" s="12" t="s">
        <v>145</v>
      </c>
      <c r="AA83" s="12" t="s">
        <v>146</v>
      </c>
      <c r="AB83" s="12" t="s">
        <v>147</v>
      </c>
      <c r="AC83" t="s">
        <v>1830</v>
      </c>
      <c r="AD83" t="str">
        <f>SUBSTITUTE(Master_Reference[[#This Row],[C-Flex 4000K Eco Part Number]],"40-","xx-")</f>
        <v/>
      </c>
      <c r="AE83" t="str">
        <f>SUBSTITUTE(Master_Reference[[#This Row],[C-Flex 4000K 3W Part Number]],"40-","xx-")</f>
        <v>RP-T8-4FT-2L-8xx-3W-M-G2</v>
      </c>
      <c r="AF83" s="1" t="str">
        <f>_xlfn.IFNA(VLOOKUP(Master_Reference[[#This Row],[C-Flex 3000K Eco Part Number]],Lutron_CFlex_Lookup[],MATCH("Lutron Kit PN",Lutron_CFlex_Lookup[#Headers],0),FALSE),"")</f>
        <v/>
      </c>
      <c r="AG83" s="1" t="str">
        <f>_xlfn.IFNA(VLOOKUP(Master_Reference[[#This Row],[C-Flex 3500K Eco Part Number]],Lutron_CFlex_Lookup[],MATCH("Lutron Kit PN",Lutron_CFlex_Lookup[#Headers],0),FALSE),"")</f>
        <v/>
      </c>
      <c r="AH83" s="1" t="str">
        <f>_xlfn.IFNA(VLOOKUP(Master_Reference[[#This Row],[C-Flex 4000K Eco Part Number]],Lutron_CFlex_Lookup[],MATCH("Lutron Kit PN",Lutron_CFlex_Lookup[#Headers],0),FALSE),"")</f>
        <v/>
      </c>
      <c r="AI83" s="1" t="str">
        <f>_xlfn.IFNA(VLOOKUP(Master_Reference[[#This Row],[C-Flex 5000K Eco Part Number]],Lutron_CFlex_Lookup[],MATCH("Lutron Kit PN",Lutron_CFlex_Lookup[#Headers],0),FALSE),"")</f>
        <v/>
      </c>
      <c r="AJ83" s="1" t="str">
        <f>_xlfn.IFNA(VLOOKUP(Master_Reference[[#This Row],[C-Flex 3000K 3W Part Number]],Lutron_CFlex_Lookup[],MATCH("Lutron Kit PN",Lutron_CFlex_Lookup[#Headers],0),FALSE),"")</f>
        <v>3LD4T8-2M30-q</v>
      </c>
      <c r="AK83" s="1" t="str">
        <f>_xlfn.IFNA(VLOOKUP(Master_Reference[[#This Row],[C-Flex 3500K 3W Part Number]],Lutron_CFlex_Lookup[],MATCH("Lutron Kit PN",Lutron_CFlex_Lookup[#Headers],0),FALSE),"")</f>
        <v>3LD4T8-2M35-q</v>
      </c>
      <c r="AL83" s="1" t="str">
        <f>_xlfn.IFNA(VLOOKUP(Master_Reference[[#This Row],[C-Flex 4000K 3W Part Number]],Lutron_CFlex_Lookup[],MATCH("Lutron Kit PN",Lutron_CFlex_Lookup[#Headers],0),FALSE),"")</f>
        <v>3LD4T8-2M40-q</v>
      </c>
      <c r="AM83" s="1" t="str">
        <f>_xlfn.IFNA(VLOOKUP(Master_Reference[[#This Row],[C-Flex 5000K 3W Part Number]],Lutron_CFlex_Lookup[],MATCH("Lutron Kit PN",Lutron_CFlex_Lookup[#Headers],0),FALSE),"")</f>
        <v>3LD4T8-2M50-q</v>
      </c>
      <c r="AN83" s="1" t="b">
        <f>NOT(ISNA(VLOOKUP(Master_Reference[[#This Row],[Model Number]],ObsoleteModels[],1,FALSE)))</f>
        <v>1</v>
      </c>
      <c r="AO83" s="1" t="str">
        <f>IF(LEFT(Master_Reference[[#This Row],[Model Number]],1)="U",LEFT(Master_Reference[[#This Row],[Model Number]],4),LEFT(Master_Reference[[#This Row],[Model Number]],3))</f>
        <v>EC3</v>
      </c>
    </row>
    <row r="84" spans="1:41" x14ac:dyDescent="0.25">
      <c r="A84" s="2" t="s">
        <v>269</v>
      </c>
      <c r="B84" s="1"/>
      <c r="C84" s="1" t="b">
        <v>1</v>
      </c>
      <c r="G84" s="1" t="str">
        <f>IF(OR(LEFT(RIGHT(Master_Reference[[#This Row],[Model Number]],3),1)="C",LEFT(RIGHT(Master_Reference[[#This Row],[Model Number]],4),1)="C"),TRUE,"")</f>
        <v/>
      </c>
      <c r="H84" s="1" t="str">
        <f>IF(LEFT(Master_Reference[[#This Row],[Model Number]],1)="U",TRUE,"")</f>
        <v/>
      </c>
      <c r="I84" s="1" t="b">
        <f>IF(Master_Reference[[#This Row],[Lamp Type]]="T4","",IF(Master_Reference[[#This Row],[Case Type]]="M","",TRUE))</f>
        <v>1</v>
      </c>
      <c r="J84" s="1" t="str">
        <f t="shared" si="1"/>
        <v>T8</v>
      </c>
      <c r="K84" s="1">
        <v>32</v>
      </c>
      <c r="L84" s="1" t="s">
        <v>118</v>
      </c>
      <c r="M84" s="1">
        <v>2</v>
      </c>
      <c r="N84" s="1" t="s">
        <v>149</v>
      </c>
      <c r="O84" s="1" t="s">
        <v>113</v>
      </c>
      <c r="R84" t="b">
        <f>IF(COUNTBLANK(Master_Reference[[#This Row],[C-Flex 3000K Eco Part Number]:[C-Flex 4000K Eco Part Number]])=3,FALSE,TRUE)</f>
        <v>0</v>
      </c>
      <c r="S84" t="b">
        <f>IF(COUNTBLANK(Master_Reference[[#This Row],[C-Flex 3000K 3W Part Number]:[C-Flex 4000K 3W Part Number]])=3,FALSE,TRUE)</f>
        <v>1</v>
      </c>
      <c r="T84" t="b">
        <f>IF(COUNTBLANK(Master_Reference[[#This Row],[Lutron 3000K Eco Part Number]:[Lutron 4000K Eco Part Number]])=3,FALSE,TRUE)</f>
        <v>0</v>
      </c>
      <c r="U84" t="b">
        <f>IF(COUNTBLANK(Master_Reference[[#This Row],[Lutron 3000K 3W Part Number]:[Lutron 4000K 3W Part Number]])=3,FALSE,TRUE)</f>
        <v>1</v>
      </c>
      <c r="V84" s="12"/>
      <c r="W84" s="12"/>
      <c r="X84" s="12"/>
      <c r="Y84" t="s">
        <v>2125</v>
      </c>
      <c r="Z84" s="12" t="s">
        <v>145</v>
      </c>
      <c r="AA84" s="12" t="s">
        <v>146</v>
      </c>
      <c r="AB84" s="12" t="s">
        <v>147</v>
      </c>
      <c r="AC84" t="s">
        <v>1830</v>
      </c>
      <c r="AD84" t="str">
        <f>SUBSTITUTE(Master_Reference[[#This Row],[C-Flex 4000K Eco Part Number]],"40-","xx-")</f>
        <v/>
      </c>
      <c r="AE84" t="str">
        <f>SUBSTITUTE(Master_Reference[[#This Row],[C-Flex 4000K 3W Part Number]],"40-","xx-")</f>
        <v>RP-T8-4FT-2L-8xx-3W-M-G2</v>
      </c>
      <c r="AF84" s="1" t="str">
        <f>_xlfn.IFNA(VLOOKUP(Master_Reference[[#This Row],[C-Flex 3000K Eco Part Number]],Lutron_CFlex_Lookup[],MATCH("Lutron Kit PN",Lutron_CFlex_Lookup[#Headers],0),FALSE),"")</f>
        <v/>
      </c>
      <c r="AG84" s="1" t="str">
        <f>_xlfn.IFNA(VLOOKUP(Master_Reference[[#This Row],[C-Flex 3500K Eco Part Number]],Lutron_CFlex_Lookup[],MATCH("Lutron Kit PN",Lutron_CFlex_Lookup[#Headers],0),FALSE),"")</f>
        <v/>
      </c>
      <c r="AH84" s="1" t="str">
        <f>_xlfn.IFNA(VLOOKUP(Master_Reference[[#This Row],[C-Flex 4000K Eco Part Number]],Lutron_CFlex_Lookup[],MATCH("Lutron Kit PN",Lutron_CFlex_Lookup[#Headers],0),FALSE),"")</f>
        <v/>
      </c>
      <c r="AI84" s="1" t="str">
        <f>_xlfn.IFNA(VLOOKUP(Master_Reference[[#This Row],[C-Flex 5000K Eco Part Number]],Lutron_CFlex_Lookup[],MATCH("Lutron Kit PN",Lutron_CFlex_Lookup[#Headers],0),FALSE),"")</f>
        <v/>
      </c>
      <c r="AJ84" s="1" t="str">
        <f>_xlfn.IFNA(VLOOKUP(Master_Reference[[#This Row],[C-Flex 3000K 3W Part Number]],Lutron_CFlex_Lookup[],MATCH("Lutron Kit PN",Lutron_CFlex_Lookup[#Headers],0),FALSE),"")</f>
        <v>3LD4T8-2M30-q</v>
      </c>
      <c r="AK84" s="1" t="str">
        <f>_xlfn.IFNA(VLOOKUP(Master_Reference[[#This Row],[C-Flex 3500K 3W Part Number]],Lutron_CFlex_Lookup[],MATCH("Lutron Kit PN",Lutron_CFlex_Lookup[#Headers],0),FALSE),"")</f>
        <v>3LD4T8-2M35-q</v>
      </c>
      <c r="AL84" s="1" t="str">
        <f>_xlfn.IFNA(VLOOKUP(Master_Reference[[#This Row],[C-Flex 4000K 3W Part Number]],Lutron_CFlex_Lookup[],MATCH("Lutron Kit PN",Lutron_CFlex_Lookup[#Headers],0),FALSE),"")</f>
        <v>3LD4T8-2M40-q</v>
      </c>
      <c r="AM84" s="1" t="str">
        <f>_xlfn.IFNA(VLOOKUP(Master_Reference[[#This Row],[C-Flex 5000K 3W Part Number]],Lutron_CFlex_Lookup[],MATCH("Lutron Kit PN",Lutron_CFlex_Lookup[#Headers],0),FALSE),"")</f>
        <v>3LD4T8-2M50-q</v>
      </c>
      <c r="AN84" s="1" t="b">
        <f>NOT(ISNA(VLOOKUP(Master_Reference[[#This Row],[Model Number]],ObsoleteModels[],1,FALSE)))</f>
        <v>1</v>
      </c>
      <c r="AO84" s="1" t="str">
        <f>IF(LEFT(Master_Reference[[#This Row],[Model Number]],1)="U",LEFT(Master_Reference[[#This Row],[Model Number]],4),LEFT(Master_Reference[[#This Row],[Model Number]],3))</f>
        <v>EC3</v>
      </c>
    </row>
    <row r="85" spans="1:41" x14ac:dyDescent="0.25">
      <c r="A85" s="2" t="s">
        <v>270</v>
      </c>
      <c r="B85" s="1"/>
      <c r="C85" s="1" t="b">
        <v>1</v>
      </c>
      <c r="G85" s="1" t="str">
        <f>IF(OR(LEFT(RIGHT(Master_Reference[[#This Row],[Model Number]],3),1)="C",LEFT(RIGHT(Master_Reference[[#This Row],[Model Number]],4),1)="C"),TRUE,"")</f>
        <v/>
      </c>
      <c r="H85" s="1" t="str">
        <f>IF(LEFT(Master_Reference[[#This Row],[Model Number]],1)="U",TRUE,"")</f>
        <v/>
      </c>
      <c r="I85" s="1" t="b">
        <f>IF(Master_Reference[[#This Row],[Lamp Type]]="T4","",IF(Master_Reference[[#This Row],[Case Type]]="M","",TRUE))</f>
        <v>1</v>
      </c>
      <c r="J85" s="1" t="str">
        <f t="shared" si="1"/>
        <v>T8</v>
      </c>
      <c r="K85" s="1">
        <v>32</v>
      </c>
      <c r="L85" s="1" t="s">
        <v>118</v>
      </c>
      <c r="M85" s="1">
        <v>1</v>
      </c>
      <c r="N85" s="1" t="s">
        <v>149</v>
      </c>
      <c r="O85" s="1" t="s">
        <v>217</v>
      </c>
      <c r="R85" t="b">
        <f>IF(COUNTBLANK(Master_Reference[[#This Row],[C-Flex 3000K Eco Part Number]:[C-Flex 4000K Eco Part Number]])=3,FALSE,TRUE)</f>
        <v>0</v>
      </c>
      <c r="S85" t="b">
        <f>IF(COUNTBLANK(Master_Reference[[#This Row],[C-Flex 3000K 3W Part Number]:[C-Flex 4000K 3W Part Number]])=3,FALSE,TRUE)</f>
        <v>1</v>
      </c>
      <c r="T85" t="b">
        <f>IF(COUNTBLANK(Master_Reference[[#This Row],[Lutron 3000K Eco Part Number]:[Lutron 4000K Eco Part Number]])=3,FALSE,TRUE)</f>
        <v>0</v>
      </c>
      <c r="U85" t="b">
        <f>IF(COUNTBLANK(Master_Reference[[#This Row],[Lutron 3000K 3W Part Number]:[Lutron 4000K 3W Part Number]])=3,FALSE,TRUE)</f>
        <v>1</v>
      </c>
      <c r="V85" s="12"/>
      <c r="W85" s="12"/>
      <c r="X85" s="12"/>
      <c r="Y85" t="s">
        <v>2125</v>
      </c>
      <c r="Z85" s="12" t="s">
        <v>264</v>
      </c>
      <c r="AA85" s="12" t="s">
        <v>265</v>
      </c>
      <c r="AB85" s="12" t="s">
        <v>266</v>
      </c>
      <c r="AC85" t="s">
        <v>1829</v>
      </c>
      <c r="AD85" t="str">
        <f>SUBSTITUTE(Master_Reference[[#This Row],[C-Flex 4000K Eco Part Number]],"40-","xx-")</f>
        <v/>
      </c>
      <c r="AE85" t="str">
        <f>SUBSTITUTE(Master_Reference[[#This Row],[C-Flex 4000K 3W Part Number]],"40-","xx-")</f>
        <v>RP-T8-4FT-1L-8xx-3W-M-G2</v>
      </c>
      <c r="AF85" s="1" t="str">
        <f>_xlfn.IFNA(VLOOKUP(Master_Reference[[#This Row],[C-Flex 3000K Eco Part Number]],Lutron_CFlex_Lookup[],MATCH("Lutron Kit PN",Lutron_CFlex_Lookup[#Headers],0),FALSE),"")</f>
        <v/>
      </c>
      <c r="AG85" s="1" t="str">
        <f>_xlfn.IFNA(VLOOKUP(Master_Reference[[#This Row],[C-Flex 3500K Eco Part Number]],Lutron_CFlex_Lookup[],MATCH("Lutron Kit PN",Lutron_CFlex_Lookup[#Headers],0),FALSE),"")</f>
        <v/>
      </c>
      <c r="AH85" s="1" t="str">
        <f>_xlfn.IFNA(VLOOKUP(Master_Reference[[#This Row],[C-Flex 4000K Eco Part Number]],Lutron_CFlex_Lookup[],MATCH("Lutron Kit PN",Lutron_CFlex_Lookup[#Headers],0),FALSE),"")</f>
        <v/>
      </c>
      <c r="AI85" s="1" t="str">
        <f>_xlfn.IFNA(VLOOKUP(Master_Reference[[#This Row],[C-Flex 5000K Eco Part Number]],Lutron_CFlex_Lookup[],MATCH("Lutron Kit PN",Lutron_CFlex_Lookup[#Headers],0),FALSE),"")</f>
        <v/>
      </c>
      <c r="AJ85" s="1" t="str">
        <f>_xlfn.IFNA(VLOOKUP(Master_Reference[[#This Row],[C-Flex 3000K 3W Part Number]],Lutron_CFlex_Lookup[],MATCH("Lutron Kit PN",Lutron_CFlex_Lookup[#Headers],0),FALSE),"")</f>
        <v>3LD4T8-1M30-q</v>
      </c>
      <c r="AK85" s="1" t="str">
        <f>_xlfn.IFNA(VLOOKUP(Master_Reference[[#This Row],[C-Flex 3500K 3W Part Number]],Lutron_CFlex_Lookup[],MATCH("Lutron Kit PN",Lutron_CFlex_Lookup[#Headers],0),FALSE),"")</f>
        <v>3LD4T8-1M35-q</v>
      </c>
      <c r="AL85" s="1" t="str">
        <f>_xlfn.IFNA(VLOOKUP(Master_Reference[[#This Row],[C-Flex 4000K 3W Part Number]],Lutron_CFlex_Lookup[],MATCH("Lutron Kit PN",Lutron_CFlex_Lookup[#Headers],0),FALSE),"")</f>
        <v>3LD4T8-1M40-q</v>
      </c>
      <c r="AM85" s="1" t="str">
        <f>_xlfn.IFNA(VLOOKUP(Master_Reference[[#This Row],[C-Flex 5000K 3W Part Number]],Lutron_CFlex_Lookup[],MATCH("Lutron Kit PN",Lutron_CFlex_Lookup[#Headers],0),FALSE),"")</f>
        <v>3LD4T8-1M50-q</v>
      </c>
      <c r="AN85" s="1" t="b">
        <f>NOT(ISNA(VLOOKUP(Master_Reference[[#This Row],[Model Number]],ObsoleteModels[],1,FALSE)))</f>
        <v>1</v>
      </c>
      <c r="AO85" s="1" t="str">
        <f>IF(LEFT(Master_Reference[[#This Row],[Model Number]],1)="U",LEFT(Master_Reference[[#This Row],[Model Number]],4),LEFT(Master_Reference[[#This Row],[Model Number]],3))</f>
        <v>EC3</v>
      </c>
    </row>
    <row r="86" spans="1:41" x14ac:dyDescent="0.25">
      <c r="A86" s="2" t="s">
        <v>271</v>
      </c>
      <c r="B86" s="1"/>
      <c r="C86" s="1" t="b">
        <v>1</v>
      </c>
      <c r="G86" s="1" t="str">
        <f>IF(OR(LEFT(RIGHT(Master_Reference[[#This Row],[Model Number]],3),1)="C",LEFT(RIGHT(Master_Reference[[#This Row],[Model Number]],4),1)="C"),TRUE,"")</f>
        <v/>
      </c>
      <c r="H86" s="1" t="str">
        <f>IF(LEFT(Master_Reference[[#This Row],[Model Number]],1)="U",TRUE,"")</f>
        <v/>
      </c>
      <c r="I86" s="1" t="b">
        <f>IF(Master_Reference[[#This Row],[Lamp Type]]="T4","",IF(Master_Reference[[#This Row],[Case Type]]="M","",TRUE))</f>
        <v>1</v>
      </c>
      <c r="J86" s="1" t="str">
        <f t="shared" si="1"/>
        <v>T8</v>
      </c>
      <c r="K86" s="1">
        <v>32</v>
      </c>
      <c r="L86" s="1" t="s">
        <v>118</v>
      </c>
      <c r="M86" s="1">
        <v>1</v>
      </c>
      <c r="N86" s="1" t="s">
        <v>149</v>
      </c>
      <c r="O86" s="1" t="s">
        <v>217</v>
      </c>
      <c r="Q86" s="1" t="s">
        <v>91</v>
      </c>
      <c r="R86" t="b">
        <f>IF(COUNTBLANK(Master_Reference[[#This Row],[C-Flex 3000K Eco Part Number]:[C-Flex 4000K Eco Part Number]])=3,FALSE,TRUE)</f>
        <v>0</v>
      </c>
      <c r="S86" t="b">
        <f>IF(COUNTBLANK(Master_Reference[[#This Row],[C-Flex 3000K 3W Part Number]:[C-Flex 4000K 3W Part Number]])=3,FALSE,TRUE)</f>
        <v>0</v>
      </c>
      <c r="T86" t="b">
        <f>IF(COUNTBLANK(Master_Reference[[#This Row],[Lutron 3000K Eco Part Number]:[Lutron 4000K Eco Part Number]])=3,FALSE,TRUE)</f>
        <v>0</v>
      </c>
      <c r="U86" t="b">
        <f>IF(COUNTBLANK(Master_Reference[[#This Row],[Lutron 3000K 3W Part Number]:[Lutron 4000K 3W Part Number]])=3,FALSE,TRUE)</f>
        <v>0</v>
      </c>
      <c r="V86" s="12"/>
      <c r="W86" s="12"/>
      <c r="X86" s="12"/>
      <c r="Y86" t="s">
        <v>2125</v>
      </c>
      <c r="Z86" s="12"/>
      <c r="AA86" s="12"/>
      <c r="AB86" s="12"/>
      <c r="AC86" t="s">
        <v>2125</v>
      </c>
      <c r="AD86" t="str">
        <f>SUBSTITUTE(Master_Reference[[#This Row],[C-Flex 4000K Eco Part Number]],"40-","xx-")</f>
        <v/>
      </c>
      <c r="AE86" t="str">
        <f>SUBSTITUTE(Master_Reference[[#This Row],[C-Flex 4000K 3W Part Number]],"40-","xx-")</f>
        <v/>
      </c>
      <c r="AF86" s="1" t="str">
        <f>_xlfn.IFNA(VLOOKUP(Master_Reference[[#This Row],[C-Flex 3000K Eco Part Number]],Lutron_CFlex_Lookup[],MATCH("Lutron Kit PN",Lutron_CFlex_Lookup[#Headers],0),FALSE),"")</f>
        <v/>
      </c>
      <c r="AG86" s="1" t="str">
        <f>_xlfn.IFNA(VLOOKUP(Master_Reference[[#This Row],[C-Flex 3500K Eco Part Number]],Lutron_CFlex_Lookup[],MATCH("Lutron Kit PN",Lutron_CFlex_Lookup[#Headers],0),FALSE),"")</f>
        <v/>
      </c>
      <c r="AH86" s="1" t="str">
        <f>_xlfn.IFNA(VLOOKUP(Master_Reference[[#This Row],[C-Flex 4000K Eco Part Number]],Lutron_CFlex_Lookup[],MATCH("Lutron Kit PN",Lutron_CFlex_Lookup[#Headers],0),FALSE),"")</f>
        <v/>
      </c>
      <c r="AI86" s="1" t="str">
        <f>_xlfn.IFNA(VLOOKUP(Master_Reference[[#This Row],[C-Flex 5000K Eco Part Number]],Lutron_CFlex_Lookup[],MATCH("Lutron Kit PN",Lutron_CFlex_Lookup[#Headers],0),FALSE),"")</f>
        <v/>
      </c>
      <c r="AJ86" s="1" t="str">
        <f>_xlfn.IFNA(VLOOKUP(Master_Reference[[#This Row],[C-Flex 3000K 3W Part Number]],Lutron_CFlex_Lookup[],MATCH("Lutron Kit PN",Lutron_CFlex_Lookup[#Headers],0),FALSE),"")</f>
        <v/>
      </c>
      <c r="AK86" s="1" t="str">
        <f>_xlfn.IFNA(VLOOKUP(Master_Reference[[#This Row],[C-Flex 3500K 3W Part Number]],Lutron_CFlex_Lookup[],MATCH("Lutron Kit PN",Lutron_CFlex_Lookup[#Headers],0),FALSE),"")</f>
        <v/>
      </c>
      <c r="AL86" s="1" t="str">
        <f>_xlfn.IFNA(VLOOKUP(Master_Reference[[#This Row],[C-Flex 4000K 3W Part Number]],Lutron_CFlex_Lookup[],MATCH("Lutron Kit PN",Lutron_CFlex_Lookup[#Headers],0),FALSE),"")</f>
        <v/>
      </c>
      <c r="AM86" s="1" t="str">
        <f>_xlfn.IFNA(VLOOKUP(Master_Reference[[#This Row],[C-Flex 5000K 3W Part Number]],Lutron_CFlex_Lookup[],MATCH("Lutron Kit PN",Lutron_CFlex_Lookup[#Headers],0),FALSE),"")</f>
        <v/>
      </c>
      <c r="AN86" s="1" t="b">
        <f>NOT(ISNA(VLOOKUP(Master_Reference[[#This Row],[Model Number]],ObsoleteModels[],1,FALSE)))</f>
        <v>1</v>
      </c>
      <c r="AO86" s="1" t="str">
        <f>IF(LEFT(Master_Reference[[#This Row],[Model Number]],1)="U",LEFT(Master_Reference[[#This Row],[Model Number]],4),LEFT(Master_Reference[[#This Row],[Model Number]],3))</f>
        <v>EC3</v>
      </c>
    </row>
    <row r="87" spans="1:41" x14ac:dyDescent="0.25">
      <c r="A87" s="2" t="s">
        <v>272</v>
      </c>
      <c r="B87" s="1"/>
      <c r="C87" s="1" t="b">
        <v>1</v>
      </c>
      <c r="G87" s="1" t="str">
        <f>IF(OR(LEFT(RIGHT(Master_Reference[[#This Row],[Model Number]],3),1)="C",LEFT(RIGHT(Master_Reference[[#This Row],[Model Number]],4),1)="C"),TRUE,"")</f>
        <v/>
      </c>
      <c r="H87" s="1" t="str">
        <f>IF(LEFT(Master_Reference[[#This Row],[Model Number]],1)="U",TRUE,"")</f>
        <v/>
      </c>
      <c r="I87" s="1" t="b">
        <f>IF(Master_Reference[[#This Row],[Lamp Type]]="T4","",IF(Master_Reference[[#This Row],[Case Type]]="M","",TRUE))</f>
        <v>1</v>
      </c>
      <c r="J87" s="1" t="str">
        <f t="shared" si="1"/>
        <v>T8</v>
      </c>
      <c r="K87" s="1">
        <v>32</v>
      </c>
      <c r="L87" s="1" t="s">
        <v>118</v>
      </c>
      <c r="M87" s="1">
        <v>1</v>
      </c>
      <c r="N87" s="1" t="s">
        <v>149</v>
      </c>
      <c r="O87" s="1" t="s">
        <v>217</v>
      </c>
      <c r="R87" t="b">
        <f>IF(COUNTBLANK(Master_Reference[[#This Row],[C-Flex 3000K Eco Part Number]:[C-Flex 4000K Eco Part Number]])=3,FALSE,TRUE)</f>
        <v>0</v>
      </c>
      <c r="S87" t="b">
        <f>IF(COUNTBLANK(Master_Reference[[#This Row],[C-Flex 3000K 3W Part Number]:[C-Flex 4000K 3W Part Number]])=3,FALSE,TRUE)</f>
        <v>1</v>
      </c>
      <c r="T87" t="b">
        <f>IF(COUNTBLANK(Master_Reference[[#This Row],[Lutron 3000K Eco Part Number]:[Lutron 4000K Eco Part Number]])=3,FALSE,TRUE)</f>
        <v>0</v>
      </c>
      <c r="U87" t="b">
        <f>IF(COUNTBLANK(Master_Reference[[#This Row],[Lutron 3000K 3W Part Number]:[Lutron 4000K 3W Part Number]])=3,FALSE,TRUE)</f>
        <v>1</v>
      </c>
      <c r="V87" s="12"/>
      <c r="W87" s="12"/>
      <c r="X87" s="12"/>
      <c r="Y87" t="s">
        <v>2125</v>
      </c>
      <c r="Z87" s="12" t="s">
        <v>264</v>
      </c>
      <c r="AA87" s="12" t="s">
        <v>265</v>
      </c>
      <c r="AB87" s="12" t="s">
        <v>266</v>
      </c>
      <c r="AC87" t="s">
        <v>1829</v>
      </c>
      <c r="AD87" t="str">
        <f>SUBSTITUTE(Master_Reference[[#This Row],[C-Flex 4000K Eco Part Number]],"40-","xx-")</f>
        <v/>
      </c>
      <c r="AE87" t="str">
        <f>SUBSTITUTE(Master_Reference[[#This Row],[C-Flex 4000K 3W Part Number]],"40-","xx-")</f>
        <v>RP-T8-4FT-1L-8xx-3W-M-G2</v>
      </c>
      <c r="AF87" s="1" t="str">
        <f>_xlfn.IFNA(VLOOKUP(Master_Reference[[#This Row],[C-Flex 3000K Eco Part Number]],Lutron_CFlex_Lookup[],MATCH("Lutron Kit PN",Lutron_CFlex_Lookup[#Headers],0),FALSE),"")</f>
        <v/>
      </c>
      <c r="AG87" s="1" t="str">
        <f>_xlfn.IFNA(VLOOKUP(Master_Reference[[#This Row],[C-Flex 3500K Eco Part Number]],Lutron_CFlex_Lookup[],MATCH("Lutron Kit PN",Lutron_CFlex_Lookup[#Headers],0),FALSE),"")</f>
        <v/>
      </c>
      <c r="AH87" s="1" t="str">
        <f>_xlfn.IFNA(VLOOKUP(Master_Reference[[#This Row],[C-Flex 4000K Eco Part Number]],Lutron_CFlex_Lookup[],MATCH("Lutron Kit PN",Lutron_CFlex_Lookup[#Headers],0),FALSE),"")</f>
        <v/>
      </c>
      <c r="AI87" s="1" t="str">
        <f>_xlfn.IFNA(VLOOKUP(Master_Reference[[#This Row],[C-Flex 5000K Eco Part Number]],Lutron_CFlex_Lookup[],MATCH("Lutron Kit PN",Lutron_CFlex_Lookup[#Headers],0),FALSE),"")</f>
        <v/>
      </c>
      <c r="AJ87" s="1" t="str">
        <f>_xlfn.IFNA(VLOOKUP(Master_Reference[[#This Row],[C-Flex 3000K 3W Part Number]],Lutron_CFlex_Lookup[],MATCH("Lutron Kit PN",Lutron_CFlex_Lookup[#Headers],0),FALSE),"")</f>
        <v>3LD4T8-1M30-q</v>
      </c>
      <c r="AK87" s="1" t="str">
        <f>_xlfn.IFNA(VLOOKUP(Master_Reference[[#This Row],[C-Flex 3500K 3W Part Number]],Lutron_CFlex_Lookup[],MATCH("Lutron Kit PN",Lutron_CFlex_Lookup[#Headers],0),FALSE),"")</f>
        <v>3LD4T8-1M35-q</v>
      </c>
      <c r="AL87" s="1" t="str">
        <f>_xlfn.IFNA(VLOOKUP(Master_Reference[[#This Row],[C-Flex 4000K 3W Part Number]],Lutron_CFlex_Lookup[],MATCH("Lutron Kit PN",Lutron_CFlex_Lookup[#Headers],0),FALSE),"")</f>
        <v>3LD4T8-1M40-q</v>
      </c>
      <c r="AM87" s="1" t="str">
        <f>_xlfn.IFNA(VLOOKUP(Master_Reference[[#This Row],[C-Flex 5000K 3W Part Number]],Lutron_CFlex_Lookup[],MATCH("Lutron Kit PN",Lutron_CFlex_Lookup[#Headers],0),FALSE),"")</f>
        <v>3LD4T8-1M50-q</v>
      </c>
      <c r="AN87" s="1" t="b">
        <f>NOT(ISNA(VLOOKUP(Master_Reference[[#This Row],[Model Number]],ObsoleteModels[],1,FALSE)))</f>
        <v>1</v>
      </c>
      <c r="AO87" s="1" t="str">
        <f>IF(LEFT(Master_Reference[[#This Row],[Model Number]],1)="U",LEFT(Master_Reference[[#This Row],[Model Number]],4),LEFT(Master_Reference[[#This Row],[Model Number]],3))</f>
        <v>EC3</v>
      </c>
    </row>
    <row r="88" spans="1:41" x14ac:dyDescent="0.25">
      <c r="A88" s="2" t="s">
        <v>273</v>
      </c>
      <c r="B88" s="1"/>
      <c r="C88" s="1" t="b">
        <v>1</v>
      </c>
      <c r="G88" s="1" t="str">
        <f>IF(OR(LEFT(RIGHT(Master_Reference[[#This Row],[Model Number]],3),1)="C",LEFT(RIGHT(Master_Reference[[#This Row],[Model Number]],4),1)="C"),TRUE,"")</f>
        <v/>
      </c>
      <c r="H88" s="1" t="str">
        <f>IF(LEFT(Master_Reference[[#This Row],[Model Number]],1)="U",TRUE,"")</f>
        <v/>
      </c>
      <c r="I88" s="1" t="b">
        <f>IF(Master_Reference[[#This Row],[Lamp Type]]="T4","",IF(Master_Reference[[#This Row],[Case Type]]="M","",TRUE))</f>
        <v>1</v>
      </c>
      <c r="J88" s="1" t="str">
        <f t="shared" si="1"/>
        <v>T8</v>
      </c>
      <c r="K88" s="1">
        <v>32</v>
      </c>
      <c r="L88" s="1" t="s">
        <v>118</v>
      </c>
      <c r="M88" s="1">
        <v>2</v>
      </c>
      <c r="N88" s="1" t="s">
        <v>149</v>
      </c>
      <c r="O88" s="1" t="s">
        <v>217</v>
      </c>
      <c r="R88" t="b">
        <f>IF(COUNTBLANK(Master_Reference[[#This Row],[C-Flex 3000K Eco Part Number]:[C-Flex 4000K Eco Part Number]])=3,FALSE,TRUE)</f>
        <v>0</v>
      </c>
      <c r="S88" t="b">
        <f>IF(COUNTBLANK(Master_Reference[[#This Row],[C-Flex 3000K 3W Part Number]:[C-Flex 4000K 3W Part Number]])=3,FALSE,TRUE)</f>
        <v>1</v>
      </c>
      <c r="T88" t="b">
        <f>IF(COUNTBLANK(Master_Reference[[#This Row],[Lutron 3000K Eco Part Number]:[Lutron 4000K Eco Part Number]])=3,FALSE,TRUE)</f>
        <v>0</v>
      </c>
      <c r="U88" t="b">
        <f>IF(COUNTBLANK(Master_Reference[[#This Row],[Lutron 3000K 3W Part Number]:[Lutron 4000K 3W Part Number]])=3,FALSE,TRUE)</f>
        <v>1</v>
      </c>
      <c r="V88" s="12"/>
      <c r="W88" s="12"/>
      <c r="X88" s="12"/>
      <c r="Y88" t="s">
        <v>2125</v>
      </c>
      <c r="Z88" s="12" t="s">
        <v>145</v>
      </c>
      <c r="AA88" s="12" t="s">
        <v>146</v>
      </c>
      <c r="AB88" s="12" t="s">
        <v>147</v>
      </c>
      <c r="AC88" t="s">
        <v>1830</v>
      </c>
      <c r="AD88" t="str">
        <f>SUBSTITUTE(Master_Reference[[#This Row],[C-Flex 4000K Eco Part Number]],"40-","xx-")</f>
        <v/>
      </c>
      <c r="AE88" t="str">
        <f>SUBSTITUTE(Master_Reference[[#This Row],[C-Flex 4000K 3W Part Number]],"40-","xx-")</f>
        <v>RP-T8-4FT-2L-8xx-3W-M-G2</v>
      </c>
      <c r="AF88" s="1" t="str">
        <f>_xlfn.IFNA(VLOOKUP(Master_Reference[[#This Row],[C-Flex 3000K Eco Part Number]],Lutron_CFlex_Lookup[],MATCH("Lutron Kit PN",Lutron_CFlex_Lookup[#Headers],0),FALSE),"")</f>
        <v/>
      </c>
      <c r="AG88" s="1" t="str">
        <f>_xlfn.IFNA(VLOOKUP(Master_Reference[[#This Row],[C-Flex 3500K Eco Part Number]],Lutron_CFlex_Lookup[],MATCH("Lutron Kit PN",Lutron_CFlex_Lookup[#Headers],0),FALSE),"")</f>
        <v/>
      </c>
      <c r="AH88" s="1" t="str">
        <f>_xlfn.IFNA(VLOOKUP(Master_Reference[[#This Row],[C-Flex 4000K Eco Part Number]],Lutron_CFlex_Lookup[],MATCH("Lutron Kit PN",Lutron_CFlex_Lookup[#Headers],0),FALSE),"")</f>
        <v/>
      </c>
      <c r="AI88" s="1" t="str">
        <f>_xlfn.IFNA(VLOOKUP(Master_Reference[[#This Row],[C-Flex 5000K Eco Part Number]],Lutron_CFlex_Lookup[],MATCH("Lutron Kit PN",Lutron_CFlex_Lookup[#Headers],0),FALSE),"")</f>
        <v/>
      </c>
      <c r="AJ88" s="1" t="str">
        <f>_xlfn.IFNA(VLOOKUP(Master_Reference[[#This Row],[C-Flex 3000K 3W Part Number]],Lutron_CFlex_Lookup[],MATCH("Lutron Kit PN",Lutron_CFlex_Lookup[#Headers],0),FALSE),"")</f>
        <v>3LD4T8-2M30-q</v>
      </c>
      <c r="AK88" s="1" t="str">
        <f>_xlfn.IFNA(VLOOKUP(Master_Reference[[#This Row],[C-Flex 3500K 3W Part Number]],Lutron_CFlex_Lookup[],MATCH("Lutron Kit PN",Lutron_CFlex_Lookup[#Headers],0),FALSE),"")</f>
        <v>3LD4T8-2M35-q</v>
      </c>
      <c r="AL88" s="1" t="str">
        <f>_xlfn.IFNA(VLOOKUP(Master_Reference[[#This Row],[C-Flex 4000K 3W Part Number]],Lutron_CFlex_Lookup[],MATCH("Lutron Kit PN",Lutron_CFlex_Lookup[#Headers],0),FALSE),"")</f>
        <v>3LD4T8-2M40-q</v>
      </c>
      <c r="AM88" s="1" t="str">
        <f>_xlfn.IFNA(VLOOKUP(Master_Reference[[#This Row],[C-Flex 5000K 3W Part Number]],Lutron_CFlex_Lookup[],MATCH("Lutron Kit PN",Lutron_CFlex_Lookup[#Headers],0),FALSE),"")</f>
        <v>3LD4T8-2M50-q</v>
      </c>
      <c r="AN88" s="1" t="b">
        <f>NOT(ISNA(VLOOKUP(Master_Reference[[#This Row],[Model Number]],ObsoleteModels[],1,FALSE)))</f>
        <v>1</v>
      </c>
      <c r="AO88" s="1" t="str">
        <f>IF(LEFT(Master_Reference[[#This Row],[Model Number]],1)="U",LEFT(Master_Reference[[#This Row],[Model Number]],4),LEFT(Master_Reference[[#This Row],[Model Number]],3))</f>
        <v>EC3</v>
      </c>
    </row>
    <row r="89" spans="1:41" x14ac:dyDescent="0.25">
      <c r="A89" s="2" t="s">
        <v>274</v>
      </c>
      <c r="B89" s="1"/>
      <c r="C89" s="1" t="b">
        <v>1</v>
      </c>
      <c r="G89" s="1" t="str">
        <f>IF(OR(LEFT(RIGHT(Master_Reference[[#This Row],[Model Number]],3),1)="C",LEFT(RIGHT(Master_Reference[[#This Row],[Model Number]],4),1)="C"),TRUE,"")</f>
        <v/>
      </c>
      <c r="H89" s="1" t="str">
        <f>IF(LEFT(Master_Reference[[#This Row],[Model Number]],1)="U",TRUE,"")</f>
        <v/>
      </c>
      <c r="I89" s="1" t="b">
        <f>IF(Master_Reference[[#This Row],[Lamp Type]]="T4","",IF(Master_Reference[[#This Row],[Case Type]]="M","",TRUE))</f>
        <v>1</v>
      </c>
      <c r="J89" s="1" t="str">
        <f t="shared" si="1"/>
        <v>T8</v>
      </c>
      <c r="K89" s="1">
        <v>32</v>
      </c>
      <c r="L89" s="1" t="s">
        <v>118</v>
      </c>
      <c r="M89" s="1">
        <v>2</v>
      </c>
      <c r="N89" s="1" t="s">
        <v>149</v>
      </c>
      <c r="O89" s="1" t="s">
        <v>217</v>
      </c>
      <c r="Q89" s="1" t="s">
        <v>91</v>
      </c>
      <c r="R89" t="b">
        <f>IF(COUNTBLANK(Master_Reference[[#This Row],[C-Flex 3000K Eco Part Number]:[C-Flex 4000K Eco Part Number]])=3,FALSE,TRUE)</f>
        <v>0</v>
      </c>
      <c r="S89" t="b">
        <f>IF(COUNTBLANK(Master_Reference[[#This Row],[C-Flex 3000K 3W Part Number]:[C-Flex 4000K 3W Part Number]])=3,FALSE,TRUE)</f>
        <v>0</v>
      </c>
      <c r="T89" t="b">
        <f>IF(COUNTBLANK(Master_Reference[[#This Row],[Lutron 3000K Eco Part Number]:[Lutron 4000K Eco Part Number]])=3,FALSE,TRUE)</f>
        <v>0</v>
      </c>
      <c r="U89" t="b">
        <f>IF(COUNTBLANK(Master_Reference[[#This Row],[Lutron 3000K 3W Part Number]:[Lutron 4000K 3W Part Number]])=3,FALSE,TRUE)</f>
        <v>0</v>
      </c>
      <c r="V89" s="12"/>
      <c r="W89" s="12"/>
      <c r="X89" s="12"/>
      <c r="Y89" t="s">
        <v>2125</v>
      </c>
      <c r="Z89" s="12"/>
      <c r="AA89" s="12"/>
      <c r="AB89" s="12"/>
      <c r="AC89" t="s">
        <v>2125</v>
      </c>
      <c r="AD89" t="str">
        <f>SUBSTITUTE(Master_Reference[[#This Row],[C-Flex 4000K Eco Part Number]],"40-","xx-")</f>
        <v/>
      </c>
      <c r="AE89" t="str">
        <f>SUBSTITUTE(Master_Reference[[#This Row],[C-Flex 4000K 3W Part Number]],"40-","xx-")</f>
        <v/>
      </c>
      <c r="AF89" s="1" t="str">
        <f>_xlfn.IFNA(VLOOKUP(Master_Reference[[#This Row],[C-Flex 3000K Eco Part Number]],Lutron_CFlex_Lookup[],MATCH("Lutron Kit PN",Lutron_CFlex_Lookup[#Headers],0),FALSE),"")</f>
        <v/>
      </c>
      <c r="AG89" s="1" t="str">
        <f>_xlfn.IFNA(VLOOKUP(Master_Reference[[#This Row],[C-Flex 3500K Eco Part Number]],Lutron_CFlex_Lookup[],MATCH("Lutron Kit PN",Lutron_CFlex_Lookup[#Headers],0),FALSE),"")</f>
        <v/>
      </c>
      <c r="AH89" s="1" t="str">
        <f>_xlfn.IFNA(VLOOKUP(Master_Reference[[#This Row],[C-Flex 4000K Eco Part Number]],Lutron_CFlex_Lookup[],MATCH("Lutron Kit PN",Lutron_CFlex_Lookup[#Headers],0),FALSE),"")</f>
        <v/>
      </c>
      <c r="AI89" s="1" t="str">
        <f>_xlfn.IFNA(VLOOKUP(Master_Reference[[#This Row],[C-Flex 5000K Eco Part Number]],Lutron_CFlex_Lookup[],MATCH("Lutron Kit PN",Lutron_CFlex_Lookup[#Headers],0),FALSE),"")</f>
        <v/>
      </c>
      <c r="AJ89" s="1" t="str">
        <f>_xlfn.IFNA(VLOOKUP(Master_Reference[[#This Row],[C-Flex 3000K 3W Part Number]],Lutron_CFlex_Lookup[],MATCH("Lutron Kit PN",Lutron_CFlex_Lookup[#Headers],0),FALSE),"")</f>
        <v/>
      </c>
      <c r="AK89" s="1" t="str">
        <f>_xlfn.IFNA(VLOOKUP(Master_Reference[[#This Row],[C-Flex 3500K 3W Part Number]],Lutron_CFlex_Lookup[],MATCH("Lutron Kit PN",Lutron_CFlex_Lookup[#Headers],0),FALSE),"")</f>
        <v/>
      </c>
      <c r="AL89" s="1" t="str">
        <f>_xlfn.IFNA(VLOOKUP(Master_Reference[[#This Row],[C-Flex 4000K 3W Part Number]],Lutron_CFlex_Lookup[],MATCH("Lutron Kit PN",Lutron_CFlex_Lookup[#Headers],0),FALSE),"")</f>
        <v/>
      </c>
      <c r="AM89" s="1" t="str">
        <f>_xlfn.IFNA(VLOOKUP(Master_Reference[[#This Row],[C-Flex 5000K 3W Part Number]],Lutron_CFlex_Lookup[],MATCH("Lutron Kit PN",Lutron_CFlex_Lookup[#Headers],0),FALSE),"")</f>
        <v/>
      </c>
      <c r="AN89" s="1" t="b">
        <f>NOT(ISNA(VLOOKUP(Master_Reference[[#This Row],[Model Number]],ObsoleteModels[],1,FALSE)))</f>
        <v>1</v>
      </c>
      <c r="AO89" s="1" t="str">
        <f>IF(LEFT(Master_Reference[[#This Row],[Model Number]],1)="U",LEFT(Master_Reference[[#This Row],[Model Number]],4),LEFT(Master_Reference[[#This Row],[Model Number]],3))</f>
        <v>EC3</v>
      </c>
    </row>
    <row r="90" spans="1:41" x14ac:dyDescent="0.25">
      <c r="A90" s="2" t="s">
        <v>275</v>
      </c>
      <c r="B90" s="1"/>
      <c r="C90" s="1" t="b">
        <v>1</v>
      </c>
      <c r="G90" s="1" t="str">
        <f>IF(OR(LEFT(RIGHT(Master_Reference[[#This Row],[Model Number]],3),1)="C",LEFT(RIGHT(Master_Reference[[#This Row],[Model Number]],4),1)="C"),TRUE,"")</f>
        <v/>
      </c>
      <c r="H90" s="1" t="str">
        <f>IF(LEFT(Master_Reference[[#This Row],[Model Number]],1)="U",TRUE,"")</f>
        <v/>
      </c>
      <c r="I90" s="1" t="b">
        <f>IF(Master_Reference[[#This Row],[Lamp Type]]="T4","",IF(Master_Reference[[#This Row],[Case Type]]="M","",TRUE))</f>
        <v>1</v>
      </c>
      <c r="J90" s="1" t="str">
        <f t="shared" si="1"/>
        <v>T8</v>
      </c>
      <c r="K90" s="1">
        <v>32</v>
      </c>
      <c r="L90" s="1" t="s">
        <v>118</v>
      </c>
      <c r="M90" s="1">
        <v>2</v>
      </c>
      <c r="N90" s="1" t="s">
        <v>149</v>
      </c>
      <c r="O90" s="1" t="s">
        <v>217</v>
      </c>
      <c r="R90" t="b">
        <f>IF(COUNTBLANK(Master_Reference[[#This Row],[C-Flex 3000K Eco Part Number]:[C-Flex 4000K Eco Part Number]])=3,FALSE,TRUE)</f>
        <v>0</v>
      </c>
      <c r="S90" t="b">
        <f>IF(COUNTBLANK(Master_Reference[[#This Row],[C-Flex 3000K 3W Part Number]:[C-Flex 4000K 3W Part Number]])=3,FALSE,TRUE)</f>
        <v>1</v>
      </c>
      <c r="T90" t="b">
        <f>IF(COUNTBLANK(Master_Reference[[#This Row],[Lutron 3000K Eco Part Number]:[Lutron 4000K Eco Part Number]])=3,FALSE,TRUE)</f>
        <v>0</v>
      </c>
      <c r="U90" t="b">
        <f>IF(COUNTBLANK(Master_Reference[[#This Row],[Lutron 3000K 3W Part Number]:[Lutron 4000K 3W Part Number]])=3,FALSE,TRUE)</f>
        <v>1</v>
      </c>
      <c r="V90" s="12"/>
      <c r="W90" s="12"/>
      <c r="X90" s="12"/>
      <c r="Y90" t="s">
        <v>2125</v>
      </c>
      <c r="Z90" s="12" t="s">
        <v>145</v>
      </c>
      <c r="AA90" s="12" t="s">
        <v>146</v>
      </c>
      <c r="AB90" s="12" t="s">
        <v>147</v>
      </c>
      <c r="AC90" t="s">
        <v>1830</v>
      </c>
      <c r="AD90" t="str">
        <f>SUBSTITUTE(Master_Reference[[#This Row],[C-Flex 4000K Eco Part Number]],"40-","xx-")</f>
        <v/>
      </c>
      <c r="AE90" t="str">
        <f>SUBSTITUTE(Master_Reference[[#This Row],[C-Flex 4000K 3W Part Number]],"40-","xx-")</f>
        <v>RP-T8-4FT-2L-8xx-3W-M-G2</v>
      </c>
      <c r="AF90" s="1" t="str">
        <f>_xlfn.IFNA(VLOOKUP(Master_Reference[[#This Row],[C-Flex 3000K Eco Part Number]],Lutron_CFlex_Lookup[],MATCH("Lutron Kit PN",Lutron_CFlex_Lookup[#Headers],0),FALSE),"")</f>
        <v/>
      </c>
      <c r="AG90" s="1" t="str">
        <f>_xlfn.IFNA(VLOOKUP(Master_Reference[[#This Row],[C-Flex 3500K Eco Part Number]],Lutron_CFlex_Lookup[],MATCH("Lutron Kit PN",Lutron_CFlex_Lookup[#Headers],0),FALSE),"")</f>
        <v/>
      </c>
      <c r="AH90" s="1" t="str">
        <f>_xlfn.IFNA(VLOOKUP(Master_Reference[[#This Row],[C-Flex 4000K Eco Part Number]],Lutron_CFlex_Lookup[],MATCH("Lutron Kit PN",Lutron_CFlex_Lookup[#Headers],0),FALSE),"")</f>
        <v/>
      </c>
      <c r="AI90" s="1" t="str">
        <f>_xlfn.IFNA(VLOOKUP(Master_Reference[[#This Row],[C-Flex 5000K Eco Part Number]],Lutron_CFlex_Lookup[],MATCH("Lutron Kit PN",Lutron_CFlex_Lookup[#Headers],0),FALSE),"")</f>
        <v/>
      </c>
      <c r="AJ90" s="1" t="str">
        <f>_xlfn.IFNA(VLOOKUP(Master_Reference[[#This Row],[C-Flex 3000K 3W Part Number]],Lutron_CFlex_Lookup[],MATCH("Lutron Kit PN",Lutron_CFlex_Lookup[#Headers],0),FALSE),"")</f>
        <v>3LD4T8-2M30-q</v>
      </c>
      <c r="AK90" s="1" t="str">
        <f>_xlfn.IFNA(VLOOKUP(Master_Reference[[#This Row],[C-Flex 3500K 3W Part Number]],Lutron_CFlex_Lookup[],MATCH("Lutron Kit PN",Lutron_CFlex_Lookup[#Headers],0),FALSE),"")</f>
        <v>3LD4T8-2M35-q</v>
      </c>
      <c r="AL90" s="1" t="str">
        <f>_xlfn.IFNA(VLOOKUP(Master_Reference[[#This Row],[C-Flex 4000K 3W Part Number]],Lutron_CFlex_Lookup[],MATCH("Lutron Kit PN",Lutron_CFlex_Lookup[#Headers],0),FALSE),"")</f>
        <v>3LD4T8-2M40-q</v>
      </c>
      <c r="AM90" s="1" t="str">
        <f>_xlfn.IFNA(VLOOKUP(Master_Reference[[#This Row],[C-Flex 5000K 3W Part Number]],Lutron_CFlex_Lookup[],MATCH("Lutron Kit PN",Lutron_CFlex_Lookup[#Headers],0),FALSE),"")</f>
        <v>3LD4T8-2M50-q</v>
      </c>
      <c r="AN90" s="1" t="b">
        <f>NOT(ISNA(VLOOKUP(Master_Reference[[#This Row],[Model Number]],ObsoleteModels[],1,FALSE)))</f>
        <v>1</v>
      </c>
      <c r="AO90" s="1" t="str">
        <f>IF(LEFT(Master_Reference[[#This Row],[Model Number]],1)="U",LEFT(Master_Reference[[#This Row],[Model Number]],4),LEFT(Master_Reference[[#This Row],[Model Number]],3))</f>
        <v>EC3</v>
      </c>
    </row>
    <row r="91" spans="1:41" x14ac:dyDescent="0.25">
      <c r="A91" s="2" t="s">
        <v>276</v>
      </c>
      <c r="B91" s="1"/>
      <c r="C91" s="1" t="b">
        <v>1</v>
      </c>
      <c r="G91" s="1" t="str">
        <f>IF(OR(LEFT(RIGHT(Master_Reference[[#This Row],[Model Number]],3),1)="C",LEFT(RIGHT(Master_Reference[[#This Row],[Model Number]],4),1)="C"),TRUE,"")</f>
        <v/>
      </c>
      <c r="H91" s="1" t="str">
        <f>IF(LEFT(Master_Reference[[#This Row],[Model Number]],1)="U",TRUE,"")</f>
        <v/>
      </c>
      <c r="I91" s="1" t="b">
        <f>IF(Master_Reference[[#This Row],[Lamp Type]]="T4","",IF(Master_Reference[[#This Row],[Case Type]]="M","",TRUE))</f>
        <v>1</v>
      </c>
      <c r="J91" s="1" t="str">
        <f t="shared" si="1"/>
        <v>T8</v>
      </c>
      <c r="K91" s="1">
        <v>32</v>
      </c>
      <c r="L91" s="1" t="s">
        <v>118</v>
      </c>
      <c r="M91" s="1">
        <v>3</v>
      </c>
      <c r="N91" s="1" t="s">
        <v>149</v>
      </c>
      <c r="O91" s="1" t="s">
        <v>217</v>
      </c>
      <c r="R91" t="b">
        <f>IF(COUNTBLANK(Master_Reference[[#This Row],[C-Flex 3000K Eco Part Number]:[C-Flex 4000K Eco Part Number]])=3,FALSE,TRUE)</f>
        <v>0</v>
      </c>
      <c r="S91" t="b">
        <f>IF(COUNTBLANK(Master_Reference[[#This Row],[C-Flex 3000K 3W Part Number]:[C-Flex 4000K 3W Part Number]])=3,FALSE,TRUE)</f>
        <v>1</v>
      </c>
      <c r="T91" t="b">
        <f>IF(COUNTBLANK(Master_Reference[[#This Row],[Lutron 3000K Eco Part Number]:[Lutron 4000K Eco Part Number]])=3,FALSE,TRUE)</f>
        <v>0</v>
      </c>
      <c r="U91" t="b">
        <f>IF(COUNTBLANK(Master_Reference[[#This Row],[Lutron 3000K 3W Part Number]:[Lutron 4000K 3W Part Number]])=3,FALSE,TRUE)</f>
        <v>1</v>
      </c>
      <c r="V91" s="12"/>
      <c r="W91" s="12"/>
      <c r="X91" s="12"/>
      <c r="Y91" t="s">
        <v>2125</v>
      </c>
      <c r="Z91" s="12" t="s">
        <v>277</v>
      </c>
      <c r="AA91" s="12" t="s">
        <v>278</v>
      </c>
      <c r="AB91" s="12" t="s">
        <v>279</v>
      </c>
      <c r="AC91" t="s">
        <v>1831</v>
      </c>
      <c r="AD91" t="str">
        <f>SUBSTITUTE(Master_Reference[[#This Row],[C-Flex 4000K Eco Part Number]],"40-","xx-")</f>
        <v/>
      </c>
      <c r="AE91" t="str">
        <f>SUBSTITUTE(Master_Reference[[#This Row],[C-Flex 4000K 3W Part Number]],"40-","xx-")</f>
        <v>RP-T8-4FT-3L-8xx-3W-M-G2</v>
      </c>
      <c r="AF91" s="1" t="str">
        <f>_xlfn.IFNA(VLOOKUP(Master_Reference[[#This Row],[C-Flex 3000K Eco Part Number]],Lutron_CFlex_Lookup[],MATCH("Lutron Kit PN",Lutron_CFlex_Lookup[#Headers],0),FALSE),"")</f>
        <v/>
      </c>
      <c r="AG91" s="1" t="str">
        <f>_xlfn.IFNA(VLOOKUP(Master_Reference[[#This Row],[C-Flex 3500K Eco Part Number]],Lutron_CFlex_Lookup[],MATCH("Lutron Kit PN",Lutron_CFlex_Lookup[#Headers],0),FALSE),"")</f>
        <v/>
      </c>
      <c r="AH91" s="1" t="str">
        <f>_xlfn.IFNA(VLOOKUP(Master_Reference[[#This Row],[C-Flex 4000K Eco Part Number]],Lutron_CFlex_Lookup[],MATCH("Lutron Kit PN",Lutron_CFlex_Lookup[#Headers],0),FALSE),"")</f>
        <v/>
      </c>
      <c r="AI91" s="1" t="str">
        <f>_xlfn.IFNA(VLOOKUP(Master_Reference[[#This Row],[C-Flex 5000K Eco Part Number]],Lutron_CFlex_Lookup[],MATCH("Lutron Kit PN",Lutron_CFlex_Lookup[#Headers],0),FALSE),"")</f>
        <v/>
      </c>
      <c r="AJ91" s="1" t="str">
        <f>_xlfn.IFNA(VLOOKUP(Master_Reference[[#This Row],[C-Flex 3000K 3W Part Number]],Lutron_CFlex_Lookup[],MATCH("Lutron Kit PN",Lutron_CFlex_Lookup[#Headers],0),FALSE),"")</f>
        <v>3LD4T8-3M30-q</v>
      </c>
      <c r="AK91" s="1" t="str">
        <f>_xlfn.IFNA(VLOOKUP(Master_Reference[[#This Row],[C-Flex 3500K 3W Part Number]],Lutron_CFlex_Lookup[],MATCH("Lutron Kit PN",Lutron_CFlex_Lookup[#Headers],0),FALSE),"")</f>
        <v>3LD4T8-3M35-q</v>
      </c>
      <c r="AL91" s="1" t="str">
        <f>_xlfn.IFNA(VLOOKUP(Master_Reference[[#This Row],[C-Flex 4000K 3W Part Number]],Lutron_CFlex_Lookup[],MATCH("Lutron Kit PN",Lutron_CFlex_Lookup[#Headers],0),FALSE),"")</f>
        <v>3LD4T8-3M40-q</v>
      </c>
      <c r="AM91" s="1" t="str">
        <f>_xlfn.IFNA(VLOOKUP(Master_Reference[[#This Row],[C-Flex 5000K 3W Part Number]],Lutron_CFlex_Lookup[],MATCH("Lutron Kit PN",Lutron_CFlex_Lookup[#Headers],0),FALSE),"")</f>
        <v>3LD4T8-3M50-q</v>
      </c>
      <c r="AN91" s="1" t="b">
        <f>NOT(ISNA(VLOOKUP(Master_Reference[[#This Row],[Model Number]],ObsoleteModels[],1,FALSE)))</f>
        <v>1</v>
      </c>
      <c r="AO91" s="1" t="str">
        <f>IF(LEFT(Master_Reference[[#This Row],[Model Number]],1)="U",LEFT(Master_Reference[[#This Row],[Model Number]],4),LEFT(Master_Reference[[#This Row],[Model Number]],3))</f>
        <v>EC3</v>
      </c>
    </row>
    <row r="92" spans="1:41" x14ac:dyDescent="0.25">
      <c r="A92" s="2" t="s">
        <v>280</v>
      </c>
      <c r="B92" s="1"/>
      <c r="C92" s="1" t="b">
        <v>1</v>
      </c>
      <c r="G92" s="1" t="str">
        <f>IF(OR(LEFT(RIGHT(Master_Reference[[#This Row],[Model Number]],3),1)="C",LEFT(RIGHT(Master_Reference[[#This Row],[Model Number]],4),1)="C"),TRUE,"")</f>
        <v/>
      </c>
      <c r="H92" s="1" t="str">
        <f>IF(LEFT(Master_Reference[[#This Row],[Model Number]],1)="U",TRUE,"")</f>
        <v/>
      </c>
      <c r="I92" s="1" t="b">
        <f>IF(Master_Reference[[#This Row],[Lamp Type]]="T4","",IF(Master_Reference[[#This Row],[Case Type]]="M","",TRUE))</f>
        <v>1</v>
      </c>
      <c r="J92" s="1" t="str">
        <f t="shared" si="1"/>
        <v>T8</v>
      </c>
      <c r="K92" s="1">
        <v>32</v>
      </c>
      <c r="L92" s="1" t="s">
        <v>118</v>
      </c>
      <c r="M92" s="1">
        <v>3</v>
      </c>
      <c r="N92" s="1" t="s">
        <v>149</v>
      </c>
      <c r="O92" s="1" t="s">
        <v>217</v>
      </c>
      <c r="Q92" s="1" t="s">
        <v>91</v>
      </c>
      <c r="R92" t="b">
        <f>IF(COUNTBLANK(Master_Reference[[#This Row],[C-Flex 3000K Eco Part Number]:[C-Flex 4000K Eco Part Number]])=3,FALSE,TRUE)</f>
        <v>0</v>
      </c>
      <c r="S92" t="b">
        <f>IF(COUNTBLANK(Master_Reference[[#This Row],[C-Flex 3000K 3W Part Number]:[C-Flex 4000K 3W Part Number]])=3,FALSE,TRUE)</f>
        <v>0</v>
      </c>
      <c r="T92" t="b">
        <f>IF(COUNTBLANK(Master_Reference[[#This Row],[Lutron 3000K Eco Part Number]:[Lutron 4000K Eco Part Number]])=3,FALSE,TRUE)</f>
        <v>0</v>
      </c>
      <c r="U92" t="b">
        <f>IF(COUNTBLANK(Master_Reference[[#This Row],[Lutron 3000K 3W Part Number]:[Lutron 4000K 3W Part Number]])=3,FALSE,TRUE)</f>
        <v>0</v>
      </c>
      <c r="V92" s="12"/>
      <c r="W92" s="12"/>
      <c r="X92" s="12"/>
      <c r="Y92" t="s">
        <v>2125</v>
      </c>
      <c r="Z92" s="12"/>
      <c r="AA92" s="12"/>
      <c r="AB92" s="12"/>
      <c r="AC92" t="s">
        <v>2125</v>
      </c>
      <c r="AD92" t="str">
        <f>SUBSTITUTE(Master_Reference[[#This Row],[C-Flex 4000K Eco Part Number]],"40-","xx-")</f>
        <v/>
      </c>
      <c r="AE92" t="str">
        <f>SUBSTITUTE(Master_Reference[[#This Row],[C-Flex 4000K 3W Part Number]],"40-","xx-")</f>
        <v/>
      </c>
      <c r="AF92" s="1" t="str">
        <f>_xlfn.IFNA(VLOOKUP(Master_Reference[[#This Row],[C-Flex 3000K Eco Part Number]],Lutron_CFlex_Lookup[],MATCH("Lutron Kit PN",Lutron_CFlex_Lookup[#Headers],0),FALSE),"")</f>
        <v/>
      </c>
      <c r="AG92" s="1" t="str">
        <f>_xlfn.IFNA(VLOOKUP(Master_Reference[[#This Row],[C-Flex 3500K Eco Part Number]],Lutron_CFlex_Lookup[],MATCH("Lutron Kit PN",Lutron_CFlex_Lookup[#Headers],0),FALSE),"")</f>
        <v/>
      </c>
      <c r="AH92" s="1" t="str">
        <f>_xlfn.IFNA(VLOOKUP(Master_Reference[[#This Row],[C-Flex 4000K Eco Part Number]],Lutron_CFlex_Lookup[],MATCH("Lutron Kit PN",Lutron_CFlex_Lookup[#Headers],0),FALSE),"")</f>
        <v/>
      </c>
      <c r="AI92" s="1" t="str">
        <f>_xlfn.IFNA(VLOOKUP(Master_Reference[[#This Row],[C-Flex 5000K Eco Part Number]],Lutron_CFlex_Lookup[],MATCH("Lutron Kit PN",Lutron_CFlex_Lookup[#Headers],0),FALSE),"")</f>
        <v/>
      </c>
      <c r="AJ92" s="1" t="str">
        <f>_xlfn.IFNA(VLOOKUP(Master_Reference[[#This Row],[C-Flex 3000K 3W Part Number]],Lutron_CFlex_Lookup[],MATCH("Lutron Kit PN",Lutron_CFlex_Lookup[#Headers],0),FALSE),"")</f>
        <v/>
      </c>
      <c r="AK92" s="1" t="str">
        <f>_xlfn.IFNA(VLOOKUP(Master_Reference[[#This Row],[C-Flex 3500K 3W Part Number]],Lutron_CFlex_Lookup[],MATCH("Lutron Kit PN",Lutron_CFlex_Lookup[#Headers],0),FALSE),"")</f>
        <v/>
      </c>
      <c r="AL92" s="1" t="str">
        <f>_xlfn.IFNA(VLOOKUP(Master_Reference[[#This Row],[C-Flex 4000K 3W Part Number]],Lutron_CFlex_Lookup[],MATCH("Lutron Kit PN",Lutron_CFlex_Lookup[#Headers],0),FALSE),"")</f>
        <v/>
      </c>
      <c r="AM92" s="1" t="str">
        <f>_xlfn.IFNA(VLOOKUP(Master_Reference[[#This Row],[C-Flex 5000K 3W Part Number]],Lutron_CFlex_Lookup[],MATCH("Lutron Kit PN",Lutron_CFlex_Lookup[#Headers],0),FALSE),"")</f>
        <v/>
      </c>
      <c r="AN92" s="1" t="b">
        <f>NOT(ISNA(VLOOKUP(Master_Reference[[#This Row],[Model Number]],ObsoleteModels[],1,FALSE)))</f>
        <v>1</v>
      </c>
      <c r="AO92" s="1" t="str">
        <f>IF(LEFT(Master_Reference[[#This Row],[Model Number]],1)="U",LEFT(Master_Reference[[#This Row],[Model Number]],4),LEFT(Master_Reference[[#This Row],[Model Number]],3))</f>
        <v>EC3</v>
      </c>
    </row>
    <row r="93" spans="1:41" x14ac:dyDescent="0.25">
      <c r="A93" s="2" t="s">
        <v>281</v>
      </c>
      <c r="B93" s="1"/>
      <c r="C93" s="1" t="b">
        <v>1</v>
      </c>
      <c r="G93" s="1" t="str">
        <f>IF(OR(LEFT(RIGHT(Master_Reference[[#This Row],[Model Number]],3),1)="C",LEFT(RIGHT(Master_Reference[[#This Row],[Model Number]],4),1)="C"),TRUE,"")</f>
        <v/>
      </c>
      <c r="H93" s="1" t="str">
        <f>IF(LEFT(Master_Reference[[#This Row],[Model Number]],1)="U",TRUE,"")</f>
        <v/>
      </c>
      <c r="I93" s="1" t="b">
        <f>IF(Master_Reference[[#This Row],[Lamp Type]]="T4","",IF(Master_Reference[[#This Row],[Case Type]]="M","",TRUE))</f>
        <v>1</v>
      </c>
      <c r="J93" s="1" t="str">
        <f t="shared" si="1"/>
        <v>T8</v>
      </c>
      <c r="K93" s="1">
        <v>32</v>
      </c>
      <c r="L93" s="1" t="s">
        <v>118</v>
      </c>
      <c r="M93" s="1">
        <v>3</v>
      </c>
      <c r="N93" s="1" t="s">
        <v>149</v>
      </c>
      <c r="O93" s="1" t="s">
        <v>217</v>
      </c>
      <c r="R93" t="b">
        <f>IF(COUNTBLANK(Master_Reference[[#This Row],[C-Flex 3000K Eco Part Number]:[C-Flex 4000K Eco Part Number]])=3,FALSE,TRUE)</f>
        <v>0</v>
      </c>
      <c r="S93" t="b">
        <f>IF(COUNTBLANK(Master_Reference[[#This Row],[C-Flex 3000K 3W Part Number]:[C-Flex 4000K 3W Part Number]])=3,FALSE,TRUE)</f>
        <v>1</v>
      </c>
      <c r="T93" t="b">
        <f>IF(COUNTBLANK(Master_Reference[[#This Row],[Lutron 3000K Eco Part Number]:[Lutron 4000K Eco Part Number]])=3,FALSE,TRUE)</f>
        <v>0</v>
      </c>
      <c r="U93" t="b">
        <f>IF(COUNTBLANK(Master_Reference[[#This Row],[Lutron 3000K 3W Part Number]:[Lutron 4000K 3W Part Number]])=3,FALSE,TRUE)</f>
        <v>1</v>
      </c>
      <c r="V93" s="12"/>
      <c r="W93" s="12"/>
      <c r="X93" s="12"/>
      <c r="Y93" t="s">
        <v>2125</v>
      </c>
      <c r="Z93" s="12" t="s">
        <v>277</v>
      </c>
      <c r="AA93" s="12" t="s">
        <v>278</v>
      </c>
      <c r="AB93" s="12" t="s">
        <v>279</v>
      </c>
      <c r="AC93" t="s">
        <v>1831</v>
      </c>
      <c r="AD93" t="str">
        <f>SUBSTITUTE(Master_Reference[[#This Row],[C-Flex 4000K Eco Part Number]],"40-","xx-")</f>
        <v/>
      </c>
      <c r="AE93" t="str">
        <f>SUBSTITUTE(Master_Reference[[#This Row],[C-Flex 4000K 3W Part Number]],"40-","xx-")</f>
        <v>RP-T8-4FT-3L-8xx-3W-M-G2</v>
      </c>
      <c r="AF93" s="1" t="str">
        <f>_xlfn.IFNA(VLOOKUP(Master_Reference[[#This Row],[C-Flex 3000K Eco Part Number]],Lutron_CFlex_Lookup[],MATCH("Lutron Kit PN",Lutron_CFlex_Lookup[#Headers],0),FALSE),"")</f>
        <v/>
      </c>
      <c r="AG93" s="1" t="str">
        <f>_xlfn.IFNA(VLOOKUP(Master_Reference[[#This Row],[C-Flex 3500K Eco Part Number]],Lutron_CFlex_Lookup[],MATCH("Lutron Kit PN",Lutron_CFlex_Lookup[#Headers],0),FALSE),"")</f>
        <v/>
      </c>
      <c r="AH93" s="1" t="str">
        <f>_xlfn.IFNA(VLOOKUP(Master_Reference[[#This Row],[C-Flex 4000K Eco Part Number]],Lutron_CFlex_Lookup[],MATCH("Lutron Kit PN",Lutron_CFlex_Lookup[#Headers],0),FALSE),"")</f>
        <v/>
      </c>
      <c r="AI93" s="1" t="str">
        <f>_xlfn.IFNA(VLOOKUP(Master_Reference[[#This Row],[C-Flex 5000K Eco Part Number]],Lutron_CFlex_Lookup[],MATCH("Lutron Kit PN",Lutron_CFlex_Lookup[#Headers],0),FALSE),"")</f>
        <v/>
      </c>
      <c r="AJ93" s="1" t="str">
        <f>_xlfn.IFNA(VLOOKUP(Master_Reference[[#This Row],[C-Flex 3000K 3W Part Number]],Lutron_CFlex_Lookup[],MATCH("Lutron Kit PN",Lutron_CFlex_Lookup[#Headers],0),FALSE),"")</f>
        <v>3LD4T8-3M30-q</v>
      </c>
      <c r="AK93" s="1" t="str">
        <f>_xlfn.IFNA(VLOOKUP(Master_Reference[[#This Row],[C-Flex 3500K 3W Part Number]],Lutron_CFlex_Lookup[],MATCH("Lutron Kit PN",Lutron_CFlex_Lookup[#Headers],0),FALSE),"")</f>
        <v>3LD4T8-3M35-q</v>
      </c>
      <c r="AL93" s="1" t="str">
        <f>_xlfn.IFNA(VLOOKUP(Master_Reference[[#This Row],[C-Flex 4000K 3W Part Number]],Lutron_CFlex_Lookup[],MATCH("Lutron Kit PN",Lutron_CFlex_Lookup[#Headers],0),FALSE),"")</f>
        <v>3LD4T8-3M40-q</v>
      </c>
      <c r="AM93" s="1" t="str">
        <f>_xlfn.IFNA(VLOOKUP(Master_Reference[[#This Row],[C-Flex 5000K 3W Part Number]],Lutron_CFlex_Lookup[],MATCH("Lutron Kit PN",Lutron_CFlex_Lookup[#Headers],0),FALSE),"")</f>
        <v>3LD4T8-3M50-q</v>
      </c>
      <c r="AN93" s="1" t="b">
        <f>NOT(ISNA(VLOOKUP(Master_Reference[[#This Row],[Model Number]],ObsoleteModels[],1,FALSE)))</f>
        <v>1</v>
      </c>
      <c r="AO93" s="1" t="str">
        <f>IF(LEFT(Master_Reference[[#This Row],[Model Number]],1)="U",LEFT(Master_Reference[[#This Row],[Model Number]],4),LEFT(Master_Reference[[#This Row],[Model Number]],3))</f>
        <v>EC3</v>
      </c>
    </row>
    <row r="94" spans="1:41" x14ac:dyDescent="0.25">
      <c r="A94" s="2" t="s">
        <v>282</v>
      </c>
      <c r="B94" s="1" t="b">
        <v>1</v>
      </c>
      <c r="C94" s="1" t="b">
        <v>1</v>
      </c>
      <c r="G94" s="1" t="str">
        <f>IF(OR(LEFT(RIGHT(Master_Reference[[#This Row],[Model Number]],3),1)="C",LEFT(RIGHT(Master_Reference[[#This Row],[Model Number]],4),1)="C"),TRUE,"")</f>
        <v/>
      </c>
      <c r="H94" s="1" t="str">
        <f>IF(LEFT(Master_Reference[[#This Row],[Model Number]],1)="U",TRUE,"")</f>
        <v/>
      </c>
      <c r="I94" s="1" t="b">
        <f>IF(Master_Reference[[#This Row],[Lamp Type]]="T4","",IF(Master_Reference[[#This Row],[Case Type]]="M","",TRUE))</f>
        <v>1</v>
      </c>
      <c r="J94" s="1" t="s">
        <v>123</v>
      </c>
      <c r="K94" s="1">
        <v>28</v>
      </c>
      <c r="L94" s="1" t="s">
        <v>118</v>
      </c>
      <c r="M94" s="1">
        <v>1</v>
      </c>
      <c r="N94" s="1" t="s">
        <v>149</v>
      </c>
      <c r="O94" s="1" t="s">
        <v>113</v>
      </c>
      <c r="R94" t="b">
        <f>IF(COUNTBLANK(Master_Reference[[#This Row],[C-Flex 3000K Eco Part Number]:[C-Flex 4000K Eco Part Number]])=3,FALSE,TRUE)</f>
        <v>1</v>
      </c>
      <c r="S94" t="b">
        <f>IF(COUNTBLANK(Master_Reference[[#This Row],[C-Flex 3000K 3W Part Number]:[C-Flex 4000K 3W Part Number]])=3,FALSE,TRUE)</f>
        <v>1</v>
      </c>
      <c r="T94" t="b">
        <f>IF(COUNTBLANK(Master_Reference[[#This Row],[Lutron 3000K Eco Part Number]:[Lutron 4000K Eco Part Number]])=3,FALSE,TRUE)</f>
        <v>1</v>
      </c>
      <c r="U94" t="b">
        <f>IF(COUNTBLANK(Master_Reference[[#This Row],[Lutron 3000K 3W Part Number]:[Lutron 4000K 3W Part Number]])=3,FALSE,TRUE)</f>
        <v>1</v>
      </c>
      <c r="V94" s="12" t="s">
        <v>283</v>
      </c>
      <c r="W94" s="12" t="s">
        <v>284</v>
      </c>
      <c r="X94" s="12" t="s">
        <v>285</v>
      </c>
      <c r="Y94" t="s">
        <v>1719</v>
      </c>
      <c r="Z94" s="12" t="s">
        <v>286</v>
      </c>
      <c r="AA94" s="12" t="s">
        <v>287</v>
      </c>
      <c r="AB94" s="12" t="s">
        <v>288</v>
      </c>
      <c r="AC94" t="s">
        <v>1807</v>
      </c>
      <c r="AD94" t="str">
        <f>SUBSTITUTE(Master_Reference[[#This Row],[C-Flex 4000K Eco Part Number]],"40-","xx-")</f>
        <v>RP-T5-4FT-1L-8xx-E1-M-G2</v>
      </c>
      <c r="AE94" t="str">
        <f>SUBSTITUTE(Master_Reference[[#This Row],[C-Flex 4000K 3W Part Number]],"40-","xx-")</f>
        <v>RP-T5-4FT-1L-8xx-3W-M-G2</v>
      </c>
      <c r="AF94" s="1" t="str">
        <f>_xlfn.IFNA(VLOOKUP(Master_Reference[[#This Row],[C-Flex 3000K Eco Part Number]],Lutron_CFlex_Lookup[],MATCH("Lutron Kit PN",Lutron_CFlex_Lookup[#Headers],0),FALSE),"")</f>
        <v>ELD4T5-1M30-q</v>
      </c>
      <c r="AG94" s="1" t="str">
        <f>_xlfn.IFNA(VLOOKUP(Master_Reference[[#This Row],[C-Flex 3500K Eco Part Number]],Lutron_CFlex_Lookup[],MATCH("Lutron Kit PN",Lutron_CFlex_Lookup[#Headers],0),FALSE),"")</f>
        <v>ELD4T5-1M35-q</v>
      </c>
      <c r="AH94" s="1" t="str">
        <f>_xlfn.IFNA(VLOOKUP(Master_Reference[[#This Row],[C-Flex 4000K Eco Part Number]],Lutron_CFlex_Lookup[],MATCH("Lutron Kit PN",Lutron_CFlex_Lookup[#Headers],0),FALSE),"")</f>
        <v>ELD4T5-1M40-q</v>
      </c>
      <c r="AI94" s="1" t="str">
        <f>_xlfn.IFNA(VLOOKUP(Master_Reference[[#This Row],[C-Flex 5000K Eco Part Number]],Lutron_CFlex_Lookup[],MATCH("Lutron Kit PN",Lutron_CFlex_Lookup[#Headers],0),FALSE),"")</f>
        <v>ELD4T5-1M50-q</v>
      </c>
      <c r="AJ94" s="1" t="str">
        <f>_xlfn.IFNA(VLOOKUP(Master_Reference[[#This Row],[C-Flex 3000K 3W Part Number]],Lutron_CFlex_Lookup[],MATCH("Lutron Kit PN",Lutron_CFlex_Lookup[#Headers],0),FALSE),"")</f>
        <v>3LD4T5-1M30-q</v>
      </c>
      <c r="AK94" s="1" t="str">
        <f>_xlfn.IFNA(VLOOKUP(Master_Reference[[#This Row],[C-Flex 3500K 3W Part Number]],Lutron_CFlex_Lookup[],MATCH("Lutron Kit PN",Lutron_CFlex_Lookup[#Headers],0),FALSE),"")</f>
        <v>3LD4T5-1M35-q</v>
      </c>
      <c r="AL94" s="1" t="str">
        <f>_xlfn.IFNA(VLOOKUP(Master_Reference[[#This Row],[C-Flex 4000K 3W Part Number]],Lutron_CFlex_Lookup[],MATCH("Lutron Kit PN",Lutron_CFlex_Lookup[#Headers],0),FALSE),"")</f>
        <v>3LD4T5-1M40-q</v>
      </c>
      <c r="AM94" s="1" t="str">
        <f>_xlfn.IFNA(VLOOKUP(Master_Reference[[#This Row],[C-Flex 5000K 3W Part Number]],Lutron_CFlex_Lookup[],MATCH("Lutron Kit PN",Lutron_CFlex_Lookup[#Headers],0),FALSE),"")</f>
        <v>3LD4T5-1M50-q</v>
      </c>
      <c r="AN94" s="1" t="b">
        <f>NOT(ISNA(VLOOKUP(Master_Reference[[#This Row],[Model Number]],ObsoleteModels[],1,FALSE)))</f>
        <v>0</v>
      </c>
      <c r="AO94" s="1" t="str">
        <f>IF(LEFT(Master_Reference[[#This Row],[Model Number]],1)="U",LEFT(Master_Reference[[#This Row],[Model Number]],4),LEFT(Master_Reference[[#This Row],[Model Number]],3))</f>
        <v>EC5</v>
      </c>
    </row>
    <row r="95" spans="1:41" x14ac:dyDescent="0.25">
      <c r="A95" s="2" t="s">
        <v>289</v>
      </c>
      <c r="B95" s="1" t="b">
        <v>1</v>
      </c>
      <c r="C95" s="1" t="b">
        <v>1</v>
      </c>
      <c r="G95" s="1" t="str">
        <f>IF(OR(LEFT(RIGHT(Master_Reference[[#This Row],[Model Number]],3),1)="C",LEFT(RIGHT(Master_Reference[[#This Row],[Model Number]],4),1)="C"),TRUE,"")</f>
        <v/>
      </c>
      <c r="H95" s="1" t="str">
        <f>IF(LEFT(Master_Reference[[#This Row],[Model Number]],1)="U",TRUE,"")</f>
        <v/>
      </c>
      <c r="I95" s="1" t="b">
        <f>IF(Master_Reference[[#This Row],[Lamp Type]]="T4","",IF(Master_Reference[[#This Row],[Case Type]]="M","",TRUE))</f>
        <v>1</v>
      </c>
      <c r="J95" s="1" t="s">
        <v>123</v>
      </c>
      <c r="K95" s="1">
        <v>28</v>
      </c>
      <c r="L95" s="1" t="s">
        <v>118</v>
      </c>
      <c r="M95" s="1">
        <v>2</v>
      </c>
      <c r="N95" s="1" t="s">
        <v>149</v>
      </c>
      <c r="O95" s="1" t="s">
        <v>113</v>
      </c>
      <c r="R95" t="b">
        <f>IF(COUNTBLANK(Master_Reference[[#This Row],[C-Flex 3000K Eco Part Number]:[C-Flex 4000K Eco Part Number]])=3,FALSE,TRUE)</f>
        <v>1</v>
      </c>
      <c r="S95" t="b">
        <f>IF(COUNTBLANK(Master_Reference[[#This Row],[C-Flex 3000K 3W Part Number]:[C-Flex 4000K 3W Part Number]])=3,FALSE,TRUE)</f>
        <v>1</v>
      </c>
      <c r="T95" t="b">
        <f>IF(COUNTBLANK(Master_Reference[[#This Row],[Lutron 3000K Eco Part Number]:[Lutron 4000K Eco Part Number]])=3,FALSE,TRUE)</f>
        <v>1</v>
      </c>
      <c r="U95" t="b">
        <f>IF(COUNTBLANK(Master_Reference[[#This Row],[Lutron 3000K 3W Part Number]:[Lutron 4000K 3W Part Number]])=3,FALSE,TRUE)</f>
        <v>1</v>
      </c>
      <c r="V95" s="12" t="s">
        <v>290</v>
      </c>
      <c r="W95" s="12" t="s">
        <v>291</v>
      </c>
      <c r="X95" s="12" t="s">
        <v>292</v>
      </c>
      <c r="Y95" t="s">
        <v>1720</v>
      </c>
      <c r="Z95" s="12" t="s">
        <v>293</v>
      </c>
      <c r="AA95" s="12" t="s">
        <v>294</v>
      </c>
      <c r="AB95" s="12" t="s">
        <v>295</v>
      </c>
      <c r="AC95" t="s">
        <v>1808</v>
      </c>
      <c r="AD95" t="str">
        <f>SUBSTITUTE(Master_Reference[[#This Row],[C-Flex 4000K Eco Part Number]],"40-","xx-")</f>
        <v>RP-T5-4FT-2L-8xx-E1-M-G2</v>
      </c>
      <c r="AE95" t="str">
        <f>SUBSTITUTE(Master_Reference[[#This Row],[C-Flex 4000K 3W Part Number]],"40-","xx-")</f>
        <v>RP-T5-4FT-2L-8xx-3W-M-G2</v>
      </c>
      <c r="AF95" s="1" t="str">
        <f>_xlfn.IFNA(VLOOKUP(Master_Reference[[#This Row],[C-Flex 3000K Eco Part Number]],Lutron_CFlex_Lookup[],MATCH("Lutron Kit PN",Lutron_CFlex_Lookup[#Headers],0),FALSE),"")</f>
        <v>ELD4T5-2M30-q</v>
      </c>
      <c r="AG95" s="1" t="str">
        <f>_xlfn.IFNA(VLOOKUP(Master_Reference[[#This Row],[C-Flex 3500K Eco Part Number]],Lutron_CFlex_Lookup[],MATCH("Lutron Kit PN",Lutron_CFlex_Lookup[#Headers],0),FALSE),"")</f>
        <v>ELD4T5-2M35-q</v>
      </c>
      <c r="AH95" s="1" t="str">
        <f>_xlfn.IFNA(VLOOKUP(Master_Reference[[#This Row],[C-Flex 4000K Eco Part Number]],Lutron_CFlex_Lookup[],MATCH("Lutron Kit PN",Lutron_CFlex_Lookup[#Headers],0),FALSE),"")</f>
        <v>ELD4T5-2M40-q</v>
      </c>
      <c r="AI95" s="1" t="str">
        <f>_xlfn.IFNA(VLOOKUP(Master_Reference[[#This Row],[C-Flex 5000K Eco Part Number]],Lutron_CFlex_Lookup[],MATCH("Lutron Kit PN",Lutron_CFlex_Lookup[#Headers],0),FALSE),"")</f>
        <v>ELD4T5-2M50-q</v>
      </c>
      <c r="AJ95" s="1" t="str">
        <f>_xlfn.IFNA(VLOOKUP(Master_Reference[[#This Row],[C-Flex 3000K 3W Part Number]],Lutron_CFlex_Lookup[],MATCH("Lutron Kit PN",Lutron_CFlex_Lookup[#Headers],0),FALSE),"")</f>
        <v>3LD4T5-2M30-q</v>
      </c>
      <c r="AK95" s="1" t="str">
        <f>_xlfn.IFNA(VLOOKUP(Master_Reference[[#This Row],[C-Flex 3500K 3W Part Number]],Lutron_CFlex_Lookup[],MATCH("Lutron Kit PN",Lutron_CFlex_Lookup[#Headers],0),FALSE),"")</f>
        <v>3LD4T5-2M35-q</v>
      </c>
      <c r="AL95" s="1" t="str">
        <f>_xlfn.IFNA(VLOOKUP(Master_Reference[[#This Row],[C-Flex 4000K 3W Part Number]],Lutron_CFlex_Lookup[],MATCH("Lutron Kit PN",Lutron_CFlex_Lookup[#Headers],0),FALSE),"")</f>
        <v>3LD4T5-2M40-q</v>
      </c>
      <c r="AM95" s="1" t="str">
        <f>_xlfn.IFNA(VLOOKUP(Master_Reference[[#This Row],[C-Flex 5000K 3W Part Number]],Lutron_CFlex_Lookup[],MATCH("Lutron Kit PN",Lutron_CFlex_Lookup[#Headers],0),FALSE),"")</f>
        <v>3LD4T5-2M50-q</v>
      </c>
      <c r="AN95" s="1" t="b">
        <f>NOT(ISNA(VLOOKUP(Master_Reference[[#This Row],[Model Number]],ObsoleteModels[],1,FALSE)))</f>
        <v>1</v>
      </c>
      <c r="AO95" s="1" t="str">
        <f>IF(LEFT(Master_Reference[[#This Row],[Model Number]],1)="U",LEFT(Master_Reference[[#This Row],[Model Number]],4),LEFT(Master_Reference[[#This Row],[Model Number]],3))</f>
        <v>EC5</v>
      </c>
    </row>
    <row r="96" spans="1:41" x14ac:dyDescent="0.25">
      <c r="A96" s="2" t="s">
        <v>296</v>
      </c>
      <c r="B96" s="1" t="b">
        <v>1</v>
      </c>
      <c r="C96" s="1" t="b">
        <v>1</v>
      </c>
      <c r="G96" s="1" t="str">
        <f>IF(OR(LEFT(RIGHT(Master_Reference[[#This Row],[Model Number]],3),1)="C",LEFT(RIGHT(Master_Reference[[#This Row],[Model Number]],4),1)="C"),TRUE,"")</f>
        <v/>
      </c>
      <c r="H96" s="1" t="str">
        <f>IF(LEFT(Master_Reference[[#This Row],[Model Number]],1)="U",TRUE,"")</f>
        <v/>
      </c>
      <c r="I96" s="1" t="b">
        <f>IF(Master_Reference[[#This Row],[Lamp Type]]="T4","",IF(Master_Reference[[#This Row],[Case Type]]="M","",TRUE))</f>
        <v>1</v>
      </c>
      <c r="J96" s="1" t="s">
        <v>297</v>
      </c>
      <c r="K96" s="1">
        <v>54</v>
      </c>
      <c r="L96" s="1" t="s">
        <v>118</v>
      </c>
      <c r="M96" s="1">
        <v>1</v>
      </c>
      <c r="N96" s="1" t="s">
        <v>149</v>
      </c>
      <c r="O96" s="1" t="s">
        <v>113</v>
      </c>
      <c r="R96" t="b">
        <f>IF(COUNTBLANK(Master_Reference[[#This Row],[C-Flex 3000K Eco Part Number]:[C-Flex 4000K Eco Part Number]])=3,FALSE,TRUE)</f>
        <v>1</v>
      </c>
      <c r="S96" t="b">
        <f>IF(COUNTBLANK(Master_Reference[[#This Row],[C-Flex 3000K 3W Part Number]:[C-Flex 4000K 3W Part Number]])=3,FALSE,TRUE)</f>
        <v>1</v>
      </c>
      <c r="T96" t="b">
        <f>IF(COUNTBLANK(Master_Reference[[#This Row],[Lutron 3000K Eco Part Number]:[Lutron 4000K Eco Part Number]])=3,FALSE,TRUE)</f>
        <v>1</v>
      </c>
      <c r="U96" t="b">
        <f>IF(COUNTBLANK(Master_Reference[[#This Row],[Lutron 3000K 3W Part Number]:[Lutron 4000K 3W Part Number]])=3,FALSE,TRUE)</f>
        <v>1</v>
      </c>
      <c r="V96" s="12" t="s">
        <v>298</v>
      </c>
      <c r="W96" s="12" t="s">
        <v>299</v>
      </c>
      <c r="X96" s="12" t="s">
        <v>300</v>
      </c>
      <c r="Y96" t="s">
        <v>1733</v>
      </c>
      <c r="Z96" s="12" t="s">
        <v>301</v>
      </c>
      <c r="AA96" s="12" t="s">
        <v>302</v>
      </c>
      <c r="AB96" s="12" t="s">
        <v>303</v>
      </c>
      <c r="AC96" t="s">
        <v>1821</v>
      </c>
      <c r="AD96" t="str">
        <f>SUBSTITUTE(Master_Reference[[#This Row],[C-Flex 4000K Eco Part Number]],"40-","xx-")</f>
        <v>RP-T5HO-4FT-1L-8xx-E1-M-G2</v>
      </c>
      <c r="AE96" t="str">
        <f>SUBSTITUTE(Master_Reference[[#This Row],[C-Flex 4000K 3W Part Number]],"40-","xx-")</f>
        <v>RP-T5HO-4FT-1L-8xx-3W-M-G2</v>
      </c>
      <c r="AF96" s="1" t="str">
        <f>_xlfn.IFNA(VLOOKUP(Master_Reference[[#This Row],[C-Flex 3000K Eco Part Number]],Lutron_CFlex_Lookup[],MATCH("Lutron Kit PN",Lutron_CFlex_Lookup[#Headers],0),FALSE),"")</f>
        <v>ELD4T5H-1M30-q</v>
      </c>
      <c r="AG96" s="1" t="str">
        <f>_xlfn.IFNA(VLOOKUP(Master_Reference[[#This Row],[C-Flex 3500K Eco Part Number]],Lutron_CFlex_Lookup[],MATCH("Lutron Kit PN",Lutron_CFlex_Lookup[#Headers],0),FALSE),"")</f>
        <v>ELD4T5H-1M35-q</v>
      </c>
      <c r="AH96" s="1" t="str">
        <f>_xlfn.IFNA(VLOOKUP(Master_Reference[[#This Row],[C-Flex 4000K Eco Part Number]],Lutron_CFlex_Lookup[],MATCH("Lutron Kit PN",Lutron_CFlex_Lookup[#Headers],0),FALSE),"")</f>
        <v>ELD4T5H-1M40-q</v>
      </c>
      <c r="AI96" s="1" t="str">
        <f>_xlfn.IFNA(VLOOKUP(Master_Reference[[#This Row],[C-Flex 5000K Eco Part Number]],Lutron_CFlex_Lookup[],MATCH("Lutron Kit PN",Lutron_CFlex_Lookup[#Headers],0),FALSE),"")</f>
        <v>ELD4T5H-1M50-q</v>
      </c>
      <c r="AJ96" s="1" t="str">
        <f>_xlfn.IFNA(VLOOKUP(Master_Reference[[#This Row],[C-Flex 3000K 3W Part Number]],Lutron_CFlex_Lookup[],MATCH("Lutron Kit PN",Lutron_CFlex_Lookup[#Headers],0),FALSE),"")</f>
        <v>3LD4T5H-1M30-q</v>
      </c>
      <c r="AK96" s="1" t="str">
        <f>_xlfn.IFNA(VLOOKUP(Master_Reference[[#This Row],[C-Flex 3500K 3W Part Number]],Lutron_CFlex_Lookup[],MATCH("Lutron Kit PN",Lutron_CFlex_Lookup[#Headers],0),FALSE),"")</f>
        <v>3LD4T5H-1M35-q</v>
      </c>
      <c r="AL96" s="1" t="str">
        <f>_xlfn.IFNA(VLOOKUP(Master_Reference[[#This Row],[C-Flex 4000K 3W Part Number]],Lutron_CFlex_Lookup[],MATCH("Lutron Kit PN",Lutron_CFlex_Lookup[#Headers],0),FALSE),"")</f>
        <v>3LD4T5H-1M40-q</v>
      </c>
      <c r="AM96" s="1" t="str">
        <f>_xlfn.IFNA(VLOOKUP(Master_Reference[[#This Row],[C-Flex 5000K 3W Part Number]],Lutron_CFlex_Lookup[],MATCH("Lutron Kit PN",Lutron_CFlex_Lookup[#Headers],0),FALSE),"")</f>
        <v>3LD4T5H-1M50-q</v>
      </c>
      <c r="AN96" s="1" t="b">
        <f>NOT(ISNA(VLOOKUP(Master_Reference[[#This Row],[Model Number]],ObsoleteModels[],1,FALSE)))</f>
        <v>0</v>
      </c>
      <c r="AO96" s="1" t="str">
        <f>IF(LEFT(Master_Reference[[#This Row],[Model Number]],1)="U",LEFT(Master_Reference[[#This Row],[Model Number]],4),LEFT(Master_Reference[[#This Row],[Model Number]],3))</f>
        <v>EC5</v>
      </c>
    </row>
    <row r="97" spans="1:41" x14ac:dyDescent="0.25">
      <c r="A97" s="2" t="s">
        <v>304</v>
      </c>
      <c r="B97" s="1" t="b">
        <v>1</v>
      </c>
      <c r="C97" s="1" t="b">
        <v>1</v>
      </c>
      <c r="G97" s="1" t="str">
        <f>IF(OR(LEFT(RIGHT(Master_Reference[[#This Row],[Model Number]],3),1)="C",LEFT(RIGHT(Master_Reference[[#This Row],[Model Number]],4),1)="C"),TRUE,"")</f>
        <v/>
      </c>
      <c r="H97" s="1" t="str">
        <f>IF(LEFT(Master_Reference[[#This Row],[Model Number]],1)="U",TRUE,"")</f>
        <v/>
      </c>
      <c r="I97" s="1" t="b">
        <f>IF(Master_Reference[[#This Row],[Lamp Type]]="T4","",IF(Master_Reference[[#This Row],[Case Type]]="M","",TRUE))</f>
        <v>1</v>
      </c>
      <c r="J97" s="1" t="s">
        <v>297</v>
      </c>
      <c r="K97" s="1">
        <v>54</v>
      </c>
      <c r="L97" s="1" t="s">
        <v>118</v>
      </c>
      <c r="M97" s="1">
        <v>2</v>
      </c>
      <c r="N97" s="1" t="s">
        <v>149</v>
      </c>
      <c r="O97" s="1" t="s">
        <v>113</v>
      </c>
      <c r="R97" t="b">
        <f>IF(COUNTBLANK(Master_Reference[[#This Row],[C-Flex 3000K Eco Part Number]:[C-Flex 4000K Eco Part Number]])=3,FALSE,TRUE)</f>
        <v>1</v>
      </c>
      <c r="S97" t="b">
        <f>IF(COUNTBLANK(Master_Reference[[#This Row],[C-Flex 3000K 3W Part Number]:[C-Flex 4000K 3W Part Number]])=3,FALSE,TRUE)</f>
        <v>1</v>
      </c>
      <c r="T97" t="b">
        <f>IF(COUNTBLANK(Master_Reference[[#This Row],[Lutron 3000K Eco Part Number]:[Lutron 4000K Eco Part Number]])=3,FALSE,TRUE)</f>
        <v>1</v>
      </c>
      <c r="U97" t="b">
        <f>IF(COUNTBLANK(Master_Reference[[#This Row],[Lutron 3000K 3W Part Number]:[Lutron 4000K 3W Part Number]])=3,FALSE,TRUE)</f>
        <v>1</v>
      </c>
      <c r="V97" s="12" t="s">
        <v>305</v>
      </c>
      <c r="W97" s="12" t="s">
        <v>306</v>
      </c>
      <c r="X97" s="12" t="s">
        <v>307</v>
      </c>
      <c r="Y97" t="s">
        <v>1734</v>
      </c>
      <c r="Z97" s="12" t="s">
        <v>308</v>
      </c>
      <c r="AA97" s="12" t="s">
        <v>309</v>
      </c>
      <c r="AB97" s="12" t="s">
        <v>310</v>
      </c>
      <c r="AC97" t="s">
        <v>1822</v>
      </c>
      <c r="AD97" t="str">
        <f>SUBSTITUTE(Master_Reference[[#This Row],[C-Flex 4000K Eco Part Number]],"40-","xx-")</f>
        <v>RP-T5HO-4FT-2L-8xx-E1-M-G2</v>
      </c>
      <c r="AE97" t="str">
        <f>SUBSTITUTE(Master_Reference[[#This Row],[C-Flex 4000K 3W Part Number]],"40-","xx-")</f>
        <v>RP-T5HO-4FT-2L-8xx-3W-M-G2</v>
      </c>
      <c r="AF97" s="1" t="str">
        <f>_xlfn.IFNA(VLOOKUP(Master_Reference[[#This Row],[C-Flex 3000K Eco Part Number]],Lutron_CFlex_Lookup[],MATCH("Lutron Kit PN",Lutron_CFlex_Lookup[#Headers],0),FALSE),"")</f>
        <v>ELD4T5H-2M30-q</v>
      </c>
      <c r="AG97" s="1" t="str">
        <f>_xlfn.IFNA(VLOOKUP(Master_Reference[[#This Row],[C-Flex 3500K Eco Part Number]],Lutron_CFlex_Lookup[],MATCH("Lutron Kit PN",Lutron_CFlex_Lookup[#Headers],0),FALSE),"")</f>
        <v>ELD4T5H-2M35-q</v>
      </c>
      <c r="AH97" s="1" t="str">
        <f>_xlfn.IFNA(VLOOKUP(Master_Reference[[#This Row],[C-Flex 4000K Eco Part Number]],Lutron_CFlex_Lookup[],MATCH("Lutron Kit PN",Lutron_CFlex_Lookup[#Headers],0),FALSE),"")</f>
        <v>ELD4T5H-2M40-q</v>
      </c>
      <c r="AI97" s="1" t="str">
        <f>_xlfn.IFNA(VLOOKUP(Master_Reference[[#This Row],[C-Flex 5000K Eco Part Number]],Lutron_CFlex_Lookup[],MATCH("Lutron Kit PN",Lutron_CFlex_Lookup[#Headers],0),FALSE),"")</f>
        <v>ELD4T5H-2M50-q</v>
      </c>
      <c r="AJ97" s="1" t="str">
        <f>_xlfn.IFNA(VLOOKUP(Master_Reference[[#This Row],[C-Flex 3000K 3W Part Number]],Lutron_CFlex_Lookup[],MATCH("Lutron Kit PN",Lutron_CFlex_Lookup[#Headers],0),FALSE),"")</f>
        <v>3LD4T5H-2M30-q</v>
      </c>
      <c r="AK97" s="1" t="str">
        <f>_xlfn.IFNA(VLOOKUP(Master_Reference[[#This Row],[C-Flex 3500K 3W Part Number]],Lutron_CFlex_Lookup[],MATCH("Lutron Kit PN",Lutron_CFlex_Lookup[#Headers],0),FALSE),"")</f>
        <v>3LD4T5H-2M35-q</v>
      </c>
      <c r="AL97" s="1" t="str">
        <f>_xlfn.IFNA(VLOOKUP(Master_Reference[[#This Row],[C-Flex 4000K 3W Part Number]],Lutron_CFlex_Lookup[],MATCH("Lutron Kit PN",Lutron_CFlex_Lookup[#Headers],0),FALSE),"")</f>
        <v>3LD4T5H-2M40-q</v>
      </c>
      <c r="AM97" s="1" t="str">
        <f>_xlfn.IFNA(VLOOKUP(Master_Reference[[#This Row],[C-Flex 5000K 3W Part Number]],Lutron_CFlex_Lookup[],MATCH("Lutron Kit PN",Lutron_CFlex_Lookup[#Headers],0),FALSE),"")</f>
        <v>3LD4T5H-2M50-q</v>
      </c>
      <c r="AN97" s="1" t="b">
        <f>NOT(ISNA(VLOOKUP(Master_Reference[[#This Row],[Model Number]],ObsoleteModels[],1,FALSE)))</f>
        <v>0</v>
      </c>
      <c r="AO97" s="1" t="str">
        <f>IF(LEFT(Master_Reference[[#This Row],[Model Number]],1)="U",LEFT(Master_Reference[[#This Row],[Model Number]],4),LEFT(Master_Reference[[#This Row],[Model Number]],3))</f>
        <v>EC5</v>
      </c>
    </row>
    <row r="98" spans="1:41" x14ac:dyDescent="0.25">
      <c r="A98" s="2" t="s">
        <v>311</v>
      </c>
      <c r="B98" s="1" t="b">
        <v>1</v>
      </c>
      <c r="C98" s="1" t="b">
        <v>1</v>
      </c>
      <c r="G98" s="1" t="b">
        <f>IF(OR(LEFT(RIGHT(Master_Reference[[#This Row],[Model Number]],3),1)="C",LEFT(RIGHT(Master_Reference[[#This Row],[Model Number]],4),1)="C"),TRUE,"")</f>
        <v>1</v>
      </c>
      <c r="H98" s="1" t="str">
        <f>IF(LEFT(Master_Reference[[#This Row],[Model Number]],1)="U",TRUE,"")</f>
        <v/>
      </c>
      <c r="I98" s="1" t="b">
        <f>IF(Master_Reference[[#This Row],[Lamp Type]]="T4","",IF(Master_Reference[[#This Row],[Case Type]]="M","",TRUE))</f>
        <v>1</v>
      </c>
      <c r="J98" s="1" t="s">
        <v>111</v>
      </c>
      <c r="K98" s="1">
        <v>32</v>
      </c>
      <c r="L98" s="1" t="s">
        <v>118</v>
      </c>
      <c r="M98" s="1">
        <v>1</v>
      </c>
      <c r="N98" s="1" t="s">
        <v>149</v>
      </c>
      <c r="O98" s="1" t="s">
        <v>113</v>
      </c>
      <c r="R98" t="b">
        <f>IF(COUNTBLANK(Master_Reference[[#This Row],[C-Flex 3000K Eco Part Number]:[C-Flex 4000K Eco Part Number]])=3,FALSE,TRUE)</f>
        <v>1</v>
      </c>
      <c r="S98" t="b">
        <f>IF(COUNTBLANK(Master_Reference[[#This Row],[C-Flex 3000K 3W Part Number]:[C-Flex 4000K 3W Part Number]])=3,FALSE,TRUE)</f>
        <v>1</v>
      </c>
      <c r="T98" t="b">
        <f>IF(COUNTBLANK(Master_Reference[[#This Row],[Lutron 3000K Eco Part Number]:[Lutron 4000K Eco Part Number]])=3,FALSE,TRUE)</f>
        <v>1</v>
      </c>
      <c r="U98" t="b">
        <f>IF(COUNTBLANK(Master_Reference[[#This Row],[Lutron 3000K 3W Part Number]:[Lutron 4000K 3W Part Number]])=3,FALSE,TRUE)</f>
        <v>1</v>
      </c>
      <c r="V98" s="12" t="s">
        <v>312</v>
      </c>
      <c r="W98" s="12" t="s">
        <v>313</v>
      </c>
      <c r="X98" s="12" t="s">
        <v>314</v>
      </c>
      <c r="Y98" t="s">
        <v>1744</v>
      </c>
      <c r="Z98" s="12" t="s">
        <v>264</v>
      </c>
      <c r="AA98" s="12" t="s">
        <v>265</v>
      </c>
      <c r="AB98" s="12" t="s">
        <v>266</v>
      </c>
      <c r="AC98" t="s">
        <v>1829</v>
      </c>
      <c r="AD98" t="str">
        <f>SUBSTITUTE(Master_Reference[[#This Row],[C-Flex 4000K Eco Part Number]],"40-","xx-")</f>
        <v>RP-T8-4FT-1L-8xx-E1-M-G2</v>
      </c>
      <c r="AE98" t="str">
        <f>SUBSTITUTE(Master_Reference[[#This Row],[C-Flex 4000K 3W Part Number]],"40-","xx-")</f>
        <v>RP-T8-4FT-1L-8xx-3W-M-G2</v>
      </c>
      <c r="AF98" s="1" t="str">
        <f>_xlfn.IFNA(VLOOKUP(Master_Reference[[#This Row],[C-Flex 3000K Eco Part Number]],Lutron_CFlex_Lookup[],MATCH("Lutron Kit PN",Lutron_CFlex_Lookup[#Headers],0),FALSE),"")</f>
        <v>ELD4T8-1M30-q</v>
      </c>
      <c r="AG98" s="1" t="str">
        <f>_xlfn.IFNA(VLOOKUP(Master_Reference[[#This Row],[C-Flex 3500K Eco Part Number]],Lutron_CFlex_Lookup[],MATCH("Lutron Kit PN",Lutron_CFlex_Lookup[#Headers],0),FALSE),"")</f>
        <v>ELD4T8-1M35-q</v>
      </c>
      <c r="AH98" s="1" t="str">
        <f>_xlfn.IFNA(VLOOKUP(Master_Reference[[#This Row],[C-Flex 4000K Eco Part Number]],Lutron_CFlex_Lookup[],MATCH("Lutron Kit PN",Lutron_CFlex_Lookup[#Headers],0),FALSE),"")</f>
        <v>ELD4T8-1M40-q</v>
      </c>
      <c r="AI98" s="1" t="str">
        <f>_xlfn.IFNA(VLOOKUP(Master_Reference[[#This Row],[C-Flex 5000K Eco Part Number]],Lutron_CFlex_Lookup[],MATCH("Lutron Kit PN",Lutron_CFlex_Lookup[#Headers],0),FALSE),"")</f>
        <v>ELD4T8-1M50-q</v>
      </c>
      <c r="AJ98" s="1" t="str">
        <f>_xlfn.IFNA(VLOOKUP(Master_Reference[[#This Row],[C-Flex 3000K 3W Part Number]],Lutron_CFlex_Lookup[],MATCH("Lutron Kit PN",Lutron_CFlex_Lookup[#Headers],0),FALSE),"")</f>
        <v>3LD4T8-1M30-q</v>
      </c>
      <c r="AK98" s="1" t="str">
        <f>_xlfn.IFNA(VLOOKUP(Master_Reference[[#This Row],[C-Flex 3500K 3W Part Number]],Lutron_CFlex_Lookup[],MATCH("Lutron Kit PN",Lutron_CFlex_Lookup[#Headers],0),FALSE),"")</f>
        <v>3LD4T8-1M35-q</v>
      </c>
      <c r="AL98" s="1" t="str">
        <f>_xlfn.IFNA(VLOOKUP(Master_Reference[[#This Row],[C-Flex 4000K 3W Part Number]],Lutron_CFlex_Lookup[],MATCH("Lutron Kit PN",Lutron_CFlex_Lookup[#Headers],0),FALSE),"")</f>
        <v>3LD4T8-1M40-q</v>
      </c>
      <c r="AM98" s="1" t="str">
        <f>_xlfn.IFNA(VLOOKUP(Master_Reference[[#This Row],[C-Flex 5000K 3W Part Number]],Lutron_CFlex_Lookup[],MATCH("Lutron Kit PN",Lutron_CFlex_Lookup[#Headers],0),FALSE),"")</f>
        <v>3LD4T8-1M50-q</v>
      </c>
      <c r="AN98" s="1" t="b">
        <f>NOT(ISNA(VLOOKUP(Master_Reference[[#This Row],[Model Number]],ObsoleteModels[],1,FALSE)))</f>
        <v>1</v>
      </c>
      <c r="AO98" s="1" t="str">
        <f>IF(LEFT(Master_Reference[[#This Row],[Model Number]],1)="U",LEFT(Master_Reference[[#This Row],[Model Number]],4),LEFT(Master_Reference[[#This Row],[Model Number]],3))</f>
        <v>EC5</v>
      </c>
    </row>
    <row r="99" spans="1:41" x14ac:dyDescent="0.25">
      <c r="A99" s="2" t="s">
        <v>315</v>
      </c>
      <c r="B99" s="1" t="b">
        <v>1</v>
      </c>
      <c r="C99" s="1" t="b">
        <v>1</v>
      </c>
      <c r="G99" s="1" t="b">
        <f>IF(OR(LEFT(RIGHT(Master_Reference[[#This Row],[Model Number]],3),1)="C",LEFT(RIGHT(Master_Reference[[#This Row],[Model Number]],4),1)="C"),TRUE,"")</f>
        <v>1</v>
      </c>
      <c r="H99" s="1" t="str">
        <f>IF(LEFT(Master_Reference[[#This Row],[Model Number]],1)="U",TRUE,"")</f>
        <v/>
      </c>
      <c r="I99" s="1" t="b">
        <f>IF(Master_Reference[[#This Row],[Lamp Type]]="T4","",IF(Master_Reference[[#This Row],[Case Type]]="M","",TRUE))</f>
        <v>1</v>
      </c>
      <c r="J99" s="1" t="s">
        <v>111</v>
      </c>
      <c r="K99" s="1">
        <v>32</v>
      </c>
      <c r="L99" s="1" t="s">
        <v>118</v>
      </c>
      <c r="M99" s="1">
        <v>2</v>
      </c>
      <c r="N99" s="1" t="s">
        <v>149</v>
      </c>
      <c r="O99" s="1" t="s">
        <v>113</v>
      </c>
      <c r="R99" t="b">
        <f>IF(COUNTBLANK(Master_Reference[[#This Row],[C-Flex 3000K Eco Part Number]:[C-Flex 4000K Eco Part Number]])=3,FALSE,TRUE)</f>
        <v>1</v>
      </c>
      <c r="S99" t="b">
        <f>IF(COUNTBLANK(Master_Reference[[#This Row],[C-Flex 3000K 3W Part Number]:[C-Flex 4000K 3W Part Number]])=3,FALSE,TRUE)</f>
        <v>1</v>
      </c>
      <c r="T99" t="b">
        <f>IF(COUNTBLANK(Master_Reference[[#This Row],[Lutron 3000K Eco Part Number]:[Lutron 4000K Eco Part Number]])=3,FALSE,TRUE)</f>
        <v>1</v>
      </c>
      <c r="U99" t="b">
        <f>IF(COUNTBLANK(Master_Reference[[#This Row],[Lutron 3000K 3W Part Number]:[Lutron 4000K 3W Part Number]])=3,FALSE,TRUE)</f>
        <v>1</v>
      </c>
      <c r="V99" s="12" t="s">
        <v>316</v>
      </c>
      <c r="W99" s="12" t="s">
        <v>317</v>
      </c>
      <c r="X99" s="12" t="s">
        <v>318</v>
      </c>
      <c r="Y99" t="s">
        <v>1745</v>
      </c>
      <c r="Z99" s="12" t="s">
        <v>145</v>
      </c>
      <c r="AA99" s="12" t="s">
        <v>146</v>
      </c>
      <c r="AB99" s="12" t="s">
        <v>147</v>
      </c>
      <c r="AC99" t="s">
        <v>1830</v>
      </c>
      <c r="AD99" t="str">
        <f>SUBSTITUTE(Master_Reference[[#This Row],[C-Flex 4000K Eco Part Number]],"40-","xx-")</f>
        <v>RP-T8-4FT-2L-8xx-E1-M-G2</v>
      </c>
      <c r="AE99" t="str">
        <f>SUBSTITUTE(Master_Reference[[#This Row],[C-Flex 4000K 3W Part Number]],"40-","xx-")</f>
        <v>RP-T8-4FT-2L-8xx-3W-M-G2</v>
      </c>
      <c r="AF99" s="1" t="str">
        <f>_xlfn.IFNA(VLOOKUP(Master_Reference[[#This Row],[C-Flex 3000K Eco Part Number]],Lutron_CFlex_Lookup[],MATCH("Lutron Kit PN",Lutron_CFlex_Lookup[#Headers],0),FALSE),"")</f>
        <v>ELD4T8-2M30-q</v>
      </c>
      <c r="AG99" s="1" t="str">
        <f>_xlfn.IFNA(VLOOKUP(Master_Reference[[#This Row],[C-Flex 3500K Eco Part Number]],Lutron_CFlex_Lookup[],MATCH("Lutron Kit PN",Lutron_CFlex_Lookup[#Headers],0),FALSE),"")</f>
        <v>ELD4T8-2M35-q</v>
      </c>
      <c r="AH99" s="1" t="str">
        <f>_xlfn.IFNA(VLOOKUP(Master_Reference[[#This Row],[C-Flex 4000K Eco Part Number]],Lutron_CFlex_Lookup[],MATCH("Lutron Kit PN",Lutron_CFlex_Lookup[#Headers],0),FALSE),"")</f>
        <v>ELD4T8-2M40-q</v>
      </c>
      <c r="AI99" s="1" t="str">
        <f>_xlfn.IFNA(VLOOKUP(Master_Reference[[#This Row],[C-Flex 5000K Eco Part Number]],Lutron_CFlex_Lookup[],MATCH("Lutron Kit PN",Lutron_CFlex_Lookup[#Headers],0),FALSE),"")</f>
        <v>ELD4T8-2M50-q</v>
      </c>
      <c r="AJ99" s="1" t="str">
        <f>_xlfn.IFNA(VLOOKUP(Master_Reference[[#This Row],[C-Flex 3000K 3W Part Number]],Lutron_CFlex_Lookup[],MATCH("Lutron Kit PN",Lutron_CFlex_Lookup[#Headers],0),FALSE),"")</f>
        <v>3LD4T8-2M30-q</v>
      </c>
      <c r="AK99" s="1" t="str">
        <f>_xlfn.IFNA(VLOOKUP(Master_Reference[[#This Row],[C-Flex 3500K 3W Part Number]],Lutron_CFlex_Lookup[],MATCH("Lutron Kit PN",Lutron_CFlex_Lookup[#Headers],0),FALSE),"")</f>
        <v>3LD4T8-2M35-q</v>
      </c>
      <c r="AL99" s="1" t="str">
        <f>_xlfn.IFNA(VLOOKUP(Master_Reference[[#This Row],[C-Flex 4000K 3W Part Number]],Lutron_CFlex_Lookup[],MATCH("Lutron Kit PN",Lutron_CFlex_Lookup[#Headers],0),FALSE),"")</f>
        <v>3LD4T8-2M40-q</v>
      </c>
      <c r="AM99" s="1" t="str">
        <f>_xlfn.IFNA(VLOOKUP(Master_Reference[[#This Row],[C-Flex 5000K 3W Part Number]],Lutron_CFlex_Lookup[],MATCH("Lutron Kit PN",Lutron_CFlex_Lookup[#Headers],0),FALSE),"")</f>
        <v>3LD4T8-2M50-q</v>
      </c>
      <c r="AN99" s="1" t="b">
        <f>NOT(ISNA(VLOOKUP(Master_Reference[[#This Row],[Model Number]],ObsoleteModels[],1,FALSE)))</f>
        <v>1</v>
      </c>
      <c r="AO99" s="1" t="str">
        <f>IF(LEFT(Master_Reference[[#This Row],[Model Number]],1)="U",LEFT(Master_Reference[[#This Row],[Model Number]],4),LEFT(Master_Reference[[#This Row],[Model Number]],3))</f>
        <v>EC5</v>
      </c>
    </row>
    <row r="100" spans="1:41" x14ac:dyDescent="0.25">
      <c r="A100" s="2" t="s">
        <v>319</v>
      </c>
      <c r="B100" s="1" t="b">
        <v>1</v>
      </c>
      <c r="C100" s="1" t="b">
        <v>1</v>
      </c>
      <c r="F100" s="1" t="b">
        <v>1</v>
      </c>
      <c r="G100" s="1" t="str">
        <f>IF(OR(LEFT(RIGHT(Master_Reference[[#This Row],[Model Number]],3),1)="C",LEFT(RIGHT(Master_Reference[[#This Row],[Model Number]],4),1)="C"),TRUE,"")</f>
        <v/>
      </c>
      <c r="H100" s="1" t="str">
        <f>IF(LEFT(Master_Reference[[#This Row],[Model Number]],1)="U",TRUE,"")</f>
        <v/>
      </c>
      <c r="I100" s="1" t="b">
        <f>IF(Master_Reference[[#This Row],[Lamp Type]]="T4","",IF(Master_Reference[[#This Row],[Case Type]]="M","",TRUE))</f>
        <v>1</v>
      </c>
      <c r="J100" s="1" t="str">
        <f t="shared" ref="J100:J121" si="2">RIGHT(LEFT(A100,5),2)</f>
        <v>T5</v>
      </c>
      <c r="K100" s="1">
        <v>14</v>
      </c>
      <c r="L100" s="1" t="s">
        <v>112</v>
      </c>
      <c r="M100" s="1">
        <v>1</v>
      </c>
      <c r="N100" s="1">
        <v>120</v>
      </c>
      <c r="O100" s="1" t="s">
        <v>320</v>
      </c>
      <c r="R100" t="b">
        <f>IF(COUNTBLANK(Master_Reference[[#This Row],[C-Flex 3000K Eco Part Number]:[C-Flex 4000K Eco Part Number]])=3,FALSE,TRUE)</f>
        <v>1</v>
      </c>
      <c r="S100" t="b">
        <f>IF(COUNTBLANK(Master_Reference[[#This Row],[C-Flex 3000K 3W Part Number]:[C-Flex 4000K 3W Part Number]])=3,FALSE,TRUE)</f>
        <v>1</v>
      </c>
      <c r="T100" t="b">
        <f>IF(COUNTBLANK(Master_Reference[[#This Row],[Lutron 3000K Eco Part Number]:[Lutron 4000K Eco Part Number]])=3,FALSE,TRUE)</f>
        <v>1</v>
      </c>
      <c r="U100" t="b">
        <f>IF(COUNTBLANK(Master_Reference[[#This Row],[Lutron 3000K 3W Part Number]:[Lutron 4000K 3W Part Number]])=3,FALSE,TRUE)</f>
        <v>1</v>
      </c>
      <c r="V100" s="12" t="s">
        <v>321</v>
      </c>
      <c r="W100" s="12" t="s">
        <v>322</v>
      </c>
      <c r="X100" s="12" t="s">
        <v>323</v>
      </c>
      <c r="Y100" t="s">
        <v>1715</v>
      </c>
      <c r="Z100" s="12" t="s">
        <v>124</v>
      </c>
      <c r="AA100" s="12" t="s">
        <v>125</v>
      </c>
      <c r="AB100" s="12" t="s">
        <v>126</v>
      </c>
      <c r="AC100" t="s">
        <v>1803</v>
      </c>
      <c r="AD100" t="str">
        <f>SUBSTITUTE(Master_Reference[[#This Row],[C-Flex 4000K Eco Part Number]],"40-","xx-")</f>
        <v>RP-T5-2FT-1L-8xx-E1-M-G2</v>
      </c>
      <c r="AE100" t="str">
        <f>SUBSTITUTE(Master_Reference[[#This Row],[C-Flex 4000K 3W Part Number]],"40-","xx-")</f>
        <v>RP-T5-2FT-1L-8xx-3W-M-G2</v>
      </c>
      <c r="AF100" s="1" t="str">
        <f>_xlfn.IFNA(VLOOKUP(Master_Reference[[#This Row],[C-Flex 3000K Eco Part Number]],Lutron_CFlex_Lookup[],MATCH("Lutron Kit PN",Lutron_CFlex_Lookup[#Headers],0),FALSE),"")</f>
        <v>ELD2T5-1M30-q</v>
      </c>
      <c r="AG100" s="1" t="str">
        <f>_xlfn.IFNA(VLOOKUP(Master_Reference[[#This Row],[C-Flex 3500K Eco Part Number]],Lutron_CFlex_Lookup[],MATCH("Lutron Kit PN",Lutron_CFlex_Lookup[#Headers],0),FALSE),"")</f>
        <v>ELD2T5-1M35-q</v>
      </c>
      <c r="AH100" s="1" t="str">
        <f>_xlfn.IFNA(VLOOKUP(Master_Reference[[#This Row],[C-Flex 4000K Eco Part Number]],Lutron_CFlex_Lookup[],MATCH("Lutron Kit PN",Lutron_CFlex_Lookup[#Headers],0),FALSE),"")</f>
        <v>ELD2T5-1M40-q</v>
      </c>
      <c r="AI100" s="1" t="str">
        <f>_xlfn.IFNA(VLOOKUP(Master_Reference[[#This Row],[C-Flex 5000K Eco Part Number]],Lutron_CFlex_Lookup[],MATCH("Lutron Kit PN",Lutron_CFlex_Lookup[#Headers],0),FALSE),"")</f>
        <v>ELD2T5-1M50-q</v>
      </c>
      <c r="AJ100" s="1" t="str">
        <f>_xlfn.IFNA(VLOOKUP(Master_Reference[[#This Row],[C-Flex 3000K 3W Part Number]],Lutron_CFlex_Lookup[],MATCH("Lutron Kit PN",Lutron_CFlex_Lookup[#Headers],0),FALSE),"")</f>
        <v>3LD2T5-1M30-q</v>
      </c>
      <c r="AK100" s="1" t="str">
        <f>_xlfn.IFNA(VLOOKUP(Master_Reference[[#This Row],[C-Flex 3500K 3W Part Number]],Lutron_CFlex_Lookup[],MATCH("Lutron Kit PN",Lutron_CFlex_Lookup[#Headers],0),FALSE),"")</f>
        <v>3LD2T5-1M35-q</v>
      </c>
      <c r="AL100" s="1" t="str">
        <f>_xlfn.IFNA(VLOOKUP(Master_Reference[[#This Row],[C-Flex 4000K 3W Part Number]],Lutron_CFlex_Lookup[],MATCH("Lutron Kit PN",Lutron_CFlex_Lookup[#Headers],0),FALSE),"")</f>
        <v>3LD2T5-1M40-q</v>
      </c>
      <c r="AM100" s="1" t="str">
        <f>_xlfn.IFNA(VLOOKUP(Master_Reference[[#This Row],[C-Flex 5000K 3W Part Number]],Lutron_CFlex_Lookup[],MATCH("Lutron Kit PN",Lutron_CFlex_Lookup[#Headers],0),FALSE),"")</f>
        <v>3LD2T5-1M50-q</v>
      </c>
      <c r="AN100" s="1" t="b">
        <f>NOT(ISNA(VLOOKUP(Master_Reference[[#This Row],[Model Number]],ObsoleteModels[],1,FALSE)))</f>
        <v>1</v>
      </c>
      <c r="AO100" s="1" t="str">
        <f>IF(LEFT(Master_Reference[[#This Row],[Model Number]],1)="U",LEFT(Master_Reference[[#This Row],[Model Number]],4),LEFT(Master_Reference[[#This Row],[Model Number]],3))</f>
        <v>EC5</v>
      </c>
    </row>
    <row r="101" spans="1:41" x14ac:dyDescent="0.25">
      <c r="A101" s="2" t="s">
        <v>324</v>
      </c>
      <c r="B101" s="1" t="b">
        <v>1</v>
      </c>
      <c r="C101" s="1" t="b">
        <v>1</v>
      </c>
      <c r="F101" s="1" t="b">
        <v>1</v>
      </c>
      <c r="G101" s="1" t="str">
        <f>IF(OR(LEFT(RIGHT(Master_Reference[[#This Row],[Model Number]],3),1)="C",LEFT(RIGHT(Master_Reference[[#This Row],[Model Number]],4),1)="C"),TRUE,"")</f>
        <v/>
      </c>
      <c r="H101" s="1" t="str">
        <f>IF(LEFT(Master_Reference[[#This Row],[Model Number]],1)="U",TRUE,"")</f>
        <v/>
      </c>
      <c r="I101" s="1" t="b">
        <f>IF(Master_Reference[[#This Row],[Lamp Type]]="T4","",IF(Master_Reference[[#This Row],[Case Type]]="M","",TRUE))</f>
        <v>1</v>
      </c>
      <c r="J101" s="1" t="str">
        <f t="shared" si="2"/>
        <v>T5</v>
      </c>
      <c r="K101" s="1">
        <v>14</v>
      </c>
      <c r="L101" s="1" t="s">
        <v>112</v>
      </c>
      <c r="M101" s="1">
        <v>2</v>
      </c>
      <c r="N101" s="1">
        <v>120</v>
      </c>
      <c r="O101" s="1" t="s">
        <v>320</v>
      </c>
      <c r="R101" t="b">
        <f>IF(COUNTBLANK(Master_Reference[[#This Row],[C-Flex 3000K Eco Part Number]:[C-Flex 4000K Eco Part Number]])=3,FALSE,TRUE)</f>
        <v>1</v>
      </c>
      <c r="S101" t="b">
        <f>IF(COUNTBLANK(Master_Reference[[#This Row],[C-Flex 3000K 3W Part Number]:[C-Flex 4000K 3W Part Number]])=3,FALSE,TRUE)</f>
        <v>1</v>
      </c>
      <c r="T101" t="b">
        <f>IF(COUNTBLANK(Master_Reference[[#This Row],[Lutron 3000K Eco Part Number]:[Lutron 4000K Eco Part Number]])=3,FALSE,TRUE)</f>
        <v>1</v>
      </c>
      <c r="U101" t="b">
        <f>IF(COUNTBLANK(Master_Reference[[#This Row],[Lutron 3000K 3W Part Number]:[Lutron 4000K 3W Part Number]])=3,FALSE,TRUE)</f>
        <v>1</v>
      </c>
      <c r="V101" s="12" t="s">
        <v>325</v>
      </c>
      <c r="W101" s="12" t="s">
        <v>326</v>
      </c>
      <c r="X101" s="12" t="s">
        <v>327</v>
      </c>
      <c r="Y101" t="s">
        <v>1716</v>
      </c>
      <c r="Z101" s="12" t="s">
        <v>128</v>
      </c>
      <c r="AA101" s="12" t="s">
        <v>129</v>
      </c>
      <c r="AB101" s="12" t="s">
        <v>130</v>
      </c>
      <c r="AC101" t="s">
        <v>1804</v>
      </c>
      <c r="AD101" t="str">
        <f>SUBSTITUTE(Master_Reference[[#This Row],[C-Flex 4000K Eco Part Number]],"40-","xx-")</f>
        <v>RP-T5-2FT-2L-8xx-E1-M-G2</v>
      </c>
      <c r="AE101" t="str">
        <f>SUBSTITUTE(Master_Reference[[#This Row],[C-Flex 4000K 3W Part Number]],"40-","xx-")</f>
        <v>RP-T5-2FT-2L-8xx-3W-M-G2</v>
      </c>
      <c r="AF101" s="1" t="str">
        <f>_xlfn.IFNA(VLOOKUP(Master_Reference[[#This Row],[C-Flex 3000K Eco Part Number]],Lutron_CFlex_Lookup[],MATCH("Lutron Kit PN",Lutron_CFlex_Lookup[#Headers],0),FALSE),"")</f>
        <v>ELD2T5-2M30-q</v>
      </c>
      <c r="AG101" s="1" t="str">
        <f>_xlfn.IFNA(VLOOKUP(Master_Reference[[#This Row],[C-Flex 3500K Eco Part Number]],Lutron_CFlex_Lookup[],MATCH("Lutron Kit PN",Lutron_CFlex_Lookup[#Headers],0),FALSE),"")</f>
        <v>ELD2T5-2M35-q</v>
      </c>
      <c r="AH101" s="1" t="str">
        <f>_xlfn.IFNA(VLOOKUP(Master_Reference[[#This Row],[C-Flex 4000K Eco Part Number]],Lutron_CFlex_Lookup[],MATCH("Lutron Kit PN",Lutron_CFlex_Lookup[#Headers],0),FALSE),"")</f>
        <v>ELD2T5-2M40-q</v>
      </c>
      <c r="AI101" s="1" t="str">
        <f>_xlfn.IFNA(VLOOKUP(Master_Reference[[#This Row],[C-Flex 5000K Eco Part Number]],Lutron_CFlex_Lookup[],MATCH("Lutron Kit PN",Lutron_CFlex_Lookup[#Headers],0),FALSE),"")</f>
        <v>ELD2T5-2M50-q</v>
      </c>
      <c r="AJ101" s="1" t="str">
        <f>_xlfn.IFNA(VLOOKUP(Master_Reference[[#This Row],[C-Flex 3000K 3W Part Number]],Lutron_CFlex_Lookup[],MATCH("Lutron Kit PN",Lutron_CFlex_Lookup[#Headers],0),FALSE),"")</f>
        <v>3LD2T5-2M30-q</v>
      </c>
      <c r="AK101" s="1" t="str">
        <f>_xlfn.IFNA(VLOOKUP(Master_Reference[[#This Row],[C-Flex 3500K 3W Part Number]],Lutron_CFlex_Lookup[],MATCH("Lutron Kit PN",Lutron_CFlex_Lookup[#Headers],0),FALSE),"")</f>
        <v>3LD2T5-2M35-q</v>
      </c>
      <c r="AL101" s="1" t="str">
        <f>_xlfn.IFNA(VLOOKUP(Master_Reference[[#This Row],[C-Flex 4000K 3W Part Number]],Lutron_CFlex_Lookup[],MATCH("Lutron Kit PN",Lutron_CFlex_Lookup[#Headers],0),FALSE),"")</f>
        <v>3LD2T5-2M40-q</v>
      </c>
      <c r="AM101" s="1" t="str">
        <f>_xlfn.IFNA(VLOOKUP(Master_Reference[[#This Row],[C-Flex 5000K 3W Part Number]],Lutron_CFlex_Lookup[],MATCH("Lutron Kit PN",Lutron_CFlex_Lookup[#Headers],0),FALSE),"")</f>
        <v>3LD2T5-2M50-q</v>
      </c>
      <c r="AN101" s="1" t="b">
        <f>NOT(ISNA(VLOOKUP(Master_Reference[[#This Row],[Model Number]],ObsoleteModels[],1,FALSE)))</f>
        <v>1</v>
      </c>
      <c r="AO101" s="1" t="str">
        <f>IF(LEFT(Master_Reference[[#This Row],[Model Number]],1)="U",LEFT(Master_Reference[[#This Row],[Model Number]],4),LEFT(Master_Reference[[#This Row],[Model Number]],3))</f>
        <v>EC5</v>
      </c>
    </row>
    <row r="102" spans="1:41" x14ac:dyDescent="0.25">
      <c r="A102" s="2" t="s">
        <v>328</v>
      </c>
      <c r="B102" s="1" t="b">
        <v>1</v>
      </c>
      <c r="C102" s="1" t="b">
        <v>1</v>
      </c>
      <c r="F102" s="1" t="b">
        <v>1</v>
      </c>
      <c r="G102" s="1" t="str">
        <f>IF(OR(LEFT(RIGHT(Master_Reference[[#This Row],[Model Number]],3),1)="C",LEFT(RIGHT(Master_Reference[[#This Row],[Model Number]],4),1)="C"),TRUE,"")</f>
        <v/>
      </c>
      <c r="H102" s="1" t="str">
        <f>IF(LEFT(Master_Reference[[#This Row],[Model Number]],1)="U",TRUE,"")</f>
        <v/>
      </c>
      <c r="I102" s="1" t="b">
        <f>IF(Master_Reference[[#This Row],[Lamp Type]]="T4","",IF(Master_Reference[[#This Row],[Case Type]]="M","",TRUE))</f>
        <v>1</v>
      </c>
      <c r="J102" s="1" t="str">
        <f t="shared" si="2"/>
        <v>T5</v>
      </c>
      <c r="K102" s="1">
        <v>14</v>
      </c>
      <c r="L102" s="1" t="s">
        <v>112</v>
      </c>
      <c r="M102" s="1">
        <v>1</v>
      </c>
      <c r="N102" s="1">
        <v>277</v>
      </c>
      <c r="O102" s="1" t="s">
        <v>320</v>
      </c>
      <c r="R102" t="b">
        <f>IF(COUNTBLANK(Master_Reference[[#This Row],[C-Flex 3000K Eco Part Number]:[C-Flex 4000K Eco Part Number]])=3,FALSE,TRUE)</f>
        <v>1</v>
      </c>
      <c r="S102" t="b">
        <f>IF(COUNTBLANK(Master_Reference[[#This Row],[C-Flex 3000K 3W Part Number]:[C-Flex 4000K 3W Part Number]])=3,FALSE,TRUE)</f>
        <v>1</v>
      </c>
      <c r="T102" t="b">
        <f>IF(COUNTBLANK(Master_Reference[[#This Row],[Lutron 3000K Eco Part Number]:[Lutron 4000K Eco Part Number]])=3,FALSE,TRUE)</f>
        <v>1</v>
      </c>
      <c r="U102" t="b">
        <f>IF(COUNTBLANK(Master_Reference[[#This Row],[Lutron 3000K 3W Part Number]:[Lutron 4000K 3W Part Number]])=3,FALSE,TRUE)</f>
        <v>1</v>
      </c>
      <c r="V102" s="12" t="s">
        <v>321</v>
      </c>
      <c r="W102" s="12" t="s">
        <v>322</v>
      </c>
      <c r="X102" s="12" t="s">
        <v>323</v>
      </c>
      <c r="Y102" t="s">
        <v>1715</v>
      </c>
      <c r="Z102" s="12" t="s">
        <v>124</v>
      </c>
      <c r="AA102" s="12" t="s">
        <v>125</v>
      </c>
      <c r="AB102" s="12" t="s">
        <v>126</v>
      </c>
      <c r="AC102" t="s">
        <v>1803</v>
      </c>
      <c r="AD102" t="str">
        <f>SUBSTITUTE(Master_Reference[[#This Row],[C-Flex 4000K Eco Part Number]],"40-","xx-")</f>
        <v>RP-T5-2FT-1L-8xx-E1-M-G2</v>
      </c>
      <c r="AE102" t="str">
        <f>SUBSTITUTE(Master_Reference[[#This Row],[C-Flex 4000K 3W Part Number]],"40-","xx-")</f>
        <v>RP-T5-2FT-1L-8xx-3W-M-G2</v>
      </c>
      <c r="AF102" s="1" t="str">
        <f>_xlfn.IFNA(VLOOKUP(Master_Reference[[#This Row],[C-Flex 3000K Eco Part Number]],Lutron_CFlex_Lookup[],MATCH("Lutron Kit PN",Lutron_CFlex_Lookup[#Headers],0),FALSE),"")</f>
        <v>ELD2T5-1M30-q</v>
      </c>
      <c r="AG102" s="1" t="str">
        <f>_xlfn.IFNA(VLOOKUP(Master_Reference[[#This Row],[C-Flex 3500K Eco Part Number]],Lutron_CFlex_Lookup[],MATCH("Lutron Kit PN",Lutron_CFlex_Lookup[#Headers],0),FALSE),"")</f>
        <v>ELD2T5-1M35-q</v>
      </c>
      <c r="AH102" s="1" t="str">
        <f>_xlfn.IFNA(VLOOKUP(Master_Reference[[#This Row],[C-Flex 4000K Eco Part Number]],Lutron_CFlex_Lookup[],MATCH("Lutron Kit PN",Lutron_CFlex_Lookup[#Headers],0),FALSE),"")</f>
        <v>ELD2T5-1M40-q</v>
      </c>
      <c r="AI102" s="1" t="str">
        <f>_xlfn.IFNA(VLOOKUP(Master_Reference[[#This Row],[C-Flex 5000K Eco Part Number]],Lutron_CFlex_Lookup[],MATCH("Lutron Kit PN",Lutron_CFlex_Lookup[#Headers],0),FALSE),"")</f>
        <v>ELD2T5-1M50-q</v>
      </c>
      <c r="AJ102" s="1" t="str">
        <f>_xlfn.IFNA(VLOOKUP(Master_Reference[[#This Row],[C-Flex 3000K 3W Part Number]],Lutron_CFlex_Lookup[],MATCH("Lutron Kit PN",Lutron_CFlex_Lookup[#Headers],0),FALSE),"")</f>
        <v>3LD2T5-1M30-q</v>
      </c>
      <c r="AK102" s="1" t="str">
        <f>_xlfn.IFNA(VLOOKUP(Master_Reference[[#This Row],[C-Flex 3500K 3W Part Number]],Lutron_CFlex_Lookup[],MATCH("Lutron Kit PN",Lutron_CFlex_Lookup[#Headers],0),FALSE),"")</f>
        <v>3LD2T5-1M35-q</v>
      </c>
      <c r="AL102" s="1" t="str">
        <f>_xlfn.IFNA(VLOOKUP(Master_Reference[[#This Row],[C-Flex 4000K 3W Part Number]],Lutron_CFlex_Lookup[],MATCH("Lutron Kit PN",Lutron_CFlex_Lookup[#Headers],0),FALSE),"")</f>
        <v>3LD2T5-1M40-q</v>
      </c>
      <c r="AM102" s="1" t="str">
        <f>_xlfn.IFNA(VLOOKUP(Master_Reference[[#This Row],[C-Flex 5000K 3W Part Number]],Lutron_CFlex_Lookup[],MATCH("Lutron Kit PN",Lutron_CFlex_Lookup[#Headers],0),FALSE),"")</f>
        <v>3LD2T5-1M50-q</v>
      </c>
      <c r="AN102" s="1" t="b">
        <f>NOT(ISNA(VLOOKUP(Master_Reference[[#This Row],[Model Number]],ObsoleteModels[],1,FALSE)))</f>
        <v>1</v>
      </c>
      <c r="AO102" s="1" t="str">
        <f>IF(LEFT(Master_Reference[[#This Row],[Model Number]],1)="U",LEFT(Master_Reference[[#This Row],[Model Number]],4),LEFT(Master_Reference[[#This Row],[Model Number]],3))</f>
        <v>EC5</v>
      </c>
    </row>
    <row r="103" spans="1:41" x14ac:dyDescent="0.25">
      <c r="A103" s="2" t="s">
        <v>329</v>
      </c>
      <c r="B103" s="1" t="b">
        <v>1</v>
      </c>
      <c r="C103" s="1" t="b">
        <v>1</v>
      </c>
      <c r="F103" s="1" t="b">
        <v>1</v>
      </c>
      <c r="G103" s="1" t="str">
        <f>IF(OR(LEFT(RIGHT(Master_Reference[[#This Row],[Model Number]],3),1)="C",LEFT(RIGHT(Master_Reference[[#This Row],[Model Number]],4),1)="C"),TRUE,"")</f>
        <v/>
      </c>
      <c r="H103" s="1" t="str">
        <f>IF(LEFT(Master_Reference[[#This Row],[Model Number]],1)="U",TRUE,"")</f>
        <v/>
      </c>
      <c r="I103" s="1" t="b">
        <f>IF(Master_Reference[[#This Row],[Lamp Type]]="T4","",IF(Master_Reference[[#This Row],[Case Type]]="M","",TRUE))</f>
        <v>1</v>
      </c>
      <c r="J103" s="1" t="str">
        <f t="shared" si="2"/>
        <v>T5</v>
      </c>
      <c r="K103" s="1">
        <v>14</v>
      </c>
      <c r="L103" s="1" t="s">
        <v>112</v>
      </c>
      <c r="M103" s="1">
        <v>2</v>
      </c>
      <c r="N103" s="1">
        <v>277</v>
      </c>
      <c r="O103" s="1" t="s">
        <v>320</v>
      </c>
      <c r="R103" t="b">
        <f>IF(COUNTBLANK(Master_Reference[[#This Row],[C-Flex 3000K Eco Part Number]:[C-Flex 4000K Eco Part Number]])=3,FALSE,TRUE)</f>
        <v>1</v>
      </c>
      <c r="S103" t="b">
        <f>IF(COUNTBLANK(Master_Reference[[#This Row],[C-Flex 3000K 3W Part Number]:[C-Flex 4000K 3W Part Number]])=3,FALSE,TRUE)</f>
        <v>1</v>
      </c>
      <c r="T103" t="b">
        <f>IF(COUNTBLANK(Master_Reference[[#This Row],[Lutron 3000K Eco Part Number]:[Lutron 4000K Eco Part Number]])=3,FALSE,TRUE)</f>
        <v>1</v>
      </c>
      <c r="U103" t="b">
        <f>IF(COUNTBLANK(Master_Reference[[#This Row],[Lutron 3000K 3W Part Number]:[Lutron 4000K 3W Part Number]])=3,FALSE,TRUE)</f>
        <v>1</v>
      </c>
      <c r="V103" s="12" t="s">
        <v>325</v>
      </c>
      <c r="W103" s="12" t="s">
        <v>326</v>
      </c>
      <c r="X103" s="12" t="s">
        <v>327</v>
      </c>
      <c r="Y103" t="s">
        <v>1716</v>
      </c>
      <c r="Z103" s="12" t="s">
        <v>128</v>
      </c>
      <c r="AA103" s="12" t="s">
        <v>129</v>
      </c>
      <c r="AB103" s="12" t="s">
        <v>130</v>
      </c>
      <c r="AC103" t="s">
        <v>1804</v>
      </c>
      <c r="AD103" t="str">
        <f>SUBSTITUTE(Master_Reference[[#This Row],[C-Flex 4000K Eco Part Number]],"40-","xx-")</f>
        <v>RP-T5-2FT-2L-8xx-E1-M-G2</v>
      </c>
      <c r="AE103" t="str">
        <f>SUBSTITUTE(Master_Reference[[#This Row],[C-Flex 4000K 3W Part Number]],"40-","xx-")</f>
        <v>RP-T5-2FT-2L-8xx-3W-M-G2</v>
      </c>
      <c r="AF103" s="1" t="str">
        <f>_xlfn.IFNA(VLOOKUP(Master_Reference[[#This Row],[C-Flex 3000K Eco Part Number]],Lutron_CFlex_Lookup[],MATCH("Lutron Kit PN",Lutron_CFlex_Lookup[#Headers],0),FALSE),"")</f>
        <v>ELD2T5-2M30-q</v>
      </c>
      <c r="AG103" s="1" t="str">
        <f>_xlfn.IFNA(VLOOKUP(Master_Reference[[#This Row],[C-Flex 3500K Eco Part Number]],Lutron_CFlex_Lookup[],MATCH("Lutron Kit PN",Lutron_CFlex_Lookup[#Headers],0),FALSE),"")</f>
        <v>ELD2T5-2M35-q</v>
      </c>
      <c r="AH103" s="1" t="str">
        <f>_xlfn.IFNA(VLOOKUP(Master_Reference[[#This Row],[C-Flex 4000K Eco Part Number]],Lutron_CFlex_Lookup[],MATCH("Lutron Kit PN",Lutron_CFlex_Lookup[#Headers],0),FALSE),"")</f>
        <v>ELD2T5-2M40-q</v>
      </c>
      <c r="AI103" s="1" t="str">
        <f>_xlfn.IFNA(VLOOKUP(Master_Reference[[#This Row],[C-Flex 5000K Eco Part Number]],Lutron_CFlex_Lookup[],MATCH("Lutron Kit PN",Lutron_CFlex_Lookup[#Headers],0),FALSE),"")</f>
        <v>ELD2T5-2M50-q</v>
      </c>
      <c r="AJ103" s="1" t="str">
        <f>_xlfn.IFNA(VLOOKUP(Master_Reference[[#This Row],[C-Flex 3000K 3W Part Number]],Lutron_CFlex_Lookup[],MATCH("Lutron Kit PN",Lutron_CFlex_Lookup[#Headers],0),FALSE),"")</f>
        <v>3LD2T5-2M30-q</v>
      </c>
      <c r="AK103" s="1" t="str">
        <f>_xlfn.IFNA(VLOOKUP(Master_Reference[[#This Row],[C-Flex 3500K 3W Part Number]],Lutron_CFlex_Lookup[],MATCH("Lutron Kit PN",Lutron_CFlex_Lookup[#Headers],0),FALSE),"")</f>
        <v>3LD2T5-2M35-q</v>
      </c>
      <c r="AL103" s="1" t="str">
        <f>_xlfn.IFNA(VLOOKUP(Master_Reference[[#This Row],[C-Flex 4000K 3W Part Number]],Lutron_CFlex_Lookup[],MATCH("Lutron Kit PN",Lutron_CFlex_Lookup[#Headers],0),FALSE),"")</f>
        <v>3LD2T5-2M40-q</v>
      </c>
      <c r="AM103" s="1" t="str">
        <f>_xlfn.IFNA(VLOOKUP(Master_Reference[[#This Row],[C-Flex 5000K 3W Part Number]],Lutron_CFlex_Lookup[],MATCH("Lutron Kit PN",Lutron_CFlex_Lookup[#Headers],0),FALSE),"")</f>
        <v>3LD2T5-2M50-q</v>
      </c>
      <c r="AN103" s="1" t="b">
        <f>NOT(ISNA(VLOOKUP(Master_Reference[[#This Row],[Model Number]],ObsoleteModels[],1,FALSE)))</f>
        <v>1</v>
      </c>
      <c r="AO103" s="1" t="str">
        <f>IF(LEFT(Master_Reference[[#This Row],[Model Number]],1)="U",LEFT(Master_Reference[[#This Row],[Model Number]],4),LEFT(Master_Reference[[#This Row],[Model Number]],3))</f>
        <v>EC5</v>
      </c>
    </row>
    <row r="104" spans="1:41" x14ac:dyDescent="0.25">
      <c r="A104" s="2" t="s">
        <v>330</v>
      </c>
      <c r="B104" s="1" t="b">
        <v>1</v>
      </c>
      <c r="C104" s="1" t="b">
        <v>1</v>
      </c>
      <c r="F104" s="1" t="b">
        <v>1</v>
      </c>
      <c r="G104" s="1" t="str">
        <f>IF(OR(LEFT(RIGHT(Master_Reference[[#This Row],[Model Number]],3),1)="C",LEFT(RIGHT(Master_Reference[[#This Row],[Model Number]],4),1)="C"),TRUE,"")</f>
        <v/>
      </c>
      <c r="H104" s="1" t="str">
        <f>IF(LEFT(Master_Reference[[#This Row],[Model Number]],1)="U",TRUE,"")</f>
        <v/>
      </c>
      <c r="I104" s="1" t="b">
        <f>IF(Master_Reference[[#This Row],[Lamp Type]]="T4","",IF(Master_Reference[[#This Row],[Case Type]]="M","",TRUE))</f>
        <v>1</v>
      </c>
      <c r="J104" s="1" t="str">
        <f t="shared" si="2"/>
        <v>T5</v>
      </c>
      <c r="K104" s="1">
        <v>14</v>
      </c>
      <c r="L104" s="1" t="s">
        <v>112</v>
      </c>
      <c r="M104" s="1">
        <v>1</v>
      </c>
      <c r="N104" s="1" t="s">
        <v>149</v>
      </c>
      <c r="O104" s="1" t="s">
        <v>320</v>
      </c>
      <c r="R104" t="b">
        <f>IF(COUNTBLANK(Master_Reference[[#This Row],[C-Flex 3000K Eco Part Number]:[C-Flex 4000K Eco Part Number]])=3,FALSE,TRUE)</f>
        <v>1</v>
      </c>
      <c r="S104" t="b">
        <f>IF(COUNTBLANK(Master_Reference[[#This Row],[C-Flex 3000K 3W Part Number]:[C-Flex 4000K 3W Part Number]])=3,FALSE,TRUE)</f>
        <v>1</v>
      </c>
      <c r="T104" t="b">
        <f>IF(COUNTBLANK(Master_Reference[[#This Row],[Lutron 3000K Eco Part Number]:[Lutron 4000K Eco Part Number]])=3,FALSE,TRUE)</f>
        <v>1</v>
      </c>
      <c r="U104" t="b">
        <f>IF(COUNTBLANK(Master_Reference[[#This Row],[Lutron 3000K 3W Part Number]:[Lutron 4000K 3W Part Number]])=3,FALSE,TRUE)</f>
        <v>1</v>
      </c>
      <c r="V104" s="12" t="s">
        <v>321</v>
      </c>
      <c r="W104" s="12" t="s">
        <v>322</v>
      </c>
      <c r="X104" s="12" t="s">
        <v>323</v>
      </c>
      <c r="Y104" t="s">
        <v>1715</v>
      </c>
      <c r="Z104" s="12" t="s">
        <v>124</v>
      </c>
      <c r="AA104" s="12" t="s">
        <v>125</v>
      </c>
      <c r="AB104" s="12" t="s">
        <v>126</v>
      </c>
      <c r="AC104" t="s">
        <v>1803</v>
      </c>
      <c r="AD104" t="str">
        <f>SUBSTITUTE(Master_Reference[[#This Row],[C-Flex 4000K Eco Part Number]],"40-","xx-")</f>
        <v>RP-T5-2FT-1L-8xx-E1-M-G2</v>
      </c>
      <c r="AE104" t="str">
        <f>SUBSTITUTE(Master_Reference[[#This Row],[C-Flex 4000K 3W Part Number]],"40-","xx-")</f>
        <v>RP-T5-2FT-1L-8xx-3W-M-G2</v>
      </c>
      <c r="AF104" s="1" t="str">
        <f>_xlfn.IFNA(VLOOKUP(Master_Reference[[#This Row],[C-Flex 3000K Eco Part Number]],Lutron_CFlex_Lookup[],MATCH("Lutron Kit PN",Lutron_CFlex_Lookup[#Headers],0),FALSE),"")</f>
        <v>ELD2T5-1M30-q</v>
      </c>
      <c r="AG104" s="1" t="str">
        <f>_xlfn.IFNA(VLOOKUP(Master_Reference[[#This Row],[C-Flex 3500K Eco Part Number]],Lutron_CFlex_Lookup[],MATCH("Lutron Kit PN",Lutron_CFlex_Lookup[#Headers],0),FALSE),"")</f>
        <v>ELD2T5-1M35-q</v>
      </c>
      <c r="AH104" s="1" t="str">
        <f>_xlfn.IFNA(VLOOKUP(Master_Reference[[#This Row],[C-Flex 4000K Eco Part Number]],Lutron_CFlex_Lookup[],MATCH("Lutron Kit PN",Lutron_CFlex_Lookup[#Headers],0),FALSE),"")</f>
        <v>ELD2T5-1M40-q</v>
      </c>
      <c r="AI104" s="1" t="str">
        <f>_xlfn.IFNA(VLOOKUP(Master_Reference[[#This Row],[C-Flex 5000K Eco Part Number]],Lutron_CFlex_Lookup[],MATCH("Lutron Kit PN",Lutron_CFlex_Lookup[#Headers],0),FALSE),"")</f>
        <v>ELD2T5-1M50-q</v>
      </c>
      <c r="AJ104" s="1" t="str">
        <f>_xlfn.IFNA(VLOOKUP(Master_Reference[[#This Row],[C-Flex 3000K 3W Part Number]],Lutron_CFlex_Lookup[],MATCH("Lutron Kit PN",Lutron_CFlex_Lookup[#Headers],0),FALSE),"")</f>
        <v>3LD2T5-1M30-q</v>
      </c>
      <c r="AK104" s="1" t="str">
        <f>_xlfn.IFNA(VLOOKUP(Master_Reference[[#This Row],[C-Flex 3500K 3W Part Number]],Lutron_CFlex_Lookup[],MATCH("Lutron Kit PN",Lutron_CFlex_Lookup[#Headers],0),FALSE),"")</f>
        <v>3LD2T5-1M35-q</v>
      </c>
      <c r="AL104" s="1" t="str">
        <f>_xlfn.IFNA(VLOOKUP(Master_Reference[[#This Row],[C-Flex 4000K 3W Part Number]],Lutron_CFlex_Lookup[],MATCH("Lutron Kit PN",Lutron_CFlex_Lookup[#Headers],0),FALSE),"")</f>
        <v>3LD2T5-1M40-q</v>
      </c>
      <c r="AM104" s="1" t="str">
        <f>_xlfn.IFNA(VLOOKUP(Master_Reference[[#This Row],[C-Flex 5000K 3W Part Number]],Lutron_CFlex_Lookup[],MATCH("Lutron Kit PN",Lutron_CFlex_Lookup[#Headers],0),FALSE),"")</f>
        <v>3LD2T5-1M50-q</v>
      </c>
      <c r="AN104" s="1" t="b">
        <f>NOT(ISNA(VLOOKUP(Master_Reference[[#This Row],[Model Number]],ObsoleteModels[],1,FALSE)))</f>
        <v>0</v>
      </c>
      <c r="AO104" s="1" t="str">
        <f>IF(LEFT(Master_Reference[[#This Row],[Model Number]],1)="U",LEFT(Master_Reference[[#This Row],[Model Number]],4),LEFT(Master_Reference[[#This Row],[Model Number]],3))</f>
        <v>EC5</v>
      </c>
    </row>
    <row r="105" spans="1:41" x14ac:dyDescent="0.25">
      <c r="A105" s="2" t="s">
        <v>331</v>
      </c>
      <c r="B105" s="1" t="b">
        <v>1</v>
      </c>
      <c r="C105" s="1" t="b">
        <v>1</v>
      </c>
      <c r="F105" s="1" t="b">
        <v>1</v>
      </c>
      <c r="G105" s="1" t="b">
        <f>IF(OR(LEFT(RIGHT(Master_Reference[[#This Row],[Model Number]],3),1)="C",LEFT(RIGHT(Master_Reference[[#This Row],[Model Number]],4),1)="C"),TRUE,"")</f>
        <v>1</v>
      </c>
      <c r="H105" s="1" t="str">
        <f>IF(LEFT(Master_Reference[[#This Row],[Model Number]],1)="U",TRUE,"")</f>
        <v/>
      </c>
      <c r="I105" s="1" t="b">
        <f>IF(Master_Reference[[#This Row],[Lamp Type]]="T4","",IF(Master_Reference[[#This Row],[Case Type]]="M","",TRUE))</f>
        <v>1</v>
      </c>
      <c r="J105" s="1" t="str">
        <f t="shared" si="2"/>
        <v>T5</v>
      </c>
      <c r="K105" s="1">
        <v>14</v>
      </c>
      <c r="L105" s="1" t="s">
        <v>112</v>
      </c>
      <c r="M105" s="1">
        <v>1</v>
      </c>
      <c r="N105" s="1" t="s">
        <v>149</v>
      </c>
      <c r="O105" s="1" t="s">
        <v>320</v>
      </c>
      <c r="R105" t="b">
        <f>IF(COUNTBLANK(Master_Reference[[#This Row],[C-Flex 3000K Eco Part Number]:[C-Flex 4000K Eco Part Number]])=3,FALSE,TRUE)</f>
        <v>1</v>
      </c>
      <c r="S105" t="b">
        <f>IF(COUNTBLANK(Master_Reference[[#This Row],[C-Flex 3000K 3W Part Number]:[C-Flex 4000K 3W Part Number]])=3,FALSE,TRUE)</f>
        <v>1</v>
      </c>
      <c r="T105" t="b">
        <f>IF(COUNTBLANK(Master_Reference[[#This Row],[Lutron 3000K Eco Part Number]:[Lutron 4000K Eco Part Number]])=3,FALSE,TRUE)</f>
        <v>1</v>
      </c>
      <c r="U105" t="b">
        <f>IF(COUNTBLANK(Master_Reference[[#This Row],[Lutron 3000K 3W Part Number]:[Lutron 4000K 3W Part Number]])=3,FALSE,TRUE)</f>
        <v>1</v>
      </c>
      <c r="V105" s="12" t="s">
        <v>321</v>
      </c>
      <c r="W105" s="12" t="s">
        <v>322</v>
      </c>
      <c r="X105" s="12" t="s">
        <v>323</v>
      </c>
      <c r="Y105" t="s">
        <v>1715</v>
      </c>
      <c r="Z105" s="12" t="s">
        <v>124</v>
      </c>
      <c r="AA105" s="12" t="s">
        <v>125</v>
      </c>
      <c r="AB105" s="12" t="s">
        <v>126</v>
      </c>
      <c r="AC105" t="s">
        <v>1803</v>
      </c>
      <c r="AD105" t="str">
        <f>SUBSTITUTE(Master_Reference[[#This Row],[C-Flex 4000K Eco Part Number]],"40-","xx-")</f>
        <v>RP-T5-2FT-1L-8xx-E1-M-G2</v>
      </c>
      <c r="AE105" t="str">
        <f>SUBSTITUTE(Master_Reference[[#This Row],[C-Flex 4000K 3W Part Number]],"40-","xx-")</f>
        <v>RP-T5-2FT-1L-8xx-3W-M-G2</v>
      </c>
      <c r="AF105" s="1" t="str">
        <f>_xlfn.IFNA(VLOOKUP(Master_Reference[[#This Row],[C-Flex 3000K Eco Part Number]],Lutron_CFlex_Lookup[],MATCH("Lutron Kit PN",Lutron_CFlex_Lookup[#Headers],0),FALSE),"")</f>
        <v>ELD2T5-1M30-q</v>
      </c>
      <c r="AG105" s="1" t="str">
        <f>_xlfn.IFNA(VLOOKUP(Master_Reference[[#This Row],[C-Flex 3500K Eco Part Number]],Lutron_CFlex_Lookup[],MATCH("Lutron Kit PN",Lutron_CFlex_Lookup[#Headers],0),FALSE),"")</f>
        <v>ELD2T5-1M35-q</v>
      </c>
      <c r="AH105" s="1" t="str">
        <f>_xlfn.IFNA(VLOOKUP(Master_Reference[[#This Row],[C-Flex 4000K Eco Part Number]],Lutron_CFlex_Lookup[],MATCH("Lutron Kit PN",Lutron_CFlex_Lookup[#Headers],0),FALSE),"")</f>
        <v>ELD2T5-1M40-q</v>
      </c>
      <c r="AI105" s="1" t="str">
        <f>_xlfn.IFNA(VLOOKUP(Master_Reference[[#This Row],[C-Flex 5000K Eco Part Number]],Lutron_CFlex_Lookup[],MATCH("Lutron Kit PN",Lutron_CFlex_Lookup[#Headers],0),FALSE),"")</f>
        <v>ELD2T5-1M50-q</v>
      </c>
      <c r="AJ105" s="1" t="str">
        <f>_xlfn.IFNA(VLOOKUP(Master_Reference[[#This Row],[C-Flex 3000K 3W Part Number]],Lutron_CFlex_Lookup[],MATCH("Lutron Kit PN",Lutron_CFlex_Lookup[#Headers],0),FALSE),"")</f>
        <v>3LD2T5-1M30-q</v>
      </c>
      <c r="AK105" s="1" t="str">
        <f>_xlfn.IFNA(VLOOKUP(Master_Reference[[#This Row],[C-Flex 3500K 3W Part Number]],Lutron_CFlex_Lookup[],MATCH("Lutron Kit PN",Lutron_CFlex_Lookup[#Headers],0),FALSE),"")</f>
        <v>3LD2T5-1M35-q</v>
      </c>
      <c r="AL105" s="1" t="str">
        <f>_xlfn.IFNA(VLOOKUP(Master_Reference[[#This Row],[C-Flex 4000K 3W Part Number]],Lutron_CFlex_Lookup[],MATCH("Lutron Kit PN",Lutron_CFlex_Lookup[#Headers],0),FALSE),"")</f>
        <v>3LD2T5-1M40-q</v>
      </c>
      <c r="AM105" s="1" t="str">
        <f>_xlfn.IFNA(VLOOKUP(Master_Reference[[#This Row],[C-Flex 5000K 3W Part Number]],Lutron_CFlex_Lookup[],MATCH("Lutron Kit PN",Lutron_CFlex_Lookup[#Headers],0),FALSE),"")</f>
        <v>3LD2T5-1M50-q</v>
      </c>
      <c r="AN105" s="1" t="b">
        <f>NOT(ISNA(VLOOKUP(Master_Reference[[#This Row],[Model Number]],ObsoleteModels[],1,FALSE)))</f>
        <v>1</v>
      </c>
      <c r="AO105" s="1" t="str">
        <f>IF(LEFT(Master_Reference[[#This Row],[Model Number]],1)="U",LEFT(Master_Reference[[#This Row],[Model Number]],4),LEFT(Master_Reference[[#This Row],[Model Number]],3))</f>
        <v>EC5</v>
      </c>
    </row>
    <row r="106" spans="1:41" x14ac:dyDescent="0.25">
      <c r="A106" s="2" t="s">
        <v>332</v>
      </c>
      <c r="B106" s="1" t="b">
        <v>1</v>
      </c>
      <c r="C106" s="1" t="b">
        <v>1</v>
      </c>
      <c r="F106" s="1" t="b">
        <v>1</v>
      </c>
      <c r="G106" s="1" t="str">
        <f>IF(OR(LEFT(RIGHT(Master_Reference[[#This Row],[Model Number]],3),1)="C",LEFT(RIGHT(Master_Reference[[#This Row],[Model Number]],4),1)="C"),TRUE,"")</f>
        <v/>
      </c>
      <c r="H106" s="1" t="str">
        <f>IF(LEFT(Master_Reference[[#This Row],[Model Number]],1)="U",TRUE,"")</f>
        <v/>
      </c>
      <c r="I106" s="1" t="b">
        <f>IF(Master_Reference[[#This Row],[Lamp Type]]="T4","",IF(Master_Reference[[#This Row],[Case Type]]="M","",TRUE))</f>
        <v>1</v>
      </c>
      <c r="J106" s="1" t="str">
        <f t="shared" si="2"/>
        <v>T5</v>
      </c>
      <c r="K106" s="1">
        <v>14</v>
      </c>
      <c r="L106" s="1" t="s">
        <v>112</v>
      </c>
      <c r="M106" s="1">
        <v>1</v>
      </c>
      <c r="N106" s="1" t="s">
        <v>149</v>
      </c>
      <c r="O106" s="1" t="s">
        <v>320</v>
      </c>
      <c r="Q106" s="1" t="s">
        <v>91</v>
      </c>
      <c r="R106" t="b">
        <f>IF(COUNTBLANK(Master_Reference[[#This Row],[C-Flex 3000K Eco Part Number]:[C-Flex 4000K Eco Part Number]])=3,FALSE,TRUE)</f>
        <v>0</v>
      </c>
      <c r="S106" t="b">
        <f>IF(COUNTBLANK(Master_Reference[[#This Row],[C-Flex 3000K 3W Part Number]:[C-Flex 4000K 3W Part Number]])=3,FALSE,TRUE)</f>
        <v>0</v>
      </c>
      <c r="T106" t="b">
        <f>IF(COUNTBLANK(Master_Reference[[#This Row],[Lutron 3000K Eco Part Number]:[Lutron 4000K Eco Part Number]])=3,FALSE,TRUE)</f>
        <v>0</v>
      </c>
      <c r="U106" t="b">
        <f>IF(COUNTBLANK(Master_Reference[[#This Row],[Lutron 3000K 3W Part Number]:[Lutron 4000K 3W Part Number]])=3,FALSE,TRUE)</f>
        <v>0</v>
      </c>
      <c r="V106" s="12"/>
      <c r="W106" s="12"/>
      <c r="X106" s="12"/>
      <c r="Y106" t="s">
        <v>2125</v>
      </c>
      <c r="Z106" s="12"/>
      <c r="AA106" s="12"/>
      <c r="AB106" s="12"/>
      <c r="AC106" t="s">
        <v>2125</v>
      </c>
      <c r="AD106" t="str">
        <f>SUBSTITUTE(Master_Reference[[#This Row],[C-Flex 4000K Eco Part Number]],"40-","xx-")</f>
        <v/>
      </c>
      <c r="AE106" t="str">
        <f>SUBSTITUTE(Master_Reference[[#This Row],[C-Flex 4000K 3W Part Number]],"40-","xx-")</f>
        <v/>
      </c>
      <c r="AF106" s="1" t="str">
        <f>_xlfn.IFNA(VLOOKUP(Master_Reference[[#This Row],[C-Flex 3000K Eco Part Number]],Lutron_CFlex_Lookup[],MATCH("Lutron Kit PN",Lutron_CFlex_Lookup[#Headers],0),FALSE),"")</f>
        <v/>
      </c>
      <c r="AG106" s="1" t="str">
        <f>_xlfn.IFNA(VLOOKUP(Master_Reference[[#This Row],[C-Flex 3500K Eco Part Number]],Lutron_CFlex_Lookup[],MATCH("Lutron Kit PN",Lutron_CFlex_Lookup[#Headers],0),FALSE),"")</f>
        <v/>
      </c>
      <c r="AH106" s="1" t="str">
        <f>_xlfn.IFNA(VLOOKUP(Master_Reference[[#This Row],[C-Flex 4000K Eco Part Number]],Lutron_CFlex_Lookup[],MATCH("Lutron Kit PN",Lutron_CFlex_Lookup[#Headers],0),FALSE),"")</f>
        <v/>
      </c>
      <c r="AI106" s="1" t="str">
        <f>_xlfn.IFNA(VLOOKUP(Master_Reference[[#This Row],[C-Flex 5000K Eco Part Number]],Lutron_CFlex_Lookup[],MATCH("Lutron Kit PN",Lutron_CFlex_Lookup[#Headers],0),FALSE),"")</f>
        <v/>
      </c>
      <c r="AJ106" s="1" t="str">
        <f>_xlfn.IFNA(VLOOKUP(Master_Reference[[#This Row],[C-Flex 3000K 3W Part Number]],Lutron_CFlex_Lookup[],MATCH("Lutron Kit PN",Lutron_CFlex_Lookup[#Headers],0),FALSE),"")</f>
        <v/>
      </c>
      <c r="AK106" s="1" t="str">
        <f>_xlfn.IFNA(VLOOKUP(Master_Reference[[#This Row],[C-Flex 3500K 3W Part Number]],Lutron_CFlex_Lookup[],MATCH("Lutron Kit PN",Lutron_CFlex_Lookup[#Headers],0),FALSE),"")</f>
        <v/>
      </c>
      <c r="AL106" s="1" t="str">
        <f>_xlfn.IFNA(VLOOKUP(Master_Reference[[#This Row],[C-Flex 4000K 3W Part Number]],Lutron_CFlex_Lookup[],MATCH("Lutron Kit PN",Lutron_CFlex_Lookup[#Headers],0),FALSE),"")</f>
        <v/>
      </c>
      <c r="AM106" s="1" t="str">
        <f>_xlfn.IFNA(VLOOKUP(Master_Reference[[#This Row],[C-Flex 5000K 3W Part Number]],Lutron_CFlex_Lookup[],MATCH("Lutron Kit PN",Lutron_CFlex_Lookup[#Headers],0),FALSE),"")</f>
        <v/>
      </c>
      <c r="AN106" s="1" t="b">
        <f>NOT(ISNA(VLOOKUP(Master_Reference[[#This Row],[Model Number]],ObsoleteModels[],1,FALSE)))</f>
        <v>0</v>
      </c>
      <c r="AO106" s="1" t="str">
        <f>IF(LEFT(Master_Reference[[#This Row],[Model Number]],1)="U",LEFT(Master_Reference[[#This Row],[Model Number]],4),LEFT(Master_Reference[[#This Row],[Model Number]],3))</f>
        <v>EC5</v>
      </c>
    </row>
    <row r="107" spans="1:41" x14ac:dyDescent="0.25">
      <c r="A107" s="2" t="s">
        <v>333</v>
      </c>
      <c r="B107" s="1" t="b">
        <v>1</v>
      </c>
      <c r="C107" s="1" t="b">
        <v>1</v>
      </c>
      <c r="F107" s="1" t="b">
        <v>1</v>
      </c>
      <c r="G107" s="1" t="str">
        <f>IF(OR(LEFT(RIGHT(Master_Reference[[#This Row],[Model Number]],3),1)="C",LEFT(RIGHT(Master_Reference[[#This Row],[Model Number]],4),1)="C"),TRUE,"")</f>
        <v/>
      </c>
      <c r="H107" s="1" t="str">
        <f>IF(LEFT(Master_Reference[[#This Row],[Model Number]],1)="U",TRUE,"")</f>
        <v/>
      </c>
      <c r="I107" s="1" t="b">
        <f>IF(Master_Reference[[#This Row],[Lamp Type]]="T4","",IF(Master_Reference[[#This Row],[Case Type]]="M","",TRUE))</f>
        <v>1</v>
      </c>
      <c r="J107" s="1" t="str">
        <f t="shared" si="2"/>
        <v>T5</v>
      </c>
      <c r="K107" s="1">
        <v>14</v>
      </c>
      <c r="L107" s="1" t="s">
        <v>112</v>
      </c>
      <c r="M107" s="1">
        <v>2</v>
      </c>
      <c r="N107" s="1" t="s">
        <v>149</v>
      </c>
      <c r="O107" s="1" t="s">
        <v>320</v>
      </c>
      <c r="R107" t="b">
        <f>IF(COUNTBLANK(Master_Reference[[#This Row],[C-Flex 3000K Eco Part Number]:[C-Flex 4000K Eco Part Number]])=3,FALSE,TRUE)</f>
        <v>1</v>
      </c>
      <c r="S107" t="b">
        <f>IF(COUNTBLANK(Master_Reference[[#This Row],[C-Flex 3000K 3W Part Number]:[C-Flex 4000K 3W Part Number]])=3,FALSE,TRUE)</f>
        <v>1</v>
      </c>
      <c r="T107" t="b">
        <f>IF(COUNTBLANK(Master_Reference[[#This Row],[Lutron 3000K Eco Part Number]:[Lutron 4000K Eco Part Number]])=3,FALSE,TRUE)</f>
        <v>1</v>
      </c>
      <c r="U107" t="b">
        <f>IF(COUNTBLANK(Master_Reference[[#This Row],[Lutron 3000K 3W Part Number]:[Lutron 4000K 3W Part Number]])=3,FALSE,TRUE)</f>
        <v>1</v>
      </c>
      <c r="V107" s="12" t="s">
        <v>325</v>
      </c>
      <c r="W107" s="12" t="s">
        <v>326</v>
      </c>
      <c r="X107" s="12" t="s">
        <v>327</v>
      </c>
      <c r="Y107" t="s">
        <v>1716</v>
      </c>
      <c r="Z107" s="12" t="s">
        <v>128</v>
      </c>
      <c r="AA107" s="12" t="s">
        <v>129</v>
      </c>
      <c r="AB107" s="12" t="s">
        <v>130</v>
      </c>
      <c r="AC107" t="s">
        <v>1804</v>
      </c>
      <c r="AD107" t="str">
        <f>SUBSTITUTE(Master_Reference[[#This Row],[C-Flex 4000K Eco Part Number]],"40-","xx-")</f>
        <v>RP-T5-2FT-2L-8xx-E1-M-G2</v>
      </c>
      <c r="AE107" t="str">
        <f>SUBSTITUTE(Master_Reference[[#This Row],[C-Flex 4000K 3W Part Number]],"40-","xx-")</f>
        <v>RP-T5-2FT-2L-8xx-3W-M-G2</v>
      </c>
      <c r="AF107" s="1" t="str">
        <f>_xlfn.IFNA(VLOOKUP(Master_Reference[[#This Row],[C-Flex 3000K Eco Part Number]],Lutron_CFlex_Lookup[],MATCH("Lutron Kit PN",Lutron_CFlex_Lookup[#Headers],0),FALSE),"")</f>
        <v>ELD2T5-2M30-q</v>
      </c>
      <c r="AG107" s="1" t="str">
        <f>_xlfn.IFNA(VLOOKUP(Master_Reference[[#This Row],[C-Flex 3500K Eco Part Number]],Lutron_CFlex_Lookup[],MATCH("Lutron Kit PN",Lutron_CFlex_Lookup[#Headers],0),FALSE),"")</f>
        <v>ELD2T5-2M35-q</v>
      </c>
      <c r="AH107" s="1" t="str">
        <f>_xlfn.IFNA(VLOOKUP(Master_Reference[[#This Row],[C-Flex 4000K Eco Part Number]],Lutron_CFlex_Lookup[],MATCH("Lutron Kit PN",Lutron_CFlex_Lookup[#Headers],0),FALSE),"")</f>
        <v>ELD2T5-2M40-q</v>
      </c>
      <c r="AI107" s="1" t="str">
        <f>_xlfn.IFNA(VLOOKUP(Master_Reference[[#This Row],[C-Flex 5000K Eco Part Number]],Lutron_CFlex_Lookup[],MATCH("Lutron Kit PN",Lutron_CFlex_Lookup[#Headers],0),FALSE),"")</f>
        <v>ELD2T5-2M50-q</v>
      </c>
      <c r="AJ107" s="1" t="str">
        <f>_xlfn.IFNA(VLOOKUP(Master_Reference[[#This Row],[C-Flex 3000K 3W Part Number]],Lutron_CFlex_Lookup[],MATCH("Lutron Kit PN",Lutron_CFlex_Lookup[#Headers],0),FALSE),"")</f>
        <v>3LD2T5-2M30-q</v>
      </c>
      <c r="AK107" s="1" t="str">
        <f>_xlfn.IFNA(VLOOKUP(Master_Reference[[#This Row],[C-Flex 3500K 3W Part Number]],Lutron_CFlex_Lookup[],MATCH("Lutron Kit PN",Lutron_CFlex_Lookup[#Headers],0),FALSE),"")</f>
        <v>3LD2T5-2M35-q</v>
      </c>
      <c r="AL107" s="1" t="str">
        <f>_xlfn.IFNA(VLOOKUP(Master_Reference[[#This Row],[C-Flex 4000K 3W Part Number]],Lutron_CFlex_Lookup[],MATCH("Lutron Kit PN",Lutron_CFlex_Lookup[#Headers],0),FALSE),"")</f>
        <v>3LD2T5-2M40-q</v>
      </c>
      <c r="AM107" s="1" t="str">
        <f>_xlfn.IFNA(VLOOKUP(Master_Reference[[#This Row],[C-Flex 5000K 3W Part Number]],Lutron_CFlex_Lookup[],MATCH("Lutron Kit PN",Lutron_CFlex_Lookup[#Headers],0),FALSE),"")</f>
        <v>3LD2T5-2M50-q</v>
      </c>
      <c r="AN107" s="1" t="b">
        <f>NOT(ISNA(VLOOKUP(Master_Reference[[#This Row],[Model Number]],ObsoleteModels[],1,FALSE)))</f>
        <v>0</v>
      </c>
      <c r="AO107" s="1" t="str">
        <f>IF(LEFT(Master_Reference[[#This Row],[Model Number]],1)="U",LEFT(Master_Reference[[#This Row],[Model Number]],4),LEFT(Master_Reference[[#This Row],[Model Number]],3))</f>
        <v>EC5</v>
      </c>
    </row>
    <row r="108" spans="1:41" x14ac:dyDescent="0.25">
      <c r="A108" s="2" t="s">
        <v>334</v>
      </c>
      <c r="B108" s="1" t="b">
        <v>1</v>
      </c>
      <c r="C108" s="1" t="b">
        <v>1</v>
      </c>
      <c r="F108" s="1" t="b">
        <v>1</v>
      </c>
      <c r="G108" s="1" t="b">
        <f>IF(OR(LEFT(RIGHT(Master_Reference[[#This Row],[Model Number]],3),1)="C",LEFT(RIGHT(Master_Reference[[#This Row],[Model Number]],4),1)="C"),TRUE,"")</f>
        <v>1</v>
      </c>
      <c r="H108" s="1" t="str">
        <f>IF(LEFT(Master_Reference[[#This Row],[Model Number]],1)="U",TRUE,"")</f>
        <v/>
      </c>
      <c r="I108" s="1" t="b">
        <f>IF(Master_Reference[[#This Row],[Lamp Type]]="T4","",IF(Master_Reference[[#This Row],[Case Type]]="M","",TRUE))</f>
        <v>1</v>
      </c>
      <c r="J108" s="1" t="str">
        <f t="shared" si="2"/>
        <v>T5</v>
      </c>
      <c r="K108" s="1">
        <v>14</v>
      </c>
      <c r="L108" s="1" t="s">
        <v>112</v>
      </c>
      <c r="M108" s="1">
        <v>2</v>
      </c>
      <c r="N108" s="1" t="s">
        <v>149</v>
      </c>
      <c r="O108" s="1" t="s">
        <v>320</v>
      </c>
      <c r="R108" t="b">
        <f>IF(COUNTBLANK(Master_Reference[[#This Row],[C-Flex 3000K Eco Part Number]:[C-Flex 4000K Eco Part Number]])=3,FALSE,TRUE)</f>
        <v>1</v>
      </c>
      <c r="S108" t="b">
        <f>IF(COUNTBLANK(Master_Reference[[#This Row],[C-Flex 3000K 3W Part Number]:[C-Flex 4000K 3W Part Number]])=3,FALSE,TRUE)</f>
        <v>1</v>
      </c>
      <c r="T108" t="b">
        <f>IF(COUNTBLANK(Master_Reference[[#This Row],[Lutron 3000K Eco Part Number]:[Lutron 4000K Eco Part Number]])=3,FALSE,TRUE)</f>
        <v>1</v>
      </c>
      <c r="U108" t="b">
        <f>IF(COUNTBLANK(Master_Reference[[#This Row],[Lutron 3000K 3W Part Number]:[Lutron 4000K 3W Part Number]])=3,FALSE,TRUE)</f>
        <v>1</v>
      </c>
      <c r="V108" s="12" t="s">
        <v>325</v>
      </c>
      <c r="W108" s="12" t="s">
        <v>326</v>
      </c>
      <c r="X108" s="12" t="s">
        <v>327</v>
      </c>
      <c r="Y108" t="s">
        <v>1716</v>
      </c>
      <c r="Z108" s="12" t="s">
        <v>128</v>
      </c>
      <c r="AA108" s="12" t="s">
        <v>129</v>
      </c>
      <c r="AB108" s="12" t="s">
        <v>130</v>
      </c>
      <c r="AC108" t="s">
        <v>1804</v>
      </c>
      <c r="AD108" t="str">
        <f>SUBSTITUTE(Master_Reference[[#This Row],[C-Flex 4000K Eco Part Number]],"40-","xx-")</f>
        <v>RP-T5-2FT-2L-8xx-E1-M-G2</v>
      </c>
      <c r="AE108" t="str">
        <f>SUBSTITUTE(Master_Reference[[#This Row],[C-Flex 4000K 3W Part Number]],"40-","xx-")</f>
        <v>RP-T5-2FT-2L-8xx-3W-M-G2</v>
      </c>
      <c r="AF108" s="1" t="str">
        <f>_xlfn.IFNA(VLOOKUP(Master_Reference[[#This Row],[C-Flex 3000K Eco Part Number]],Lutron_CFlex_Lookup[],MATCH("Lutron Kit PN",Lutron_CFlex_Lookup[#Headers],0),FALSE),"")</f>
        <v>ELD2T5-2M30-q</v>
      </c>
      <c r="AG108" s="1" t="str">
        <f>_xlfn.IFNA(VLOOKUP(Master_Reference[[#This Row],[C-Flex 3500K Eco Part Number]],Lutron_CFlex_Lookup[],MATCH("Lutron Kit PN",Lutron_CFlex_Lookup[#Headers],0),FALSE),"")</f>
        <v>ELD2T5-2M35-q</v>
      </c>
      <c r="AH108" s="1" t="str">
        <f>_xlfn.IFNA(VLOOKUP(Master_Reference[[#This Row],[C-Flex 4000K Eco Part Number]],Lutron_CFlex_Lookup[],MATCH("Lutron Kit PN",Lutron_CFlex_Lookup[#Headers],0),FALSE),"")</f>
        <v>ELD2T5-2M40-q</v>
      </c>
      <c r="AI108" s="1" t="str">
        <f>_xlfn.IFNA(VLOOKUP(Master_Reference[[#This Row],[C-Flex 5000K Eco Part Number]],Lutron_CFlex_Lookup[],MATCH("Lutron Kit PN",Lutron_CFlex_Lookup[#Headers],0),FALSE),"")</f>
        <v>ELD2T5-2M50-q</v>
      </c>
      <c r="AJ108" s="1" t="str">
        <f>_xlfn.IFNA(VLOOKUP(Master_Reference[[#This Row],[C-Flex 3000K 3W Part Number]],Lutron_CFlex_Lookup[],MATCH("Lutron Kit PN",Lutron_CFlex_Lookup[#Headers],0),FALSE),"")</f>
        <v>3LD2T5-2M30-q</v>
      </c>
      <c r="AK108" s="1" t="str">
        <f>_xlfn.IFNA(VLOOKUP(Master_Reference[[#This Row],[C-Flex 3500K 3W Part Number]],Lutron_CFlex_Lookup[],MATCH("Lutron Kit PN",Lutron_CFlex_Lookup[#Headers],0),FALSE),"")</f>
        <v>3LD2T5-2M35-q</v>
      </c>
      <c r="AL108" s="1" t="str">
        <f>_xlfn.IFNA(VLOOKUP(Master_Reference[[#This Row],[C-Flex 4000K 3W Part Number]],Lutron_CFlex_Lookup[],MATCH("Lutron Kit PN",Lutron_CFlex_Lookup[#Headers],0),FALSE),"")</f>
        <v>3LD2T5-2M40-q</v>
      </c>
      <c r="AM108" s="1" t="str">
        <f>_xlfn.IFNA(VLOOKUP(Master_Reference[[#This Row],[C-Flex 5000K 3W Part Number]],Lutron_CFlex_Lookup[],MATCH("Lutron Kit PN",Lutron_CFlex_Lookup[#Headers],0),FALSE),"")</f>
        <v>3LD2T5-2M50-q</v>
      </c>
      <c r="AN108" s="1" t="b">
        <f>NOT(ISNA(VLOOKUP(Master_Reference[[#This Row],[Model Number]],ObsoleteModels[],1,FALSE)))</f>
        <v>1</v>
      </c>
      <c r="AO108" s="1" t="str">
        <f>IF(LEFT(Master_Reference[[#This Row],[Model Number]],1)="U",LEFT(Master_Reference[[#This Row],[Model Number]],4),LEFT(Master_Reference[[#This Row],[Model Number]],3))</f>
        <v>EC5</v>
      </c>
    </row>
    <row r="109" spans="1:41" x14ac:dyDescent="0.25">
      <c r="A109" s="2" t="s">
        <v>335</v>
      </c>
      <c r="B109" s="1" t="b">
        <v>1</v>
      </c>
      <c r="C109" s="1" t="b">
        <v>1</v>
      </c>
      <c r="F109" s="1" t="b">
        <v>1</v>
      </c>
      <c r="G109" s="1" t="str">
        <f>IF(OR(LEFT(RIGHT(Master_Reference[[#This Row],[Model Number]],3),1)="C",LEFT(RIGHT(Master_Reference[[#This Row],[Model Number]],4),1)="C"),TRUE,"")</f>
        <v/>
      </c>
      <c r="H109" s="1" t="str">
        <f>IF(LEFT(Master_Reference[[#This Row],[Model Number]],1)="U",TRUE,"")</f>
        <v/>
      </c>
      <c r="I109" s="1" t="b">
        <f>IF(Master_Reference[[#This Row],[Lamp Type]]="T4","",IF(Master_Reference[[#This Row],[Case Type]]="M","",TRUE))</f>
        <v>1</v>
      </c>
      <c r="J109" s="1" t="str">
        <f t="shared" si="2"/>
        <v>T5</v>
      </c>
      <c r="K109" s="1">
        <v>14</v>
      </c>
      <c r="L109" s="1" t="s">
        <v>112</v>
      </c>
      <c r="M109" s="1">
        <v>2</v>
      </c>
      <c r="N109" s="1" t="s">
        <v>149</v>
      </c>
      <c r="O109" s="1" t="s">
        <v>320</v>
      </c>
      <c r="Q109" s="1" t="s">
        <v>91</v>
      </c>
      <c r="R109" t="b">
        <f>IF(COUNTBLANK(Master_Reference[[#This Row],[C-Flex 3000K Eco Part Number]:[C-Flex 4000K Eco Part Number]])=3,FALSE,TRUE)</f>
        <v>0</v>
      </c>
      <c r="S109" t="b">
        <f>IF(COUNTBLANK(Master_Reference[[#This Row],[C-Flex 3000K 3W Part Number]:[C-Flex 4000K 3W Part Number]])=3,FALSE,TRUE)</f>
        <v>0</v>
      </c>
      <c r="T109" t="b">
        <f>IF(COUNTBLANK(Master_Reference[[#This Row],[Lutron 3000K Eco Part Number]:[Lutron 4000K Eco Part Number]])=3,FALSE,TRUE)</f>
        <v>0</v>
      </c>
      <c r="U109" t="b">
        <f>IF(COUNTBLANK(Master_Reference[[#This Row],[Lutron 3000K 3W Part Number]:[Lutron 4000K 3W Part Number]])=3,FALSE,TRUE)</f>
        <v>0</v>
      </c>
      <c r="V109" s="12"/>
      <c r="W109" s="12"/>
      <c r="X109" s="12"/>
      <c r="Y109" t="s">
        <v>2125</v>
      </c>
      <c r="Z109" s="12"/>
      <c r="AA109" s="12"/>
      <c r="AB109" s="12"/>
      <c r="AC109" t="s">
        <v>2125</v>
      </c>
      <c r="AD109" t="str">
        <f>SUBSTITUTE(Master_Reference[[#This Row],[C-Flex 4000K Eco Part Number]],"40-","xx-")</f>
        <v/>
      </c>
      <c r="AE109" t="str">
        <f>SUBSTITUTE(Master_Reference[[#This Row],[C-Flex 4000K 3W Part Number]],"40-","xx-")</f>
        <v/>
      </c>
      <c r="AF109" s="1" t="str">
        <f>_xlfn.IFNA(VLOOKUP(Master_Reference[[#This Row],[C-Flex 3000K Eco Part Number]],Lutron_CFlex_Lookup[],MATCH("Lutron Kit PN",Lutron_CFlex_Lookup[#Headers],0),FALSE),"")</f>
        <v/>
      </c>
      <c r="AG109" s="1" t="str">
        <f>_xlfn.IFNA(VLOOKUP(Master_Reference[[#This Row],[C-Flex 3500K Eco Part Number]],Lutron_CFlex_Lookup[],MATCH("Lutron Kit PN",Lutron_CFlex_Lookup[#Headers],0),FALSE),"")</f>
        <v/>
      </c>
      <c r="AH109" s="1" t="str">
        <f>_xlfn.IFNA(VLOOKUP(Master_Reference[[#This Row],[C-Flex 4000K Eco Part Number]],Lutron_CFlex_Lookup[],MATCH("Lutron Kit PN",Lutron_CFlex_Lookup[#Headers],0),FALSE),"")</f>
        <v/>
      </c>
      <c r="AI109" s="1" t="str">
        <f>_xlfn.IFNA(VLOOKUP(Master_Reference[[#This Row],[C-Flex 5000K Eco Part Number]],Lutron_CFlex_Lookup[],MATCH("Lutron Kit PN",Lutron_CFlex_Lookup[#Headers],0),FALSE),"")</f>
        <v/>
      </c>
      <c r="AJ109" s="1" t="str">
        <f>_xlfn.IFNA(VLOOKUP(Master_Reference[[#This Row],[C-Flex 3000K 3W Part Number]],Lutron_CFlex_Lookup[],MATCH("Lutron Kit PN",Lutron_CFlex_Lookup[#Headers],0),FALSE),"")</f>
        <v/>
      </c>
      <c r="AK109" s="1" t="str">
        <f>_xlfn.IFNA(VLOOKUP(Master_Reference[[#This Row],[C-Flex 3500K 3W Part Number]],Lutron_CFlex_Lookup[],MATCH("Lutron Kit PN",Lutron_CFlex_Lookup[#Headers],0),FALSE),"")</f>
        <v/>
      </c>
      <c r="AL109" s="1" t="str">
        <f>_xlfn.IFNA(VLOOKUP(Master_Reference[[#This Row],[C-Flex 4000K 3W Part Number]],Lutron_CFlex_Lookup[],MATCH("Lutron Kit PN",Lutron_CFlex_Lookup[#Headers],0),FALSE),"")</f>
        <v/>
      </c>
      <c r="AM109" s="1" t="str">
        <f>_xlfn.IFNA(VLOOKUP(Master_Reference[[#This Row],[C-Flex 5000K 3W Part Number]],Lutron_CFlex_Lookup[],MATCH("Lutron Kit PN",Lutron_CFlex_Lookup[#Headers],0),FALSE),"")</f>
        <v/>
      </c>
      <c r="AN109" s="1" t="b">
        <f>NOT(ISNA(VLOOKUP(Master_Reference[[#This Row],[Model Number]],ObsoleteModels[],1,FALSE)))</f>
        <v>0</v>
      </c>
      <c r="AO109" s="1" t="str">
        <f>IF(LEFT(Master_Reference[[#This Row],[Model Number]],1)="U",LEFT(Master_Reference[[#This Row],[Model Number]],4),LEFT(Master_Reference[[#This Row],[Model Number]],3))</f>
        <v>EC5</v>
      </c>
    </row>
    <row r="110" spans="1:41" x14ac:dyDescent="0.25">
      <c r="A110" s="2" t="s">
        <v>336</v>
      </c>
      <c r="B110" s="1" t="b">
        <v>1</v>
      </c>
      <c r="C110" s="1" t="b">
        <v>1</v>
      </c>
      <c r="F110" s="1" t="b">
        <v>1</v>
      </c>
      <c r="G110" s="1" t="str">
        <f>IF(OR(LEFT(RIGHT(Master_Reference[[#This Row],[Model Number]],3),1)="C",LEFT(RIGHT(Master_Reference[[#This Row],[Model Number]],4),1)="C"),TRUE,"")</f>
        <v/>
      </c>
      <c r="H110" s="1" t="str">
        <f>IF(LEFT(Master_Reference[[#This Row],[Model Number]],1)="U",TRUE,"")</f>
        <v/>
      </c>
      <c r="I110" s="1" t="b">
        <f>IF(Master_Reference[[#This Row],[Lamp Type]]="T4","",IF(Master_Reference[[#This Row],[Case Type]]="M","",TRUE))</f>
        <v>1</v>
      </c>
      <c r="J110" s="1" t="str">
        <f t="shared" si="2"/>
        <v>T5</v>
      </c>
      <c r="K110" s="1">
        <v>21</v>
      </c>
      <c r="L110" s="1" t="s">
        <v>115</v>
      </c>
      <c r="M110" s="1">
        <v>1</v>
      </c>
      <c r="N110" s="1">
        <v>120</v>
      </c>
      <c r="O110" s="1" t="s">
        <v>320</v>
      </c>
      <c r="R110" t="b">
        <f>IF(COUNTBLANK(Master_Reference[[#This Row],[C-Flex 3000K Eco Part Number]:[C-Flex 4000K Eco Part Number]])=3,FALSE,TRUE)</f>
        <v>1</v>
      </c>
      <c r="S110" t="b">
        <f>IF(COUNTBLANK(Master_Reference[[#This Row],[C-Flex 3000K 3W Part Number]:[C-Flex 4000K 3W Part Number]])=3,FALSE,TRUE)</f>
        <v>1</v>
      </c>
      <c r="T110" t="b">
        <f>IF(COUNTBLANK(Master_Reference[[#This Row],[Lutron 3000K Eco Part Number]:[Lutron 4000K Eco Part Number]])=3,FALSE,TRUE)</f>
        <v>1</v>
      </c>
      <c r="U110" t="b">
        <f>IF(COUNTBLANK(Master_Reference[[#This Row],[Lutron 3000K 3W Part Number]:[Lutron 4000K 3W Part Number]])=3,FALSE,TRUE)</f>
        <v>1</v>
      </c>
      <c r="V110" s="12" t="s">
        <v>337</v>
      </c>
      <c r="W110" s="12" t="s">
        <v>338</v>
      </c>
      <c r="X110" s="12" t="s">
        <v>339</v>
      </c>
      <c r="Y110" t="s">
        <v>1717</v>
      </c>
      <c r="Z110" s="12" t="s">
        <v>134</v>
      </c>
      <c r="AA110" s="12" t="s">
        <v>135</v>
      </c>
      <c r="AB110" s="12" t="s">
        <v>136</v>
      </c>
      <c r="AC110" t="s">
        <v>1805</v>
      </c>
      <c r="AD110" t="str">
        <f>SUBSTITUTE(Master_Reference[[#This Row],[C-Flex 4000K Eco Part Number]],"40-","xx-")</f>
        <v>RP-T5-3FT-1L-8xx-E1-M-G2</v>
      </c>
      <c r="AE110" t="str">
        <f>SUBSTITUTE(Master_Reference[[#This Row],[C-Flex 4000K 3W Part Number]],"40-","xx-")</f>
        <v>RP-T5-3FT-1L-8xx-3W-M-G2</v>
      </c>
      <c r="AF110" s="1" t="str">
        <f>_xlfn.IFNA(VLOOKUP(Master_Reference[[#This Row],[C-Flex 3000K Eco Part Number]],Lutron_CFlex_Lookup[],MATCH("Lutron Kit PN",Lutron_CFlex_Lookup[#Headers],0),FALSE),"")</f>
        <v>ELD3T5-1M30-q</v>
      </c>
      <c r="AG110" s="1" t="str">
        <f>_xlfn.IFNA(VLOOKUP(Master_Reference[[#This Row],[C-Flex 3500K Eco Part Number]],Lutron_CFlex_Lookup[],MATCH("Lutron Kit PN",Lutron_CFlex_Lookup[#Headers],0),FALSE),"")</f>
        <v>ELD3T5-1M35-q</v>
      </c>
      <c r="AH110" s="1" t="str">
        <f>_xlfn.IFNA(VLOOKUP(Master_Reference[[#This Row],[C-Flex 4000K Eco Part Number]],Lutron_CFlex_Lookup[],MATCH("Lutron Kit PN",Lutron_CFlex_Lookup[#Headers],0),FALSE),"")</f>
        <v>ELD3T5-1M40-q</v>
      </c>
      <c r="AI110" s="1" t="str">
        <f>_xlfn.IFNA(VLOOKUP(Master_Reference[[#This Row],[C-Flex 5000K Eco Part Number]],Lutron_CFlex_Lookup[],MATCH("Lutron Kit PN",Lutron_CFlex_Lookup[#Headers],0),FALSE),"")</f>
        <v>ELD3T5-1M50-q</v>
      </c>
      <c r="AJ110" s="1" t="str">
        <f>_xlfn.IFNA(VLOOKUP(Master_Reference[[#This Row],[C-Flex 3000K 3W Part Number]],Lutron_CFlex_Lookup[],MATCH("Lutron Kit PN",Lutron_CFlex_Lookup[#Headers],0),FALSE),"")</f>
        <v>3LD3T5-1M30-q</v>
      </c>
      <c r="AK110" s="1" t="str">
        <f>_xlfn.IFNA(VLOOKUP(Master_Reference[[#This Row],[C-Flex 3500K 3W Part Number]],Lutron_CFlex_Lookup[],MATCH("Lutron Kit PN",Lutron_CFlex_Lookup[#Headers],0),FALSE),"")</f>
        <v>3LD3T5-1M35-q</v>
      </c>
      <c r="AL110" s="1" t="str">
        <f>_xlfn.IFNA(VLOOKUP(Master_Reference[[#This Row],[C-Flex 4000K 3W Part Number]],Lutron_CFlex_Lookup[],MATCH("Lutron Kit PN",Lutron_CFlex_Lookup[#Headers],0),FALSE),"")</f>
        <v>3LD3T5-1M40-q</v>
      </c>
      <c r="AM110" s="1" t="str">
        <f>_xlfn.IFNA(VLOOKUP(Master_Reference[[#This Row],[C-Flex 5000K 3W Part Number]],Lutron_CFlex_Lookup[],MATCH("Lutron Kit PN",Lutron_CFlex_Lookup[#Headers],0),FALSE),"")</f>
        <v>3LD3T5-1M50-q</v>
      </c>
      <c r="AN110" s="1" t="b">
        <f>NOT(ISNA(VLOOKUP(Master_Reference[[#This Row],[Model Number]],ObsoleteModels[],1,FALSE)))</f>
        <v>1</v>
      </c>
      <c r="AO110" s="1" t="str">
        <f>IF(LEFT(Master_Reference[[#This Row],[Model Number]],1)="U",LEFT(Master_Reference[[#This Row],[Model Number]],4),LEFT(Master_Reference[[#This Row],[Model Number]],3))</f>
        <v>EC5</v>
      </c>
    </row>
    <row r="111" spans="1:41" x14ac:dyDescent="0.25">
      <c r="A111" s="2" t="s">
        <v>340</v>
      </c>
      <c r="B111" s="1" t="b">
        <v>1</v>
      </c>
      <c r="C111" s="1" t="b">
        <v>1</v>
      </c>
      <c r="F111" s="1" t="b">
        <v>1</v>
      </c>
      <c r="G111" s="1" t="str">
        <f>IF(OR(LEFT(RIGHT(Master_Reference[[#This Row],[Model Number]],3),1)="C",LEFT(RIGHT(Master_Reference[[#This Row],[Model Number]],4),1)="C"),TRUE,"")</f>
        <v/>
      </c>
      <c r="H111" s="1" t="str">
        <f>IF(LEFT(Master_Reference[[#This Row],[Model Number]],1)="U",TRUE,"")</f>
        <v/>
      </c>
      <c r="I111" s="1" t="b">
        <f>IF(Master_Reference[[#This Row],[Lamp Type]]="T4","",IF(Master_Reference[[#This Row],[Case Type]]="M","",TRUE))</f>
        <v>1</v>
      </c>
      <c r="J111" s="1" t="str">
        <f t="shared" si="2"/>
        <v>T5</v>
      </c>
      <c r="K111" s="1">
        <v>21</v>
      </c>
      <c r="L111" s="1" t="s">
        <v>115</v>
      </c>
      <c r="M111" s="1">
        <v>2</v>
      </c>
      <c r="N111" s="1">
        <v>120</v>
      </c>
      <c r="O111" s="1" t="s">
        <v>320</v>
      </c>
      <c r="R111" t="b">
        <f>IF(COUNTBLANK(Master_Reference[[#This Row],[C-Flex 3000K Eco Part Number]:[C-Flex 4000K Eco Part Number]])=3,FALSE,TRUE)</f>
        <v>1</v>
      </c>
      <c r="S111" t="b">
        <f>IF(COUNTBLANK(Master_Reference[[#This Row],[C-Flex 3000K 3W Part Number]:[C-Flex 4000K 3W Part Number]])=3,FALSE,TRUE)</f>
        <v>1</v>
      </c>
      <c r="T111" t="b">
        <f>IF(COUNTBLANK(Master_Reference[[#This Row],[Lutron 3000K Eco Part Number]:[Lutron 4000K Eco Part Number]])=3,FALSE,TRUE)</f>
        <v>1</v>
      </c>
      <c r="U111" t="b">
        <f>IF(COUNTBLANK(Master_Reference[[#This Row],[Lutron 3000K 3W Part Number]:[Lutron 4000K 3W Part Number]])=3,FALSE,TRUE)</f>
        <v>1</v>
      </c>
      <c r="V111" s="12" t="s">
        <v>341</v>
      </c>
      <c r="W111" s="12" t="s">
        <v>342</v>
      </c>
      <c r="X111" s="12" t="s">
        <v>343</v>
      </c>
      <c r="Y111" t="s">
        <v>1718</v>
      </c>
      <c r="Z111" s="12" t="s">
        <v>138</v>
      </c>
      <c r="AA111" s="12" t="s">
        <v>139</v>
      </c>
      <c r="AB111" s="12" t="s">
        <v>140</v>
      </c>
      <c r="AC111" t="s">
        <v>1806</v>
      </c>
      <c r="AD111" t="str">
        <f>SUBSTITUTE(Master_Reference[[#This Row],[C-Flex 4000K Eco Part Number]],"40-","xx-")</f>
        <v>RP-T5-3FT-2L-8xx-E1-M-G2</v>
      </c>
      <c r="AE111" t="str">
        <f>SUBSTITUTE(Master_Reference[[#This Row],[C-Flex 4000K 3W Part Number]],"40-","xx-")</f>
        <v>RP-T5-3FT-2L-8xx-3W-M-G2</v>
      </c>
      <c r="AF111" s="1" t="str">
        <f>_xlfn.IFNA(VLOOKUP(Master_Reference[[#This Row],[C-Flex 3000K Eco Part Number]],Lutron_CFlex_Lookup[],MATCH("Lutron Kit PN",Lutron_CFlex_Lookup[#Headers],0),FALSE),"")</f>
        <v>ELD3T5-2M30-q</v>
      </c>
      <c r="AG111" s="1" t="str">
        <f>_xlfn.IFNA(VLOOKUP(Master_Reference[[#This Row],[C-Flex 3500K Eco Part Number]],Lutron_CFlex_Lookup[],MATCH("Lutron Kit PN",Lutron_CFlex_Lookup[#Headers],0),FALSE),"")</f>
        <v>ELD3T5-2M35-q</v>
      </c>
      <c r="AH111" s="1" t="str">
        <f>_xlfn.IFNA(VLOOKUP(Master_Reference[[#This Row],[C-Flex 4000K Eco Part Number]],Lutron_CFlex_Lookup[],MATCH("Lutron Kit PN",Lutron_CFlex_Lookup[#Headers],0),FALSE),"")</f>
        <v>ELD3T5-2M40-q</v>
      </c>
      <c r="AI111" s="1" t="str">
        <f>_xlfn.IFNA(VLOOKUP(Master_Reference[[#This Row],[C-Flex 5000K Eco Part Number]],Lutron_CFlex_Lookup[],MATCH("Lutron Kit PN",Lutron_CFlex_Lookup[#Headers],0),FALSE),"")</f>
        <v>ELD3T5-2M50-q</v>
      </c>
      <c r="AJ111" s="1" t="str">
        <f>_xlfn.IFNA(VLOOKUP(Master_Reference[[#This Row],[C-Flex 3000K 3W Part Number]],Lutron_CFlex_Lookup[],MATCH("Lutron Kit PN",Lutron_CFlex_Lookup[#Headers],0),FALSE),"")</f>
        <v>3LD3T5-2M30-q</v>
      </c>
      <c r="AK111" s="1" t="str">
        <f>_xlfn.IFNA(VLOOKUP(Master_Reference[[#This Row],[C-Flex 3500K 3W Part Number]],Lutron_CFlex_Lookup[],MATCH("Lutron Kit PN",Lutron_CFlex_Lookup[#Headers],0),FALSE),"")</f>
        <v>3LD3T5-2M35-q</v>
      </c>
      <c r="AL111" s="1" t="str">
        <f>_xlfn.IFNA(VLOOKUP(Master_Reference[[#This Row],[C-Flex 4000K 3W Part Number]],Lutron_CFlex_Lookup[],MATCH("Lutron Kit PN",Lutron_CFlex_Lookup[#Headers],0),FALSE),"")</f>
        <v>3LD3T5-2M40-q</v>
      </c>
      <c r="AM111" s="1" t="str">
        <f>_xlfn.IFNA(VLOOKUP(Master_Reference[[#This Row],[C-Flex 5000K 3W Part Number]],Lutron_CFlex_Lookup[],MATCH("Lutron Kit PN",Lutron_CFlex_Lookup[#Headers],0),FALSE),"")</f>
        <v>3LD3T5-2M50-q</v>
      </c>
      <c r="AN111" s="1" t="b">
        <f>NOT(ISNA(VLOOKUP(Master_Reference[[#This Row],[Model Number]],ObsoleteModels[],1,FALSE)))</f>
        <v>1</v>
      </c>
      <c r="AO111" s="1" t="str">
        <f>IF(LEFT(Master_Reference[[#This Row],[Model Number]],1)="U",LEFT(Master_Reference[[#This Row],[Model Number]],4),LEFT(Master_Reference[[#This Row],[Model Number]],3))</f>
        <v>EC5</v>
      </c>
    </row>
    <row r="112" spans="1:41" x14ac:dyDescent="0.25">
      <c r="A112" s="2" t="s">
        <v>344</v>
      </c>
      <c r="B112" s="1" t="b">
        <v>1</v>
      </c>
      <c r="C112" s="1" t="b">
        <v>1</v>
      </c>
      <c r="F112" s="1" t="b">
        <v>1</v>
      </c>
      <c r="G112" s="1" t="str">
        <f>IF(OR(LEFT(RIGHT(Master_Reference[[#This Row],[Model Number]],3),1)="C",LEFT(RIGHT(Master_Reference[[#This Row],[Model Number]],4),1)="C"),TRUE,"")</f>
        <v/>
      </c>
      <c r="H112" s="1" t="str">
        <f>IF(LEFT(Master_Reference[[#This Row],[Model Number]],1)="U",TRUE,"")</f>
        <v/>
      </c>
      <c r="I112" s="1" t="b">
        <f>IF(Master_Reference[[#This Row],[Lamp Type]]="T4","",IF(Master_Reference[[#This Row],[Case Type]]="M","",TRUE))</f>
        <v>1</v>
      </c>
      <c r="J112" s="1" t="str">
        <f t="shared" si="2"/>
        <v>T5</v>
      </c>
      <c r="K112" s="1">
        <v>21</v>
      </c>
      <c r="L112" s="1" t="s">
        <v>115</v>
      </c>
      <c r="M112" s="1">
        <v>1</v>
      </c>
      <c r="N112" s="1">
        <v>277</v>
      </c>
      <c r="O112" s="1" t="s">
        <v>320</v>
      </c>
      <c r="R112" t="b">
        <f>IF(COUNTBLANK(Master_Reference[[#This Row],[C-Flex 3000K Eco Part Number]:[C-Flex 4000K Eco Part Number]])=3,FALSE,TRUE)</f>
        <v>1</v>
      </c>
      <c r="S112" t="b">
        <f>IF(COUNTBLANK(Master_Reference[[#This Row],[C-Flex 3000K 3W Part Number]:[C-Flex 4000K 3W Part Number]])=3,FALSE,TRUE)</f>
        <v>1</v>
      </c>
      <c r="T112" t="b">
        <f>IF(COUNTBLANK(Master_Reference[[#This Row],[Lutron 3000K Eco Part Number]:[Lutron 4000K Eco Part Number]])=3,FALSE,TRUE)</f>
        <v>1</v>
      </c>
      <c r="U112" t="b">
        <f>IF(COUNTBLANK(Master_Reference[[#This Row],[Lutron 3000K 3W Part Number]:[Lutron 4000K 3W Part Number]])=3,FALSE,TRUE)</f>
        <v>1</v>
      </c>
      <c r="V112" s="12" t="s">
        <v>337</v>
      </c>
      <c r="W112" s="12" t="s">
        <v>338</v>
      </c>
      <c r="X112" s="12" t="s">
        <v>339</v>
      </c>
      <c r="Y112" t="s">
        <v>1717</v>
      </c>
      <c r="Z112" s="12" t="s">
        <v>134</v>
      </c>
      <c r="AA112" s="12" t="s">
        <v>135</v>
      </c>
      <c r="AB112" s="12" t="s">
        <v>136</v>
      </c>
      <c r="AC112" t="s">
        <v>1805</v>
      </c>
      <c r="AD112" t="str">
        <f>SUBSTITUTE(Master_Reference[[#This Row],[C-Flex 4000K Eco Part Number]],"40-","xx-")</f>
        <v>RP-T5-3FT-1L-8xx-E1-M-G2</v>
      </c>
      <c r="AE112" t="str">
        <f>SUBSTITUTE(Master_Reference[[#This Row],[C-Flex 4000K 3W Part Number]],"40-","xx-")</f>
        <v>RP-T5-3FT-1L-8xx-3W-M-G2</v>
      </c>
      <c r="AF112" s="1" t="str">
        <f>_xlfn.IFNA(VLOOKUP(Master_Reference[[#This Row],[C-Flex 3000K Eco Part Number]],Lutron_CFlex_Lookup[],MATCH("Lutron Kit PN",Lutron_CFlex_Lookup[#Headers],0),FALSE),"")</f>
        <v>ELD3T5-1M30-q</v>
      </c>
      <c r="AG112" s="1" t="str">
        <f>_xlfn.IFNA(VLOOKUP(Master_Reference[[#This Row],[C-Flex 3500K Eco Part Number]],Lutron_CFlex_Lookup[],MATCH("Lutron Kit PN",Lutron_CFlex_Lookup[#Headers],0),FALSE),"")</f>
        <v>ELD3T5-1M35-q</v>
      </c>
      <c r="AH112" s="1" t="str">
        <f>_xlfn.IFNA(VLOOKUP(Master_Reference[[#This Row],[C-Flex 4000K Eco Part Number]],Lutron_CFlex_Lookup[],MATCH("Lutron Kit PN",Lutron_CFlex_Lookup[#Headers],0),FALSE),"")</f>
        <v>ELD3T5-1M40-q</v>
      </c>
      <c r="AI112" s="1" t="str">
        <f>_xlfn.IFNA(VLOOKUP(Master_Reference[[#This Row],[C-Flex 5000K Eco Part Number]],Lutron_CFlex_Lookup[],MATCH("Lutron Kit PN",Lutron_CFlex_Lookup[#Headers],0),FALSE),"")</f>
        <v>ELD3T5-1M50-q</v>
      </c>
      <c r="AJ112" s="1" t="str">
        <f>_xlfn.IFNA(VLOOKUP(Master_Reference[[#This Row],[C-Flex 3000K 3W Part Number]],Lutron_CFlex_Lookup[],MATCH("Lutron Kit PN",Lutron_CFlex_Lookup[#Headers],0),FALSE),"")</f>
        <v>3LD3T5-1M30-q</v>
      </c>
      <c r="AK112" s="1" t="str">
        <f>_xlfn.IFNA(VLOOKUP(Master_Reference[[#This Row],[C-Flex 3500K 3W Part Number]],Lutron_CFlex_Lookup[],MATCH("Lutron Kit PN",Lutron_CFlex_Lookup[#Headers],0),FALSE),"")</f>
        <v>3LD3T5-1M35-q</v>
      </c>
      <c r="AL112" s="1" t="str">
        <f>_xlfn.IFNA(VLOOKUP(Master_Reference[[#This Row],[C-Flex 4000K 3W Part Number]],Lutron_CFlex_Lookup[],MATCH("Lutron Kit PN",Lutron_CFlex_Lookup[#Headers],0),FALSE),"")</f>
        <v>3LD3T5-1M40-q</v>
      </c>
      <c r="AM112" s="1" t="str">
        <f>_xlfn.IFNA(VLOOKUP(Master_Reference[[#This Row],[C-Flex 5000K 3W Part Number]],Lutron_CFlex_Lookup[],MATCH("Lutron Kit PN",Lutron_CFlex_Lookup[#Headers],0),FALSE),"")</f>
        <v>3LD3T5-1M50-q</v>
      </c>
      <c r="AN112" s="1" t="b">
        <f>NOT(ISNA(VLOOKUP(Master_Reference[[#This Row],[Model Number]],ObsoleteModels[],1,FALSE)))</f>
        <v>1</v>
      </c>
      <c r="AO112" s="1" t="str">
        <f>IF(LEFT(Master_Reference[[#This Row],[Model Number]],1)="U",LEFT(Master_Reference[[#This Row],[Model Number]],4),LEFT(Master_Reference[[#This Row],[Model Number]],3))</f>
        <v>EC5</v>
      </c>
    </row>
    <row r="113" spans="1:41" x14ac:dyDescent="0.25">
      <c r="A113" s="2" t="s">
        <v>345</v>
      </c>
      <c r="B113" s="1" t="b">
        <v>1</v>
      </c>
      <c r="C113" s="1" t="b">
        <v>1</v>
      </c>
      <c r="F113" s="1" t="b">
        <v>1</v>
      </c>
      <c r="G113" s="1" t="str">
        <f>IF(OR(LEFT(RIGHT(Master_Reference[[#This Row],[Model Number]],3),1)="C",LEFT(RIGHT(Master_Reference[[#This Row],[Model Number]],4),1)="C"),TRUE,"")</f>
        <v/>
      </c>
      <c r="H113" s="1" t="str">
        <f>IF(LEFT(Master_Reference[[#This Row],[Model Number]],1)="U",TRUE,"")</f>
        <v/>
      </c>
      <c r="I113" s="1" t="b">
        <f>IF(Master_Reference[[#This Row],[Lamp Type]]="T4","",IF(Master_Reference[[#This Row],[Case Type]]="M","",TRUE))</f>
        <v>1</v>
      </c>
      <c r="J113" s="1" t="str">
        <f t="shared" si="2"/>
        <v>T5</v>
      </c>
      <c r="K113" s="1">
        <v>21</v>
      </c>
      <c r="L113" s="1" t="s">
        <v>115</v>
      </c>
      <c r="M113" s="1">
        <v>2</v>
      </c>
      <c r="N113" s="1">
        <v>277</v>
      </c>
      <c r="O113" s="1" t="s">
        <v>320</v>
      </c>
      <c r="R113" t="b">
        <f>IF(COUNTBLANK(Master_Reference[[#This Row],[C-Flex 3000K Eco Part Number]:[C-Flex 4000K Eco Part Number]])=3,FALSE,TRUE)</f>
        <v>1</v>
      </c>
      <c r="S113" t="b">
        <f>IF(COUNTBLANK(Master_Reference[[#This Row],[C-Flex 3000K 3W Part Number]:[C-Flex 4000K 3W Part Number]])=3,FALSE,TRUE)</f>
        <v>1</v>
      </c>
      <c r="T113" t="b">
        <f>IF(COUNTBLANK(Master_Reference[[#This Row],[Lutron 3000K Eco Part Number]:[Lutron 4000K Eco Part Number]])=3,FALSE,TRUE)</f>
        <v>1</v>
      </c>
      <c r="U113" t="b">
        <f>IF(COUNTBLANK(Master_Reference[[#This Row],[Lutron 3000K 3W Part Number]:[Lutron 4000K 3W Part Number]])=3,FALSE,TRUE)</f>
        <v>1</v>
      </c>
      <c r="V113" s="12" t="s">
        <v>341</v>
      </c>
      <c r="W113" s="12" t="s">
        <v>342</v>
      </c>
      <c r="X113" s="12" t="s">
        <v>343</v>
      </c>
      <c r="Y113" t="s">
        <v>1718</v>
      </c>
      <c r="Z113" s="12" t="s">
        <v>138</v>
      </c>
      <c r="AA113" s="12" t="s">
        <v>139</v>
      </c>
      <c r="AB113" s="12" t="s">
        <v>140</v>
      </c>
      <c r="AC113" t="s">
        <v>1806</v>
      </c>
      <c r="AD113" t="str">
        <f>SUBSTITUTE(Master_Reference[[#This Row],[C-Flex 4000K Eco Part Number]],"40-","xx-")</f>
        <v>RP-T5-3FT-2L-8xx-E1-M-G2</v>
      </c>
      <c r="AE113" t="str">
        <f>SUBSTITUTE(Master_Reference[[#This Row],[C-Flex 4000K 3W Part Number]],"40-","xx-")</f>
        <v>RP-T5-3FT-2L-8xx-3W-M-G2</v>
      </c>
      <c r="AF113" s="1" t="str">
        <f>_xlfn.IFNA(VLOOKUP(Master_Reference[[#This Row],[C-Flex 3000K Eco Part Number]],Lutron_CFlex_Lookup[],MATCH("Lutron Kit PN",Lutron_CFlex_Lookup[#Headers],0),FALSE),"")</f>
        <v>ELD3T5-2M30-q</v>
      </c>
      <c r="AG113" s="1" t="str">
        <f>_xlfn.IFNA(VLOOKUP(Master_Reference[[#This Row],[C-Flex 3500K Eco Part Number]],Lutron_CFlex_Lookup[],MATCH("Lutron Kit PN",Lutron_CFlex_Lookup[#Headers],0),FALSE),"")</f>
        <v>ELD3T5-2M35-q</v>
      </c>
      <c r="AH113" s="1" t="str">
        <f>_xlfn.IFNA(VLOOKUP(Master_Reference[[#This Row],[C-Flex 4000K Eco Part Number]],Lutron_CFlex_Lookup[],MATCH("Lutron Kit PN",Lutron_CFlex_Lookup[#Headers],0),FALSE),"")</f>
        <v>ELD3T5-2M40-q</v>
      </c>
      <c r="AI113" s="1" t="str">
        <f>_xlfn.IFNA(VLOOKUP(Master_Reference[[#This Row],[C-Flex 5000K Eco Part Number]],Lutron_CFlex_Lookup[],MATCH("Lutron Kit PN",Lutron_CFlex_Lookup[#Headers],0),FALSE),"")</f>
        <v>ELD3T5-2M50-q</v>
      </c>
      <c r="AJ113" s="1" t="str">
        <f>_xlfn.IFNA(VLOOKUP(Master_Reference[[#This Row],[C-Flex 3000K 3W Part Number]],Lutron_CFlex_Lookup[],MATCH("Lutron Kit PN",Lutron_CFlex_Lookup[#Headers],0),FALSE),"")</f>
        <v>3LD3T5-2M30-q</v>
      </c>
      <c r="AK113" s="1" t="str">
        <f>_xlfn.IFNA(VLOOKUP(Master_Reference[[#This Row],[C-Flex 3500K 3W Part Number]],Lutron_CFlex_Lookup[],MATCH("Lutron Kit PN",Lutron_CFlex_Lookup[#Headers],0),FALSE),"")</f>
        <v>3LD3T5-2M35-q</v>
      </c>
      <c r="AL113" s="1" t="str">
        <f>_xlfn.IFNA(VLOOKUP(Master_Reference[[#This Row],[C-Flex 4000K 3W Part Number]],Lutron_CFlex_Lookup[],MATCH("Lutron Kit PN",Lutron_CFlex_Lookup[#Headers],0),FALSE),"")</f>
        <v>3LD3T5-2M40-q</v>
      </c>
      <c r="AM113" s="1" t="str">
        <f>_xlfn.IFNA(VLOOKUP(Master_Reference[[#This Row],[C-Flex 5000K 3W Part Number]],Lutron_CFlex_Lookup[],MATCH("Lutron Kit PN",Lutron_CFlex_Lookup[#Headers],0),FALSE),"")</f>
        <v>3LD3T5-2M50-q</v>
      </c>
      <c r="AN113" s="1" t="b">
        <f>NOT(ISNA(VLOOKUP(Master_Reference[[#This Row],[Model Number]],ObsoleteModels[],1,FALSE)))</f>
        <v>1</v>
      </c>
      <c r="AO113" s="1" t="str">
        <f>IF(LEFT(Master_Reference[[#This Row],[Model Number]],1)="U",LEFT(Master_Reference[[#This Row],[Model Number]],4),LEFT(Master_Reference[[#This Row],[Model Number]],3))</f>
        <v>EC5</v>
      </c>
    </row>
    <row r="114" spans="1:41" x14ac:dyDescent="0.25">
      <c r="A114" s="2" t="s">
        <v>346</v>
      </c>
      <c r="B114" s="1" t="b">
        <v>1</v>
      </c>
      <c r="C114" s="1" t="b">
        <v>1</v>
      </c>
      <c r="F114" s="1" t="b">
        <v>1</v>
      </c>
      <c r="G114" s="1" t="str">
        <f>IF(OR(LEFT(RIGHT(Master_Reference[[#This Row],[Model Number]],3),1)="C",LEFT(RIGHT(Master_Reference[[#This Row],[Model Number]],4),1)="C"),TRUE,"")</f>
        <v/>
      </c>
      <c r="H114" s="1" t="str">
        <f>IF(LEFT(Master_Reference[[#This Row],[Model Number]],1)="U",TRUE,"")</f>
        <v/>
      </c>
      <c r="I114" s="1" t="b">
        <f>IF(Master_Reference[[#This Row],[Lamp Type]]="T4","",IF(Master_Reference[[#This Row],[Case Type]]="M","",TRUE))</f>
        <v>1</v>
      </c>
      <c r="J114" s="1" t="str">
        <f t="shared" si="2"/>
        <v>T5</v>
      </c>
      <c r="K114" s="1">
        <v>21</v>
      </c>
      <c r="L114" s="1" t="s">
        <v>115</v>
      </c>
      <c r="M114" s="1">
        <v>1</v>
      </c>
      <c r="N114" s="1" t="s">
        <v>149</v>
      </c>
      <c r="O114" s="1" t="s">
        <v>320</v>
      </c>
      <c r="R114" t="b">
        <f>IF(COUNTBLANK(Master_Reference[[#This Row],[C-Flex 3000K Eco Part Number]:[C-Flex 4000K Eco Part Number]])=3,FALSE,TRUE)</f>
        <v>1</v>
      </c>
      <c r="S114" t="b">
        <f>IF(COUNTBLANK(Master_Reference[[#This Row],[C-Flex 3000K 3W Part Number]:[C-Flex 4000K 3W Part Number]])=3,FALSE,TRUE)</f>
        <v>1</v>
      </c>
      <c r="T114" t="b">
        <f>IF(COUNTBLANK(Master_Reference[[#This Row],[Lutron 3000K Eco Part Number]:[Lutron 4000K Eco Part Number]])=3,FALSE,TRUE)</f>
        <v>1</v>
      </c>
      <c r="U114" t="b">
        <f>IF(COUNTBLANK(Master_Reference[[#This Row],[Lutron 3000K 3W Part Number]:[Lutron 4000K 3W Part Number]])=3,FALSE,TRUE)</f>
        <v>1</v>
      </c>
      <c r="V114" s="12" t="s">
        <v>337</v>
      </c>
      <c r="W114" s="12" t="s">
        <v>338</v>
      </c>
      <c r="X114" s="12" t="s">
        <v>339</v>
      </c>
      <c r="Y114" t="s">
        <v>1717</v>
      </c>
      <c r="Z114" s="12" t="s">
        <v>134</v>
      </c>
      <c r="AA114" s="12" t="s">
        <v>135</v>
      </c>
      <c r="AB114" s="12" t="s">
        <v>136</v>
      </c>
      <c r="AC114" t="s">
        <v>1805</v>
      </c>
      <c r="AD114" t="str">
        <f>SUBSTITUTE(Master_Reference[[#This Row],[C-Flex 4000K Eco Part Number]],"40-","xx-")</f>
        <v>RP-T5-3FT-1L-8xx-E1-M-G2</v>
      </c>
      <c r="AE114" t="str">
        <f>SUBSTITUTE(Master_Reference[[#This Row],[C-Flex 4000K 3W Part Number]],"40-","xx-")</f>
        <v>RP-T5-3FT-1L-8xx-3W-M-G2</v>
      </c>
      <c r="AF114" s="1" t="str">
        <f>_xlfn.IFNA(VLOOKUP(Master_Reference[[#This Row],[C-Flex 3000K Eco Part Number]],Lutron_CFlex_Lookup[],MATCH("Lutron Kit PN",Lutron_CFlex_Lookup[#Headers],0),FALSE),"")</f>
        <v>ELD3T5-1M30-q</v>
      </c>
      <c r="AG114" s="1" t="str">
        <f>_xlfn.IFNA(VLOOKUP(Master_Reference[[#This Row],[C-Flex 3500K Eco Part Number]],Lutron_CFlex_Lookup[],MATCH("Lutron Kit PN",Lutron_CFlex_Lookup[#Headers],0),FALSE),"")</f>
        <v>ELD3T5-1M35-q</v>
      </c>
      <c r="AH114" s="1" t="str">
        <f>_xlfn.IFNA(VLOOKUP(Master_Reference[[#This Row],[C-Flex 4000K Eco Part Number]],Lutron_CFlex_Lookup[],MATCH("Lutron Kit PN",Lutron_CFlex_Lookup[#Headers],0),FALSE),"")</f>
        <v>ELD3T5-1M40-q</v>
      </c>
      <c r="AI114" s="1" t="str">
        <f>_xlfn.IFNA(VLOOKUP(Master_Reference[[#This Row],[C-Flex 5000K Eco Part Number]],Lutron_CFlex_Lookup[],MATCH("Lutron Kit PN",Lutron_CFlex_Lookup[#Headers],0),FALSE),"")</f>
        <v>ELD3T5-1M50-q</v>
      </c>
      <c r="AJ114" s="1" t="str">
        <f>_xlfn.IFNA(VLOOKUP(Master_Reference[[#This Row],[C-Flex 3000K 3W Part Number]],Lutron_CFlex_Lookup[],MATCH("Lutron Kit PN",Lutron_CFlex_Lookup[#Headers],0),FALSE),"")</f>
        <v>3LD3T5-1M30-q</v>
      </c>
      <c r="AK114" s="1" t="str">
        <f>_xlfn.IFNA(VLOOKUP(Master_Reference[[#This Row],[C-Flex 3500K 3W Part Number]],Lutron_CFlex_Lookup[],MATCH("Lutron Kit PN",Lutron_CFlex_Lookup[#Headers],0),FALSE),"")</f>
        <v>3LD3T5-1M35-q</v>
      </c>
      <c r="AL114" s="1" t="str">
        <f>_xlfn.IFNA(VLOOKUP(Master_Reference[[#This Row],[C-Flex 4000K 3W Part Number]],Lutron_CFlex_Lookup[],MATCH("Lutron Kit PN",Lutron_CFlex_Lookup[#Headers],0),FALSE),"")</f>
        <v>3LD3T5-1M40-q</v>
      </c>
      <c r="AM114" s="1" t="str">
        <f>_xlfn.IFNA(VLOOKUP(Master_Reference[[#This Row],[C-Flex 5000K 3W Part Number]],Lutron_CFlex_Lookup[],MATCH("Lutron Kit PN",Lutron_CFlex_Lookup[#Headers],0),FALSE),"")</f>
        <v>3LD3T5-1M50-q</v>
      </c>
      <c r="AN114" s="1" t="b">
        <f>NOT(ISNA(VLOOKUP(Master_Reference[[#This Row],[Model Number]],ObsoleteModels[],1,FALSE)))</f>
        <v>0</v>
      </c>
      <c r="AO114" s="1" t="str">
        <f>IF(LEFT(Master_Reference[[#This Row],[Model Number]],1)="U",LEFT(Master_Reference[[#This Row],[Model Number]],4),LEFT(Master_Reference[[#This Row],[Model Number]],3))</f>
        <v>EC5</v>
      </c>
    </row>
    <row r="115" spans="1:41" x14ac:dyDescent="0.25">
      <c r="A115" s="2" t="s">
        <v>347</v>
      </c>
      <c r="B115" s="1" t="b">
        <v>1</v>
      </c>
      <c r="C115" s="1" t="b">
        <v>1</v>
      </c>
      <c r="F115" s="1" t="b">
        <v>1</v>
      </c>
      <c r="G115" s="1" t="b">
        <f>IF(OR(LEFT(RIGHT(Master_Reference[[#This Row],[Model Number]],3),1)="C",LEFT(RIGHT(Master_Reference[[#This Row],[Model Number]],4),1)="C"),TRUE,"")</f>
        <v>1</v>
      </c>
      <c r="H115" s="1" t="str">
        <f>IF(LEFT(Master_Reference[[#This Row],[Model Number]],1)="U",TRUE,"")</f>
        <v/>
      </c>
      <c r="I115" s="1" t="b">
        <f>IF(Master_Reference[[#This Row],[Lamp Type]]="T4","",IF(Master_Reference[[#This Row],[Case Type]]="M","",TRUE))</f>
        <v>1</v>
      </c>
      <c r="J115" s="1" t="str">
        <f t="shared" si="2"/>
        <v>T5</v>
      </c>
      <c r="K115" s="1">
        <v>21</v>
      </c>
      <c r="L115" s="1" t="s">
        <v>115</v>
      </c>
      <c r="M115" s="1">
        <v>1</v>
      </c>
      <c r="N115" s="1" t="s">
        <v>149</v>
      </c>
      <c r="O115" s="1" t="s">
        <v>320</v>
      </c>
      <c r="R115" t="b">
        <f>IF(COUNTBLANK(Master_Reference[[#This Row],[C-Flex 3000K Eco Part Number]:[C-Flex 4000K Eco Part Number]])=3,FALSE,TRUE)</f>
        <v>1</v>
      </c>
      <c r="S115" t="b">
        <f>IF(COUNTBLANK(Master_Reference[[#This Row],[C-Flex 3000K 3W Part Number]:[C-Flex 4000K 3W Part Number]])=3,FALSE,TRUE)</f>
        <v>1</v>
      </c>
      <c r="T115" t="b">
        <f>IF(COUNTBLANK(Master_Reference[[#This Row],[Lutron 3000K Eco Part Number]:[Lutron 4000K Eco Part Number]])=3,FALSE,TRUE)</f>
        <v>1</v>
      </c>
      <c r="U115" t="b">
        <f>IF(COUNTBLANK(Master_Reference[[#This Row],[Lutron 3000K 3W Part Number]:[Lutron 4000K 3W Part Number]])=3,FALSE,TRUE)</f>
        <v>1</v>
      </c>
      <c r="V115" s="12" t="s">
        <v>337</v>
      </c>
      <c r="W115" s="12" t="s">
        <v>338</v>
      </c>
      <c r="X115" s="12" t="s">
        <v>339</v>
      </c>
      <c r="Y115" t="s">
        <v>1717</v>
      </c>
      <c r="Z115" s="12" t="s">
        <v>134</v>
      </c>
      <c r="AA115" s="12" t="s">
        <v>135</v>
      </c>
      <c r="AB115" s="12" t="s">
        <v>136</v>
      </c>
      <c r="AC115" t="s">
        <v>1805</v>
      </c>
      <c r="AD115" t="str">
        <f>SUBSTITUTE(Master_Reference[[#This Row],[C-Flex 4000K Eco Part Number]],"40-","xx-")</f>
        <v>RP-T5-3FT-1L-8xx-E1-M-G2</v>
      </c>
      <c r="AE115" t="str">
        <f>SUBSTITUTE(Master_Reference[[#This Row],[C-Flex 4000K 3W Part Number]],"40-","xx-")</f>
        <v>RP-T5-3FT-1L-8xx-3W-M-G2</v>
      </c>
      <c r="AF115" s="1" t="str">
        <f>_xlfn.IFNA(VLOOKUP(Master_Reference[[#This Row],[C-Flex 3000K Eco Part Number]],Lutron_CFlex_Lookup[],MATCH("Lutron Kit PN",Lutron_CFlex_Lookup[#Headers],0),FALSE),"")</f>
        <v>ELD3T5-1M30-q</v>
      </c>
      <c r="AG115" s="1" t="str">
        <f>_xlfn.IFNA(VLOOKUP(Master_Reference[[#This Row],[C-Flex 3500K Eco Part Number]],Lutron_CFlex_Lookup[],MATCH("Lutron Kit PN",Lutron_CFlex_Lookup[#Headers],0),FALSE),"")</f>
        <v>ELD3T5-1M35-q</v>
      </c>
      <c r="AH115" s="1" t="str">
        <f>_xlfn.IFNA(VLOOKUP(Master_Reference[[#This Row],[C-Flex 4000K Eco Part Number]],Lutron_CFlex_Lookup[],MATCH("Lutron Kit PN",Lutron_CFlex_Lookup[#Headers],0),FALSE),"")</f>
        <v>ELD3T5-1M40-q</v>
      </c>
      <c r="AI115" s="1" t="str">
        <f>_xlfn.IFNA(VLOOKUP(Master_Reference[[#This Row],[C-Flex 5000K Eco Part Number]],Lutron_CFlex_Lookup[],MATCH("Lutron Kit PN",Lutron_CFlex_Lookup[#Headers],0),FALSE),"")</f>
        <v>ELD3T5-1M50-q</v>
      </c>
      <c r="AJ115" s="1" t="str">
        <f>_xlfn.IFNA(VLOOKUP(Master_Reference[[#This Row],[C-Flex 3000K 3W Part Number]],Lutron_CFlex_Lookup[],MATCH("Lutron Kit PN",Lutron_CFlex_Lookup[#Headers],0),FALSE),"")</f>
        <v>3LD3T5-1M30-q</v>
      </c>
      <c r="AK115" s="1" t="str">
        <f>_xlfn.IFNA(VLOOKUP(Master_Reference[[#This Row],[C-Flex 3500K 3W Part Number]],Lutron_CFlex_Lookup[],MATCH("Lutron Kit PN",Lutron_CFlex_Lookup[#Headers],0),FALSE),"")</f>
        <v>3LD3T5-1M35-q</v>
      </c>
      <c r="AL115" s="1" t="str">
        <f>_xlfn.IFNA(VLOOKUP(Master_Reference[[#This Row],[C-Flex 4000K 3W Part Number]],Lutron_CFlex_Lookup[],MATCH("Lutron Kit PN",Lutron_CFlex_Lookup[#Headers],0),FALSE),"")</f>
        <v>3LD3T5-1M40-q</v>
      </c>
      <c r="AM115" s="1" t="str">
        <f>_xlfn.IFNA(VLOOKUP(Master_Reference[[#This Row],[C-Flex 5000K 3W Part Number]],Lutron_CFlex_Lookup[],MATCH("Lutron Kit PN",Lutron_CFlex_Lookup[#Headers],0),FALSE),"")</f>
        <v>3LD3T5-1M50-q</v>
      </c>
      <c r="AN115" s="1" t="b">
        <f>NOT(ISNA(VLOOKUP(Master_Reference[[#This Row],[Model Number]],ObsoleteModels[],1,FALSE)))</f>
        <v>1</v>
      </c>
      <c r="AO115" s="1" t="str">
        <f>IF(LEFT(Master_Reference[[#This Row],[Model Number]],1)="U",LEFT(Master_Reference[[#This Row],[Model Number]],4),LEFT(Master_Reference[[#This Row],[Model Number]],3))</f>
        <v>EC5</v>
      </c>
    </row>
    <row r="116" spans="1:41" x14ac:dyDescent="0.25">
      <c r="A116" s="2" t="s">
        <v>348</v>
      </c>
      <c r="B116" s="1" t="b">
        <v>1</v>
      </c>
      <c r="C116" s="1" t="b">
        <v>1</v>
      </c>
      <c r="F116" s="1" t="b">
        <v>1</v>
      </c>
      <c r="G116" s="1" t="b">
        <f>IF(OR(LEFT(RIGHT(Master_Reference[[#This Row],[Model Number]],3),1)="C",LEFT(RIGHT(Master_Reference[[#This Row],[Model Number]],4),1)="C"),TRUE,"")</f>
        <v>1</v>
      </c>
      <c r="H116" s="1" t="str">
        <f>IF(LEFT(Master_Reference[[#This Row],[Model Number]],1)="U",TRUE,"")</f>
        <v/>
      </c>
      <c r="I116" s="1" t="b">
        <f>IF(Master_Reference[[#This Row],[Lamp Type]]="T4","",IF(Master_Reference[[#This Row],[Case Type]]="M","",TRUE))</f>
        <v>1</v>
      </c>
      <c r="J116" s="1" t="str">
        <f t="shared" si="2"/>
        <v>T5</v>
      </c>
      <c r="K116" s="1">
        <v>21</v>
      </c>
      <c r="L116" s="1" t="s">
        <v>115</v>
      </c>
      <c r="M116" s="1">
        <v>1</v>
      </c>
      <c r="N116" s="1" t="s">
        <v>149</v>
      </c>
      <c r="O116" s="1" t="s">
        <v>320</v>
      </c>
      <c r="R116" t="b">
        <f>IF(COUNTBLANK(Master_Reference[[#This Row],[C-Flex 3000K Eco Part Number]:[C-Flex 4000K Eco Part Number]])=3,FALSE,TRUE)</f>
        <v>1</v>
      </c>
      <c r="S116" t="b">
        <f>IF(COUNTBLANK(Master_Reference[[#This Row],[C-Flex 3000K 3W Part Number]:[C-Flex 4000K 3W Part Number]])=3,FALSE,TRUE)</f>
        <v>1</v>
      </c>
      <c r="T116" t="b">
        <f>IF(COUNTBLANK(Master_Reference[[#This Row],[Lutron 3000K Eco Part Number]:[Lutron 4000K Eco Part Number]])=3,FALSE,TRUE)</f>
        <v>1</v>
      </c>
      <c r="U116" t="b">
        <f>IF(COUNTBLANK(Master_Reference[[#This Row],[Lutron 3000K 3W Part Number]:[Lutron 4000K 3W Part Number]])=3,FALSE,TRUE)</f>
        <v>1</v>
      </c>
      <c r="V116" s="12" t="s">
        <v>337</v>
      </c>
      <c r="W116" s="12" t="s">
        <v>338</v>
      </c>
      <c r="X116" s="12" t="s">
        <v>339</v>
      </c>
      <c r="Y116" t="s">
        <v>1717</v>
      </c>
      <c r="Z116" s="12" t="s">
        <v>134</v>
      </c>
      <c r="AA116" s="12" t="s">
        <v>135</v>
      </c>
      <c r="AB116" s="12" t="s">
        <v>136</v>
      </c>
      <c r="AC116" t="s">
        <v>1805</v>
      </c>
      <c r="AD116" t="str">
        <f>SUBSTITUTE(Master_Reference[[#This Row],[C-Flex 4000K Eco Part Number]],"40-","xx-")</f>
        <v>RP-T5-3FT-1L-8xx-E1-M-G2</v>
      </c>
      <c r="AE116" t="str">
        <f>SUBSTITUTE(Master_Reference[[#This Row],[C-Flex 4000K 3W Part Number]],"40-","xx-")</f>
        <v>RP-T5-3FT-1L-8xx-3W-M-G2</v>
      </c>
      <c r="AF116" s="1" t="str">
        <f>_xlfn.IFNA(VLOOKUP(Master_Reference[[#This Row],[C-Flex 3000K Eco Part Number]],Lutron_CFlex_Lookup[],MATCH("Lutron Kit PN",Lutron_CFlex_Lookup[#Headers],0),FALSE),"")</f>
        <v>ELD3T5-1M30-q</v>
      </c>
      <c r="AG116" s="1" t="str">
        <f>_xlfn.IFNA(VLOOKUP(Master_Reference[[#This Row],[C-Flex 3500K Eco Part Number]],Lutron_CFlex_Lookup[],MATCH("Lutron Kit PN",Lutron_CFlex_Lookup[#Headers],0),FALSE),"")</f>
        <v>ELD3T5-1M35-q</v>
      </c>
      <c r="AH116" s="1" t="str">
        <f>_xlfn.IFNA(VLOOKUP(Master_Reference[[#This Row],[C-Flex 4000K Eco Part Number]],Lutron_CFlex_Lookup[],MATCH("Lutron Kit PN",Lutron_CFlex_Lookup[#Headers],0),FALSE),"")</f>
        <v>ELD3T5-1M40-q</v>
      </c>
      <c r="AI116" s="1" t="str">
        <f>_xlfn.IFNA(VLOOKUP(Master_Reference[[#This Row],[C-Flex 5000K Eco Part Number]],Lutron_CFlex_Lookup[],MATCH("Lutron Kit PN",Lutron_CFlex_Lookup[#Headers],0),FALSE),"")</f>
        <v>ELD3T5-1M50-q</v>
      </c>
      <c r="AJ116" s="1" t="str">
        <f>_xlfn.IFNA(VLOOKUP(Master_Reference[[#This Row],[C-Flex 3000K 3W Part Number]],Lutron_CFlex_Lookup[],MATCH("Lutron Kit PN",Lutron_CFlex_Lookup[#Headers],0),FALSE),"")</f>
        <v>3LD3T5-1M30-q</v>
      </c>
      <c r="AK116" s="1" t="str">
        <f>_xlfn.IFNA(VLOOKUP(Master_Reference[[#This Row],[C-Flex 3500K 3W Part Number]],Lutron_CFlex_Lookup[],MATCH("Lutron Kit PN",Lutron_CFlex_Lookup[#Headers],0),FALSE),"")</f>
        <v>3LD3T5-1M35-q</v>
      </c>
      <c r="AL116" s="1" t="str">
        <f>_xlfn.IFNA(VLOOKUP(Master_Reference[[#This Row],[C-Flex 4000K 3W Part Number]],Lutron_CFlex_Lookup[],MATCH("Lutron Kit PN",Lutron_CFlex_Lookup[#Headers],0),FALSE),"")</f>
        <v>3LD3T5-1M40-q</v>
      </c>
      <c r="AM116" s="1" t="str">
        <f>_xlfn.IFNA(VLOOKUP(Master_Reference[[#This Row],[C-Flex 5000K 3W Part Number]],Lutron_CFlex_Lookup[],MATCH("Lutron Kit PN",Lutron_CFlex_Lookup[#Headers],0),FALSE),"")</f>
        <v>3LD3T5-1M50-q</v>
      </c>
      <c r="AN116" s="1" t="b">
        <f>NOT(ISNA(VLOOKUP(Master_Reference[[#This Row],[Model Number]],ObsoleteModels[],1,FALSE)))</f>
        <v>1</v>
      </c>
      <c r="AO116" s="1" t="str">
        <f>IF(LEFT(Master_Reference[[#This Row],[Model Number]],1)="U",LEFT(Master_Reference[[#This Row],[Model Number]],4),LEFT(Master_Reference[[#This Row],[Model Number]],3))</f>
        <v>EC5</v>
      </c>
    </row>
    <row r="117" spans="1:41" x14ac:dyDescent="0.25">
      <c r="A117" s="2" t="s">
        <v>349</v>
      </c>
      <c r="B117" s="1" t="b">
        <v>1</v>
      </c>
      <c r="C117" s="1" t="b">
        <v>1</v>
      </c>
      <c r="F117" s="1" t="b">
        <v>1</v>
      </c>
      <c r="G117" s="1" t="str">
        <f>IF(OR(LEFT(RIGHT(Master_Reference[[#This Row],[Model Number]],3),1)="C",LEFT(RIGHT(Master_Reference[[#This Row],[Model Number]],4),1)="C"),TRUE,"")</f>
        <v/>
      </c>
      <c r="H117" s="1" t="str">
        <f>IF(LEFT(Master_Reference[[#This Row],[Model Number]],1)="U",TRUE,"")</f>
        <v/>
      </c>
      <c r="I117" s="1" t="b">
        <f>IF(Master_Reference[[#This Row],[Lamp Type]]="T4","",IF(Master_Reference[[#This Row],[Case Type]]="M","",TRUE))</f>
        <v>1</v>
      </c>
      <c r="J117" s="1" t="str">
        <f t="shared" si="2"/>
        <v>T5</v>
      </c>
      <c r="K117" s="1">
        <v>21</v>
      </c>
      <c r="L117" s="1" t="s">
        <v>115</v>
      </c>
      <c r="M117" s="1">
        <v>1</v>
      </c>
      <c r="N117" s="1" t="s">
        <v>149</v>
      </c>
      <c r="O117" s="1" t="s">
        <v>320</v>
      </c>
      <c r="Q117" s="1" t="s">
        <v>91</v>
      </c>
      <c r="R117" t="b">
        <f>IF(COUNTBLANK(Master_Reference[[#This Row],[C-Flex 3000K Eco Part Number]:[C-Flex 4000K Eco Part Number]])=3,FALSE,TRUE)</f>
        <v>0</v>
      </c>
      <c r="S117" t="b">
        <f>IF(COUNTBLANK(Master_Reference[[#This Row],[C-Flex 3000K 3W Part Number]:[C-Flex 4000K 3W Part Number]])=3,FALSE,TRUE)</f>
        <v>0</v>
      </c>
      <c r="T117" t="b">
        <f>IF(COUNTBLANK(Master_Reference[[#This Row],[Lutron 3000K Eco Part Number]:[Lutron 4000K Eco Part Number]])=3,FALSE,TRUE)</f>
        <v>0</v>
      </c>
      <c r="U117" t="b">
        <f>IF(COUNTBLANK(Master_Reference[[#This Row],[Lutron 3000K 3W Part Number]:[Lutron 4000K 3W Part Number]])=3,FALSE,TRUE)</f>
        <v>0</v>
      </c>
      <c r="V117" s="12"/>
      <c r="W117" s="12"/>
      <c r="X117" s="12"/>
      <c r="Y117" t="s">
        <v>2125</v>
      </c>
      <c r="Z117" s="12"/>
      <c r="AA117" s="12"/>
      <c r="AB117" s="12"/>
      <c r="AC117" t="s">
        <v>2125</v>
      </c>
      <c r="AD117" t="str">
        <f>SUBSTITUTE(Master_Reference[[#This Row],[C-Flex 4000K Eco Part Number]],"40-","xx-")</f>
        <v/>
      </c>
      <c r="AE117" t="str">
        <f>SUBSTITUTE(Master_Reference[[#This Row],[C-Flex 4000K 3W Part Number]],"40-","xx-")</f>
        <v/>
      </c>
      <c r="AF117" s="1" t="str">
        <f>_xlfn.IFNA(VLOOKUP(Master_Reference[[#This Row],[C-Flex 3000K Eco Part Number]],Lutron_CFlex_Lookup[],MATCH("Lutron Kit PN",Lutron_CFlex_Lookup[#Headers],0),FALSE),"")</f>
        <v/>
      </c>
      <c r="AG117" s="1" t="str">
        <f>_xlfn.IFNA(VLOOKUP(Master_Reference[[#This Row],[C-Flex 3500K Eco Part Number]],Lutron_CFlex_Lookup[],MATCH("Lutron Kit PN",Lutron_CFlex_Lookup[#Headers],0),FALSE),"")</f>
        <v/>
      </c>
      <c r="AH117" s="1" t="str">
        <f>_xlfn.IFNA(VLOOKUP(Master_Reference[[#This Row],[C-Flex 4000K Eco Part Number]],Lutron_CFlex_Lookup[],MATCH("Lutron Kit PN",Lutron_CFlex_Lookup[#Headers],0),FALSE),"")</f>
        <v/>
      </c>
      <c r="AI117" s="1" t="str">
        <f>_xlfn.IFNA(VLOOKUP(Master_Reference[[#This Row],[C-Flex 5000K Eco Part Number]],Lutron_CFlex_Lookup[],MATCH("Lutron Kit PN",Lutron_CFlex_Lookup[#Headers],0),FALSE),"")</f>
        <v/>
      </c>
      <c r="AJ117" s="1" t="str">
        <f>_xlfn.IFNA(VLOOKUP(Master_Reference[[#This Row],[C-Flex 3000K 3W Part Number]],Lutron_CFlex_Lookup[],MATCH("Lutron Kit PN",Lutron_CFlex_Lookup[#Headers],0),FALSE),"")</f>
        <v/>
      </c>
      <c r="AK117" s="1" t="str">
        <f>_xlfn.IFNA(VLOOKUP(Master_Reference[[#This Row],[C-Flex 3500K 3W Part Number]],Lutron_CFlex_Lookup[],MATCH("Lutron Kit PN",Lutron_CFlex_Lookup[#Headers],0),FALSE),"")</f>
        <v/>
      </c>
      <c r="AL117" s="1" t="str">
        <f>_xlfn.IFNA(VLOOKUP(Master_Reference[[#This Row],[C-Flex 4000K 3W Part Number]],Lutron_CFlex_Lookup[],MATCH("Lutron Kit PN",Lutron_CFlex_Lookup[#Headers],0),FALSE),"")</f>
        <v/>
      </c>
      <c r="AM117" s="1" t="str">
        <f>_xlfn.IFNA(VLOOKUP(Master_Reference[[#This Row],[C-Flex 5000K 3W Part Number]],Lutron_CFlex_Lookup[],MATCH("Lutron Kit PN",Lutron_CFlex_Lookup[#Headers],0),FALSE),"")</f>
        <v/>
      </c>
      <c r="AN117" s="1" t="b">
        <f>NOT(ISNA(VLOOKUP(Master_Reference[[#This Row],[Model Number]],ObsoleteModels[],1,FALSE)))</f>
        <v>0</v>
      </c>
      <c r="AO117" s="1" t="str">
        <f>IF(LEFT(Master_Reference[[#This Row],[Model Number]],1)="U",LEFT(Master_Reference[[#This Row],[Model Number]],4),LEFT(Master_Reference[[#This Row],[Model Number]],3))</f>
        <v>EC5</v>
      </c>
    </row>
    <row r="118" spans="1:41" x14ac:dyDescent="0.25">
      <c r="A118" s="2" t="s">
        <v>350</v>
      </c>
      <c r="B118" s="1" t="b">
        <v>1</v>
      </c>
      <c r="C118" s="1" t="b">
        <v>1</v>
      </c>
      <c r="F118" s="1" t="b">
        <v>1</v>
      </c>
      <c r="G118" s="1" t="str">
        <f>IF(OR(LEFT(RIGHT(Master_Reference[[#This Row],[Model Number]],3),1)="C",LEFT(RIGHT(Master_Reference[[#This Row],[Model Number]],4),1)="C"),TRUE,"")</f>
        <v/>
      </c>
      <c r="H118" s="1" t="str">
        <f>IF(LEFT(Master_Reference[[#This Row],[Model Number]],1)="U",TRUE,"")</f>
        <v/>
      </c>
      <c r="I118" s="1" t="b">
        <f>IF(Master_Reference[[#This Row],[Lamp Type]]="T4","",IF(Master_Reference[[#This Row],[Case Type]]="M","",TRUE))</f>
        <v>1</v>
      </c>
      <c r="J118" s="1" t="str">
        <f t="shared" si="2"/>
        <v>T5</v>
      </c>
      <c r="K118" s="1">
        <v>21</v>
      </c>
      <c r="L118" s="1" t="s">
        <v>115</v>
      </c>
      <c r="M118" s="1">
        <v>2</v>
      </c>
      <c r="N118" s="1" t="s">
        <v>149</v>
      </c>
      <c r="O118" s="1" t="s">
        <v>320</v>
      </c>
      <c r="R118" t="b">
        <f>IF(COUNTBLANK(Master_Reference[[#This Row],[C-Flex 3000K Eco Part Number]:[C-Flex 4000K Eco Part Number]])=3,FALSE,TRUE)</f>
        <v>1</v>
      </c>
      <c r="S118" t="b">
        <f>IF(COUNTBLANK(Master_Reference[[#This Row],[C-Flex 3000K 3W Part Number]:[C-Flex 4000K 3W Part Number]])=3,FALSE,TRUE)</f>
        <v>1</v>
      </c>
      <c r="T118" t="b">
        <f>IF(COUNTBLANK(Master_Reference[[#This Row],[Lutron 3000K Eco Part Number]:[Lutron 4000K Eco Part Number]])=3,FALSE,TRUE)</f>
        <v>1</v>
      </c>
      <c r="U118" t="b">
        <f>IF(COUNTBLANK(Master_Reference[[#This Row],[Lutron 3000K 3W Part Number]:[Lutron 4000K 3W Part Number]])=3,FALSE,TRUE)</f>
        <v>1</v>
      </c>
      <c r="V118" s="12" t="s">
        <v>341</v>
      </c>
      <c r="W118" s="12" t="s">
        <v>342</v>
      </c>
      <c r="X118" s="12" t="s">
        <v>343</v>
      </c>
      <c r="Y118" t="s">
        <v>1718</v>
      </c>
      <c r="Z118" s="12" t="s">
        <v>138</v>
      </c>
      <c r="AA118" s="12" t="s">
        <v>139</v>
      </c>
      <c r="AB118" s="12" t="s">
        <v>140</v>
      </c>
      <c r="AC118" t="s">
        <v>1806</v>
      </c>
      <c r="AD118" t="str">
        <f>SUBSTITUTE(Master_Reference[[#This Row],[C-Flex 4000K Eco Part Number]],"40-","xx-")</f>
        <v>RP-T5-3FT-2L-8xx-E1-M-G2</v>
      </c>
      <c r="AE118" t="str">
        <f>SUBSTITUTE(Master_Reference[[#This Row],[C-Flex 4000K 3W Part Number]],"40-","xx-")</f>
        <v>RP-T5-3FT-2L-8xx-3W-M-G2</v>
      </c>
      <c r="AF118" s="1" t="str">
        <f>_xlfn.IFNA(VLOOKUP(Master_Reference[[#This Row],[C-Flex 3000K Eco Part Number]],Lutron_CFlex_Lookup[],MATCH("Lutron Kit PN",Lutron_CFlex_Lookup[#Headers],0),FALSE),"")</f>
        <v>ELD3T5-2M30-q</v>
      </c>
      <c r="AG118" s="1" t="str">
        <f>_xlfn.IFNA(VLOOKUP(Master_Reference[[#This Row],[C-Flex 3500K Eco Part Number]],Lutron_CFlex_Lookup[],MATCH("Lutron Kit PN",Lutron_CFlex_Lookup[#Headers],0),FALSE),"")</f>
        <v>ELD3T5-2M35-q</v>
      </c>
      <c r="AH118" s="1" t="str">
        <f>_xlfn.IFNA(VLOOKUP(Master_Reference[[#This Row],[C-Flex 4000K Eco Part Number]],Lutron_CFlex_Lookup[],MATCH("Lutron Kit PN",Lutron_CFlex_Lookup[#Headers],0),FALSE),"")</f>
        <v>ELD3T5-2M40-q</v>
      </c>
      <c r="AI118" s="1" t="str">
        <f>_xlfn.IFNA(VLOOKUP(Master_Reference[[#This Row],[C-Flex 5000K Eco Part Number]],Lutron_CFlex_Lookup[],MATCH("Lutron Kit PN",Lutron_CFlex_Lookup[#Headers],0),FALSE),"")</f>
        <v>ELD3T5-2M50-q</v>
      </c>
      <c r="AJ118" s="1" t="str">
        <f>_xlfn.IFNA(VLOOKUP(Master_Reference[[#This Row],[C-Flex 3000K 3W Part Number]],Lutron_CFlex_Lookup[],MATCH("Lutron Kit PN",Lutron_CFlex_Lookup[#Headers],0),FALSE),"")</f>
        <v>3LD3T5-2M30-q</v>
      </c>
      <c r="AK118" s="1" t="str">
        <f>_xlfn.IFNA(VLOOKUP(Master_Reference[[#This Row],[C-Flex 3500K 3W Part Number]],Lutron_CFlex_Lookup[],MATCH("Lutron Kit PN",Lutron_CFlex_Lookup[#Headers],0),FALSE),"")</f>
        <v>3LD3T5-2M35-q</v>
      </c>
      <c r="AL118" s="1" t="str">
        <f>_xlfn.IFNA(VLOOKUP(Master_Reference[[#This Row],[C-Flex 4000K 3W Part Number]],Lutron_CFlex_Lookup[],MATCH("Lutron Kit PN",Lutron_CFlex_Lookup[#Headers],0),FALSE),"")</f>
        <v>3LD3T5-2M40-q</v>
      </c>
      <c r="AM118" s="1" t="str">
        <f>_xlfn.IFNA(VLOOKUP(Master_Reference[[#This Row],[C-Flex 5000K 3W Part Number]],Lutron_CFlex_Lookup[],MATCH("Lutron Kit PN",Lutron_CFlex_Lookup[#Headers],0),FALSE),"")</f>
        <v>3LD3T5-2M50-q</v>
      </c>
      <c r="AN118" s="1" t="b">
        <f>NOT(ISNA(VLOOKUP(Master_Reference[[#This Row],[Model Number]],ObsoleteModels[],1,FALSE)))</f>
        <v>0</v>
      </c>
      <c r="AO118" s="1" t="str">
        <f>IF(LEFT(Master_Reference[[#This Row],[Model Number]],1)="U",LEFT(Master_Reference[[#This Row],[Model Number]],4),LEFT(Master_Reference[[#This Row],[Model Number]],3))</f>
        <v>EC5</v>
      </c>
    </row>
    <row r="119" spans="1:41" x14ac:dyDescent="0.25">
      <c r="A119" s="2" t="s">
        <v>351</v>
      </c>
      <c r="B119" s="1" t="b">
        <v>1</v>
      </c>
      <c r="C119" s="1" t="b">
        <v>1</v>
      </c>
      <c r="F119" s="1" t="b">
        <v>1</v>
      </c>
      <c r="G119" s="1" t="b">
        <f>IF(OR(LEFT(RIGHT(Master_Reference[[#This Row],[Model Number]],3),1)="C",LEFT(RIGHT(Master_Reference[[#This Row],[Model Number]],4),1)="C"),TRUE,"")</f>
        <v>1</v>
      </c>
      <c r="H119" s="1" t="str">
        <f>IF(LEFT(Master_Reference[[#This Row],[Model Number]],1)="U",TRUE,"")</f>
        <v/>
      </c>
      <c r="I119" s="1" t="b">
        <f>IF(Master_Reference[[#This Row],[Lamp Type]]="T4","",IF(Master_Reference[[#This Row],[Case Type]]="M","",TRUE))</f>
        <v>1</v>
      </c>
      <c r="J119" s="1" t="str">
        <f t="shared" si="2"/>
        <v>T5</v>
      </c>
      <c r="K119" s="1">
        <v>21</v>
      </c>
      <c r="L119" s="1" t="s">
        <v>115</v>
      </c>
      <c r="M119" s="1">
        <v>2</v>
      </c>
      <c r="N119" s="1" t="s">
        <v>149</v>
      </c>
      <c r="O119" s="1" t="s">
        <v>320</v>
      </c>
      <c r="R119" t="b">
        <f>IF(COUNTBLANK(Master_Reference[[#This Row],[C-Flex 3000K Eco Part Number]:[C-Flex 4000K Eco Part Number]])=3,FALSE,TRUE)</f>
        <v>1</v>
      </c>
      <c r="S119" t="b">
        <f>IF(COUNTBLANK(Master_Reference[[#This Row],[C-Flex 3000K 3W Part Number]:[C-Flex 4000K 3W Part Number]])=3,FALSE,TRUE)</f>
        <v>1</v>
      </c>
      <c r="T119" t="b">
        <f>IF(COUNTBLANK(Master_Reference[[#This Row],[Lutron 3000K Eco Part Number]:[Lutron 4000K Eco Part Number]])=3,FALSE,TRUE)</f>
        <v>1</v>
      </c>
      <c r="U119" t="b">
        <f>IF(COUNTBLANK(Master_Reference[[#This Row],[Lutron 3000K 3W Part Number]:[Lutron 4000K 3W Part Number]])=3,FALSE,TRUE)</f>
        <v>1</v>
      </c>
      <c r="V119" s="12" t="s">
        <v>341</v>
      </c>
      <c r="W119" s="12" t="s">
        <v>342</v>
      </c>
      <c r="X119" s="12" t="s">
        <v>343</v>
      </c>
      <c r="Y119" t="s">
        <v>1718</v>
      </c>
      <c r="Z119" s="12" t="s">
        <v>138</v>
      </c>
      <c r="AA119" s="12" t="s">
        <v>139</v>
      </c>
      <c r="AB119" s="12" t="s">
        <v>140</v>
      </c>
      <c r="AC119" t="s">
        <v>1806</v>
      </c>
      <c r="AD119" t="str">
        <f>SUBSTITUTE(Master_Reference[[#This Row],[C-Flex 4000K Eco Part Number]],"40-","xx-")</f>
        <v>RP-T5-3FT-2L-8xx-E1-M-G2</v>
      </c>
      <c r="AE119" t="str">
        <f>SUBSTITUTE(Master_Reference[[#This Row],[C-Flex 4000K 3W Part Number]],"40-","xx-")</f>
        <v>RP-T5-3FT-2L-8xx-3W-M-G2</v>
      </c>
      <c r="AF119" s="1" t="str">
        <f>_xlfn.IFNA(VLOOKUP(Master_Reference[[#This Row],[C-Flex 3000K Eco Part Number]],Lutron_CFlex_Lookup[],MATCH("Lutron Kit PN",Lutron_CFlex_Lookup[#Headers],0),FALSE),"")</f>
        <v>ELD3T5-2M30-q</v>
      </c>
      <c r="AG119" s="1" t="str">
        <f>_xlfn.IFNA(VLOOKUP(Master_Reference[[#This Row],[C-Flex 3500K Eco Part Number]],Lutron_CFlex_Lookup[],MATCH("Lutron Kit PN",Lutron_CFlex_Lookup[#Headers],0),FALSE),"")</f>
        <v>ELD3T5-2M35-q</v>
      </c>
      <c r="AH119" s="1" t="str">
        <f>_xlfn.IFNA(VLOOKUP(Master_Reference[[#This Row],[C-Flex 4000K Eco Part Number]],Lutron_CFlex_Lookup[],MATCH("Lutron Kit PN",Lutron_CFlex_Lookup[#Headers],0),FALSE),"")</f>
        <v>ELD3T5-2M40-q</v>
      </c>
      <c r="AI119" s="1" t="str">
        <f>_xlfn.IFNA(VLOOKUP(Master_Reference[[#This Row],[C-Flex 5000K Eco Part Number]],Lutron_CFlex_Lookup[],MATCH("Lutron Kit PN",Lutron_CFlex_Lookup[#Headers],0),FALSE),"")</f>
        <v>ELD3T5-2M50-q</v>
      </c>
      <c r="AJ119" s="1" t="str">
        <f>_xlfn.IFNA(VLOOKUP(Master_Reference[[#This Row],[C-Flex 3000K 3W Part Number]],Lutron_CFlex_Lookup[],MATCH("Lutron Kit PN",Lutron_CFlex_Lookup[#Headers],0),FALSE),"")</f>
        <v>3LD3T5-2M30-q</v>
      </c>
      <c r="AK119" s="1" t="str">
        <f>_xlfn.IFNA(VLOOKUP(Master_Reference[[#This Row],[C-Flex 3500K 3W Part Number]],Lutron_CFlex_Lookup[],MATCH("Lutron Kit PN",Lutron_CFlex_Lookup[#Headers],0),FALSE),"")</f>
        <v>3LD3T5-2M35-q</v>
      </c>
      <c r="AL119" s="1" t="str">
        <f>_xlfn.IFNA(VLOOKUP(Master_Reference[[#This Row],[C-Flex 4000K 3W Part Number]],Lutron_CFlex_Lookup[],MATCH("Lutron Kit PN",Lutron_CFlex_Lookup[#Headers],0),FALSE),"")</f>
        <v>3LD3T5-2M40-q</v>
      </c>
      <c r="AM119" s="1" t="str">
        <f>_xlfn.IFNA(VLOOKUP(Master_Reference[[#This Row],[C-Flex 5000K 3W Part Number]],Lutron_CFlex_Lookup[],MATCH("Lutron Kit PN",Lutron_CFlex_Lookup[#Headers],0),FALSE),"")</f>
        <v>3LD3T5-2M50-q</v>
      </c>
      <c r="AN119" s="1" t="b">
        <f>NOT(ISNA(VLOOKUP(Master_Reference[[#This Row],[Model Number]],ObsoleteModels[],1,FALSE)))</f>
        <v>1</v>
      </c>
      <c r="AO119" s="1" t="str">
        <f>IF(LEFT(Master_Reference[[#This Row],[Model Number]],1)="U",LEFT(Master_Reference[[#This Row],[Model Number]],4),LEFT(Master_Reference[[#This Row],[Model Number]],3))</f>
        <v>EC5</v>
      </c>
    </row>
    <row r="120" spans="1:41" x14ac:dyDescent="0.25">
      <c r="A120" s="2" t="s">
        <v>352</v>
      </c>
      <c r="B120" s="1" t="b">
        <v>1</v>
      </c>
      <c r="C120" s="1" t="b">
        <v>1</v>
      </c>
      <c r="F120" s="1" t="b">
        <v>1</v>
      </c>
      <c r="G120" s="1" t="b">
        <f>IF(OR(LEFT(RIGHT(Master_Reference[[#This Row],[Model Number]],3),1)="C",LEFT(RIGHT(Master_Reference[[#This Row],[Model Number]],4),1)="C"),TRUE,"")</f>
        <v>1</v>
      </c>
      <c r="H120" s="1" t="str">
        <f>IF(LEFT(Master_Reference[[#This Row],[Model Number]],1)="U",TRUE,"")</f>
        <v/>
      </c>
      <c r="I120" s="1" t="b">
        <f>IF(Master_Reference[[#This Row],[Lamp Type]]="T4","",IF(Master_Reference[[#This Row],[Case Type]]="M","",TRUE))</f>
        <v>1</v>
      </c>
      <c r="J120" s="1" t="str">
        <f t="shared" si="2"/>
        <v>T5</v>
      </c>
      <c r="K120" s="1">
        <v>21</v>
      </c>
      <c r="L120" s="1" t="s">
        <v>115</v>
      </c>
      <c r="M120" s="1">
        <v>2</v>
      </c>
      <c r="N120" s="1" t="s">
        <v>149</v>
      </c>
      <c r="O120" s="1" t="s">
        <v>320</v>
      </c>
      <c r="R120" t="b">
        <f>IF(COUNTBLANK(Master_Reference[[#This Row],[C-Flex 3000K Eco Part Number]:[C-Flex 4000K Eco Part Number]])=3,FALSE,TRUE)</f>
        <v>1</v>
      </c>
      <c r="S120" t="b">
        <f>IF(COUNTBLANK(Master_Reference[[#This Row],[C-Flex 3000K 3W Part Number]:[C-Flex 4000K 3W Part Number]])=3,FALSE,TRUE)</f>
        <v>1</v>
      </c>
      <c r="T120" t="b">
        <f>IF(COUNTBLANK(Master_Reference[[#This Row],[Lutron 3000K Eco Part Number]:[Lutron 4000K Eco Part Number]])=3,FALSE,TRUE)</f>
        <v>1</v>
      </c>
      <c r="U120" t="b">
        <f>IF(COUNTBLANK(Master_Reference[[#This Row],[Lutron 3000K 3W Part Number]:[Lutron 4000K 3W Part Number]])=3,FALSE,TRUE)</f>
        <v>1</v>
      </c>
      <c r="V120" s="12" t="s">
        <v>341</v>
      </c>
      <c r="W120" s="12" t="s">
        <v>342</v>
      </c>
      <c r="X120" s="12" t="s">
        <v>343</v>
      </c>
      <c r="Y120" t="s">
        <v>1718</v>
      </c>
      <c r="Z120" s="12" t="s">
        <v>138</v>
      </c>
      <c r="AA120" s="12" t="s">
        <v>139</v>
      </c>
      <c r="AB120" s="12" t="s">
        <v>140</v>
      </c>
      <c r="AC120" t="s">
        <v>1806</v>
      </c>
      <c r="AD120" t="str">
        <f>SUBSTITUTE(Master_Reference[[#This Row],[C-Flex 4000K Eco Part Number]],"40-","xx-")</f>
        <v>RP-T5-3FT-2L-8xx-E1-M-G2</v>
      </c>
      <c r="AE120" t="str">
        <f>SUBSTITUTE(Master_Reference[[#This Row],[C-Flex 4000K 3W Part Number]],"40-","xx-")</f>
        <v>RP-T5-3FT-2L-8xx-3W-M-G2</v>
      </c>
      <c r="AF120" s="1" t="str">
        <f>_xlfn.IFNA(VLOOKUP(Master_Reference[[#This Row],[C-Flex 3000K Eco Part Number]],Lutron_CFlex_Lookup[],MATCH("Lutron Kit PN",Lutron_CFlex_Lookup[#Headers],0),FALSE),"")</f>
        <v>ELD3T5-2M30-q</v>
      </c>
      <c r="AG120" s="1" t="str">
        <f>_xlfn.IFNA(VLOOKUP(Master_Reference[[#This Row],[C-Flex 3500K Eco Part Number]],Lutron_CFlex_Lookup[],MATCH("Lutron Kit PN",Lutron_CFlex_Lookup[#Headers],0),FALSE),"")</f>
        <v>ELD3T5-2M35-q</v>
      </c>
      <c r="AH120" s="1" t="str">
        <f>_xlfn.IFNA(VLOOKUP(Master_Reference[[#This Row],[C-Flex 4000K Eco Part Number]],Lutron_CFlex_Lookup[],MATCH("Lutron Kit PN",Lutron_CFlex_Lookup[#Headers],0),FALSE),"")</f>
        <v>ELD3T5-2M40-q</v>
      </c>
      <c r="AI120" s="1" t="str">
        <f>_xlfn.IFNA(VLOOKUP(Master_Reference[[#This Row],[C-Flex 5000K Eco Part Number]],Lutron_CFlex_Lookup[],MATCH("Lutron Kit PN",Lutron_CFlex_Lookup[#Headers],0),FALSE),"")</f>
        <v>ELD3T5-2M50-q</v>
      </c>
      <c r="AJ120" s="1" t="str">
        <f>_xlfn.IFNA(VLOOKUP(Master_Reference[[#This Row],[C-Flex 3000K 3W Part Number]],Lutron_CFlex_Lookup[],MATCH("Lutron Kit PN",Lutron_CFlex_Lookup[#Headers],0),FALSE),"")</f>
        <v>3LD3T5-2M30-q</v>
      </c>
      <c r="AK120" s="1" t="str">
        <f>_xlfn.IFNA(VLOOKUP(Master_Reference[[#This Row],[C-Flex 3500K 3W Part Number]],Lutron_CFlex_Lookup[],MATCH("Lutron Kit PN",Lutron_CFlex_Lookup[#Headers],0),FALSE),"")</f>
        <v>3LD3T5-2M35-q</v>
      </c>
      <c r="AL120" s="1" t="str">
        <f>_xlfn.IFNA(VLOOKUP(Master_Reference[[#This Row],[C-Flex 4000K 3W Part Number]],Lutron_CFlex_Lookup[],MATCH("Lutron Kit PN",Lutron_CFlex_Lookup[#Headers],0),FALSE),"")</f>
        <v>3LD3T5-2M40-q</v>
      </c>
      <c r="AM120" s="1" t="str">
        <f>_xlfn.IFNA(VLOOKUP(Master_Reference[[#This Row],[C-Flex 5000K 3W Part Number]],Lutron_CFlex_Lookup[],MATCH("Lutron Kit PN",Lutron_CFlex_Lookup[#Headers],0),FALSE),"")</f>
        <v>3LD3T5-2M50-q</v>
      </c>
      <c r="AN120" s="1" t="b">
        <f>NOT(ISNA(VLOOKUP(Master_Reference[[#This Row],[Model Number]],ObsoleteModels[],1,FALSE)))</f>
        <v>1</v>
      </c>
      <c r="AO120" s="1" t="str">
        <f>IF(LEFT(Master_Reference[[#This Row],[Model Number]],1)="U",LEFT(Master_Reference[[#This Row],[Model Number]],4),LEFT(Master_Reference[[#This Row],[Model Number]],3))</f>
        <v>EC5</v>
      </c>
    </row>
    <row r="121" spans="1:41" x14ac:dyDescent="0.25">
      <c r="A121" s="2" t="s">
        <v>353</v>
      </c>
      <c r="B121" s="1" t="b">
        <v>1</v>
      </c>
      <c r="C121" s="1" t="b">
        <v>1</v>
      </c>
      <c r="F121" s="1" t="b">
        <v>1</v>
      </c>
      <c r="G121" s="1" t="str">
        <f>IF(OR(LEFT(RIGHT(Master_Reference[[#This Row],[Model Number]],3),1)="C",LEFT(RIGHT(Master_Reference[[#This Row],[Model Number]],4),1)="C"),TRUE,"")</f>
        <v/>
      </c>
      <c r="H121" s="1" t="str">
        <f>IF(LEFT(Master_Reference[[#This Row],[Model Number]],1)="U",TRUE,"")</f>
        <v/>
      </c>
      <c r="I121" s="1" t="b">
        <f>IF(Master_Reference[[#This Row],[Lamp Type]]="T4","",IF(Master_Reference[[#This Row],[Case Type]]="M","",TRUE))</f>
        <v>1</v>
      </c>
      <c r="J121" s="1" t="str">
        <f t="shared" si="2"/>
        <v>T5</v>
      </c>
      <c r="K121" s="1">
        <v>21</v>
      </c>
      <c r="L121" s="1" t="s">
        <v>115</v>
      </c>
      <c r="M121" s="1">
        <v>2</v>
      </c>
      <c r="N121" s="1" t="s">
        <v>149</v>
      </c>
      <c r="O121" s="1" t="s">
        <v>320</v>
      </c>
      <c r="Q121" s="1" t="s">
        <v>91</v>
      </c>
      <c r="R121" t="b">
        <f>IF(COUNTBLANK(Master_Reference[[#This Row],[C-Flex 3000K Eco Part Number]:[C-Flex 4000K Eco Part Number]])=3,FALSE,TRUE)</f>
        <v>0</v>
      </c>
      <c r="S121" t="b">
        <f>IF(COUNTBLANK(Master_Reference[[#This Row],[C-Flex 3000K 3W Part Number]:[C-Flex 4000K 3W Part Number]])=3,FALSE,TRUE)</f>
        <v>0</v>
      </c>
      <c r="T121" t="b">
        <f>IF(COUNTBLANK(Master_Reference[[#This Row],[Lutron 3000K Eco Part Number]:[Lutron 4000K Eco Part Number]])=3,FALSE,TRUE)</f>
        <v>0</v>
      </c>
      <c r="U121" t="b">
        <f>IF(COUNTBLANK(Master_Reference[[#This Row],[Lutron 3000K 3W Part Number]:[Lutron 4000K 3W Part Number]])=3,FALSE,TRUE)</f>
        <v>0</v>
      </c>
      <c r="V121" s="12"/>
      <c r="W121" s="12"/>
      <c r="X121" s="12"/>
      <c r="Y121" t="s">
        <v>2125</v>
      </c>
      <c r="Z121" s="12"/>
      <c r="AA121" s="12"/>
      <c r="AB121" s="12"/>
      <c r="AC121" t="s">
        <v>2125</v>
      </c>
      <c r="AD121" t="str">
        <f>SUBSTITUTE(Master_Reference[[#This Row],[C-Flex 4000K Eco Part Number]],"40-","xx-")</f>
        <v/>
      </c>
      <c r="AE121" t="str">
        <f>SUBSTITUTE(Master_Reference[[#This Row],[C-Flex 4000K 3W Part Number]],"40-","xx-")</f>
        <v/>
      </c>
      <c r="AF121" s="1" t="str">
        <f>_xlfn.IFNA(VLOOKUP(Master_Reference[[#This Row],[C-Flex 3000K Eco Part Number]],Lutron_CFlex_Lookup[],MATCH("Lutron Kit PN",Lutron_CFlex_Lookup[#Headers],0),FALSE),"")</f>
        <v/>
      </c>
      <c r="AG121" s="1" t="str">
        <f>_xlfn.IFNA(VLOOKUP(Master_Reference[[#This Row],[C-Flex 3500K Eco Part Number]],Lutron_CFlex_Lookup[],MATCH("Lutron Kit PN",Lutron_CFlex_Lookup[#Headers],0),FALSE),"")</f>
        <v/>
      </c>
      <c r="AH121" s="1" t="str">
        <f>_xlfn.IFNA(VLOOKUP(Master_Reference[[#This Row],[C-Flex 4000K Eco Part Number]],Lutron_CFlex_Lookup[],MATCH("Lutron Kit PN",Lutron_CFlex_Lookup[#Headers],0),FALSE),"")</f>
        <v/>
      </c>
      <c r="AI121" s="1" t="str">
        <f>_xlfn.IFNA(VLOOKUP(Master_Reference[[#This Row],[C-Flex 5000K Eco Part Number]],Lutron_CFlex_Lookup[],MATCH("Lutron Kit PN",Lutron_CFlex_Lookup[#Headers],0),FALSE),"")</f>
        <v/>
      </c>
      <c r="AJ121" s="1" t="str">
        <f>_xlfn.IFNA(VLOOKUP(Master_Reference[[#This Row],[C-Flex 3000K 3W Part Number]],Lutron_CFlex_Lookup[],MATCH("Lutron Kit PN",Lutron_CFlex_Lookup[#Headers],0),FALSE),"")</f>
        <v/>
      </c>
      <c r="AK121" s="1" t="str">
        <f>_xlfn.IFNA(VLOOKUP(Master_Reference[[#This Row],[C-Flex 3500K 3W Part Number]],Lutron_CFlex_Lookup[],MATCH("Lutron Kit PN",Lutron_CFlex_Lookup[#Headers],0),FALSE),"")</f>
        <v/>
      </c>
      <c r="AL121" s="1" t="str">
        <f>_xlfn.IFNA(VLOOKUP(Master_Reference[[#This Row],[C-Flex 4000K 3W Part Number]],Lutron_CFlex_Lookup[],MATCH("Lutron Kit PN",Lutron_CFlex_Lookup[#Headers],0),FALSE),"")</f>
        <v/>
      </c>
      <c r="AM121" s="1" t="str">
        <f>_xlfn.IFNA(VLOOKUP(Master_Reference[[#This Row],[C-Flex 5000K 3W Part Number]],Lutron_CFlex_Lookup[],MATCH("Lutron Kit PN",Lutron_CFlex_Lookup[#Headers],0),FALSE),"")</f>
        <v/>
      </c>
      <c r="AN121" s="1" t="b">
        <f>NOT(ISNA(VLOOKUP(Master_Reference[[#This Row],[Model Number]],ObsoleteModels[],1,FALSE)))</f>
        <v>0</v>
      </c>
      <c r="AO121" s="1" t="str">
        <f>IF(LEFT(Master_Reference[[#This Row],[Model Number]],1)="U",LEFT(Master_Reference[[#This Row],[Model Number]],4),LEFT(Master_Reference[[#This Row],[Model Number]],3))</f>
        <v>EC5</v>
      </c>
    </row>
    <row r="122" spans="1:41" x14ac:dyDescent="0.25">
      <c r="A122" s="2" t="s">
        <v>354</v>
      </c>
      <c r="B122" s="1" t="b">
        <v>1</v>
      </c>
      <c r="C122" s="1" t="b">
        <v>1</v>
      </c>
      <c r="F122" s="1" t="b">
        <v>1</v>
      </c>
      <c r="G122" s="1" t="str">
        <f>IF(OR(LEFT(RIGHT(Master_Reference[[#This Row],[Model Number]],3),1)="C",LEFT(RIGHT(Master_Reference[[#This Row],[Model Number]],4),1)="C"),TRUE,"")</f>
        <v/>
      </c>
      <c r="H122" s="1" t="str">
        <f>IF(LEFT(Master_Reference[[#This Row],[Model Number]],1)="U",TRUE,"")</f>
        <v/>
      </c>
      <c r="I122" s="1" t="b">
        <f>IF(Master_Reference[[#This Row],[Lamp Type]]="T4","",IF(Master_Reference[[#This Row],[Case Type]]="M","",TRUE))</f>
        <v>1</v>
      </c>
      <c r="J122" s="1" t="s">
        <v>297</v>
      </c>
      <c r="K122" s="1">
        <v>24</v>
      </c>
      <c r="L122" s="1" t="s">
        <v>112</v>
      </c>
      <c r="M122" s="1">
        <v>1</v>
      </c>
      <c r="N122" s="1">
        <v>120</v>
      </c>
      <c r="O122" s="1" t="s">
        <v>320</v>
      </c>
      <c r="R122" t="b">
        <f>IF(COUNTBLANK(Master_Reference[[#This Row],[C-Flex 3000K Eco Part Number]:[C-Flex 4000K Eco Part Number]])=3,FALSE,TRUE)</f>
        <v>1</v>
      </c>
      <c r="S122" t="b">
        <f>IF(COUNTBLANK(Master_Reference[[#This Row],[C-Flex 3000K 3W Part Number]:[C-Flex 4000K 3W Part Number]])=3,FALSE,TRUE)</f>
        <v>1</v>
      </c>
      <c r="T122" t="b">
        <f>IF(COUNTBLANK(Master_Reference[[#This Row],[Lutron 3000K Eco Part Number]:[Lutron 4000K Eco Part Number]])=3,FALSE,TRUE)</f>
        <v>1</v>
      </c>
      <c r="U122" t="b">
        <f>IF(COUNTBLANK(Master_Reference[[#This Row],[Lutron 3000K 3W Part Number]:[Lutron 4000K 3W Part Number]])=3,FALSE,TRUE)</f>
        <v>1</v>
      </c>
      <c r="V122" s="12" t="s">
        <v>355</v>
      </c>
      <c r="W122" s="12" t="s">
        <v>356</v>
      </c>
      <c r="X122" s="12" t="s">
        <v>357</v>
      </c>
      <c r="Y122" t="s">
        <v>1721</v>
      </c>
      <c r="Z122" s="12" t="s">
        <v>358</v>
      </c>
      <c r="AA122" s="12" t="s">
        <v>359</v>
      </c>
      <c r="AB122" s="12" t="s">
        <v>360</v>
      </c>
      <c r="AC122" t="s">
        <v>1809</v>
      </c>
      <c r="AD122" t="str">
        <f>SUBSTITUTE(Master_Reference[[#This Row],[C-Flex 4000K Eco Part Number]],"40-","xx-")</f>
        <v>RP-T5HO-2FT-1L-8xx-E1-M-G2</v>
      </c>
      <c r="AE122" t="str">
        <f>SUBSTITUTE(Master_Reference[[#This Row],[C-Flex 4000K 3W Part Number]],"40-","xx-")</f>
        <v>RP-T5HO-2FT-1L-8xx-3W-M-G2</v>
      </c>
      <c r="AF122" s="1" t="str">
        <f>_xlfn.IFNA(VLOOKUP(Master_Reference[[#This Row],[C-Flex 3000K Eco Part Number]],Lutron_CFlex_Lookup[],MATCH("Lutron Kit PN",Lutron_CFlex_Lookup[#Headers],0),FALSE),"")</f>
        <v>ELD2T5H-1M30-q</v>
      </c>
      <c r="AG122" s="1" t="str">
        <f>_xlfn.IFNA(VLOOKUP(Master_Reference[[#This Row],[C-Flex 3500K Eco Part Number]],Lutron_CFlex_Lookup[],MATCH("Lutron Kit PN",Lutron_CFlex_Lookup[#Headers],0),FALSE),"")</f>
        <v>ELD2T5H-1M35-q</v>
      </c>
      <c r="AH122" s="1" t="str">
        <f>_xlfn.IFNA(VLOOKUP(Master_Reference[[#This Row],[C-Flex 4000K Eco Part Number]],Lutron_CFlex_Lookup[],MATCH("Lutron Kit PN",Lutron_CFlex_Lookup[#Headers],0),FALSE),"")</f>
        <v>ELD2T5H-1M40-q</v>
      </c>
      <c r="AI122" s="1" t="str">
        <f>_xlfn.IFNA(VLOOKUP(Master_Reference[[#This Row],[C-Flex 5000K Eco Part Number]],Lutron_CFlex_Lookup[],MATCH("Lutron Kit PN",Lutron_CFlex_Lookup[#Headers],0),FALSE),"")</f>
        <v>ELD2T5H-1M50-q</v>
      </c>
      <c r="AJ122" s="1" t="str">
        <f>_xlfn.IFNA(VLOOKUP(Master_Reference[[#This Row],[C-Flex 3000K 3W Part Number]],Lutron_CFlex_Lookup[],MATCH("Lutron Kit PN",Lutron_CFlex_Lookup[#Headers],0),FALSE),"")</f>
        <v>3LD2T5H-1M30-q</v>
      </c>
      <c r="AK122" s="1" t="str">
        <f>_xlfn.IFNA(VLOOKUP(Master_Reference[[#This Row],[C-Flex 3500K 3W Part Number]],Lutron_CFlex_Lookup[],MATCH("Lutron Kit PN",Lutron_CFlex_Lookup[#Headers],0),FALSE),"")</f>
        <v>3LD2T5H-1M35-q</v>
      </c>
      <c r="AL122" s="1" t="str">
        <f>_xlfn.IFNA(VLOOKUP(Master_Reference[[#This Row],[C-Flex 4000K 3W Part Number]],Lutron_CFlex_Lookup[],MATCH("Lutron Kit PN",Lutron_CFlex_Lookup[#Headers],0),FALSE),"")</f>
        <v>3LD2T5H-1M40-q</v>
      </c>
      <c r="AM122" s="1" t="str">
        <f>_xlfn.IFNA(VLOOKUP(Master_Reference[[#This Row],[C-Flex 5000K 3W Part Number]],Lutron_CFlex_Lookup[],MATCH("Lutron Kit PN",Lutron_CFlex_Lookup[#Headers],0),FALSE),"")</f>
        <v>3LD2T5H-1M50-q</v>
      </c>
      <c r="AN122" s="1" t="b">
        <f>NOT(ISNA(VLOOKUP(Master_Reference[[#This Row],[Model Number]],ObsoleteModels[],1,FALSE)))</f>
        <v>1</v>
      </c>
      <c r="AO122" s="1" t="str">
        <f>IF(LEFT(Master_Reference[[#This Row],[Model Number]],1)="U",LEFT(Master_Reference[[#This Row],[Model Number]],4),LEFT(Master_Reference[[#This Row],[Model Number]],3))</f>
        <v>EC5</v>
      </c>
    </row>
    <row r="123" spans="1:41" x14ac:dyDescent="0.25">
      <c r="A123" s="2" t="s">
        <v>361</v>
      </c>
      <c r="B123" s="1" t="b">
        <v>1</v>
      </c>
      <c r="C123" s="1" t="b">
        <v>1</v>
      </c>
      <c r="F123" s="1" t="b">
        <v>1</v>
      </c>
      <c r="G123" s="1" t="str">
        <f>IF(OR(LEFT(RIGHT(Master_Reference[[#This Row],[Model Number]],3),1)="C",LEFT(RIGHT(Master_Reference[[#This Row],[Model Number]],4),1)="C"),TRUE,"")</f>
        <v/>
      </c>
      <c r="H123" s="1" t="str">
        <f>IF(LEFT(Master_Reference[[#This Row],[Model Number]],1)="U",TRUE,"")</f>
        <v/>
      </c>
      <c r="I123" s="1" t="b">
        <f>IF(Master_Reference[[#This Row],[Lamp Type]]="T4","",IF(Master_Reference[[#This Row],[Case Type]]="M","",TRUE))</f>
        <v>1</v>
      </c>
      <c r="J123" s="1" t="s">
        <v>297</v>
      </c>
      <c r="K123" s="1">
        <v>24</v>
      </c>
      <c r="L123" s="1" t="s">
        <v>112</v>
      </c>
      <c r="M123" s="1">
        <v>2</v>
      </c>
      <c r="N123" s="1">
        <v>120</v>
      </c>
      <c r="O123" s="1" t="s">
        <v>320</v>
      </c>
      <c r="R123" t="b">
        <f>IF(COUNTBLANK(Master_Reference[[#This Row],[C-Flex 3000K Eco Part Number]:[C-Flex 4000K Eco Part Number]])=3,FALSE,TRUE)</f>
        <v>1</v>
      </c>
      <c r="S123" t="b">
        <f>IF(COUNTBLANK(Master_Reference[[#This Row],[C-Flex 3000K 3W Part Number]:[C-Flex 4000K 3W Part Number]])=3,FALSE,TRUE)</f>
        <v>1</v>
      </c>
      <c r="T123" t="b">
        <f>IF(COUNTBLANK(Master_Reference[[#This Row],[Lutron 3000K Eco Part Number]:[Lutron 4000K Eco Part Number]])=3,FALSE,TRUE)</f>
        <v>1</v>
      </c>
      <c r="U123" t="b">
        <f>IF(COUNTBLANK(Master_Reference[[#This Row],[Lutron 3000K 3W Part Number]:[Lutron 4000K 3W Part Number]])=3,FALSE,TRUE)</f>
        <v>1</v>
      </c>
      <c r="V123" s="12" t="s">
        <v>362</v>
      </c>
      <c r="W123" s="12" t="s">
        <v>363</v>
      </c>
      <c r="X123" s="12" t="s">
        <v>364</v>
      </c>
      <c r="Y123" t="s">
        <v>1722</v>
      </c>
      <c r="Z123" s="12" t="s">
        <v>365</v>
      </c>
      <c r="AA123" s="12" t="s">
        <v>366</v>
      </c>
      <c r="AB123" s="12" t="s">
        <v>367</v>
      </c>
      <c r="AC123" t="s">
        <v>1810</v>
      </c>
      <c r="AD123" t="str">
        <f>SUBSTITUTE(Master_Reference[[#This Row],[C-Flex 4000K Eco Part Number]],"40-","xx-")</f>
        <v>RP-T5HO-2FT-2L-8xx-E1-M-G2</v>
      </c>
      <c r="AE123" t="str">
        <f>SUBSTITUTE(Master_Reference[[#This Row],[C-Flex 4000K 3W Part Number]],"40-","xx-")</f>
        <v>RP-T5HO-2FT-2L-8xx-3W-M-G2</v>
      </c>
      <c r="AF123" s="1" t="str">
        <f>_xlfn.IFNA(VLOOKUP(Master_Reference[[#This Row],[C-Flex 3000K Eco Part Number]],Lutron_CFlex_Lookup[],MATCH("Lutron Kit PN",Lutron_CFlex_Lookup[#Headers],0),FALSE),"")</f>
        <v>ELD2T5H-2M30-q</v>
      </c>
      <c r="AG123" s="1" t="str">
        <f>_xlfn.IFNA(VLOOKUP(Master_Reference[[#This Row],[C-Flex 3500K Eco Part Number]],Lutron_CFlex_Lookup[],MATCH("Lutron Kit PN",Lutron_CFlex_Lookup[#Headers],0),FALSE),"")</f>
        <v>ELD2T5H-2M35-q</v>
      </c>
      <c r="AH123" s="1" t="str">
        <f>_xlfn.IFNA(VLOOKUP(Master_Reference[[#This Row],[C-Flex 4000K Eco Part Number]],Lutron_CFlex_Lookup[],MATCH("Lutron Kit PN",Lutron_CFlex_Lookup[#Headers],0),FALSE),"")</f>
        <v>ELD2T5H-2M40-q</v>
      </c>
      <c r="AI123" s="1" t="str">
        <f>_xlfn.IFNA(VLOOKUP(Master_Reference[[#This Row],[C-Flex 5000K Eco Part Number]],Lutron_CFlex_Lookup[],MATCH("Lutron Kit PN",Lutron_CFlex_Lookup[#Headers],0),FALSE),"")</f>
        <v>ELD2T5H-2M50-q</v>
      </c>
      <c r="AJ123" s="1" t="str">
        <f>_xlfn.IFNA(VLOOKUP(Master_Reference[[#This Row],[C-Flex 3000K 3W Part Number]],Lutron_CFlex_Lookup[],MATCH("Lutron Kit PN",Lutron_CFlex_Lookup[#Headers],0),FALSE),"")</f>
        <v>3LD2T5H-2M30-q</v>
      </c>
      <c r="AK123" s="1" t="str">
        <f>_xlfn.IFNA(VLOOKUP(Master_Reference[[#This Row],[C-Flex 3500K 3W Part Number]],Lutron_CFlex_Lookup[],MATCH("Lutron Kit PN",Lutron_CFlex_Lookup[#Headers],0),FALSE),"")</f>
        <v>3LD2T5H-2M35-q</v>
      </c>
      <c r="AL123" s="1" t="str">
        <f>_xlfn.IFNA(VLOOKUP(Master_Reference[[#This Row],[C-Flex 4000K 3W Part Number]],Lutron_CFlex_Lookup[],MATCH("Lutron Kit PN",Lutron_CFlex_Lookup[#Headers],0),FALSE),"")</f>
        <v>3LD2T5H-2M40-q</v>
      </c>
      <c r="AM123" s="1" t="str">
        <f>_xlfn.IFNA(VLOOKUP(Master_Reference[[#This Row],[C-Flex 5000K 3W Part Number]],Lutron_CFlex_Lookup[],MATCH("Lutron Kit PN",Lutron_CFlex_Lookup[#Headers],0),FALSE),"")</f>
        <v>3LD2T5H-2M50-q</v>
      </c>
      <c r="AN123" s="1" t="b">
        <f>NOT(ISNA(VLOOKUP(Master_Reference[[#This Row],[Model Number]],ObsoleteModels[],1,FALSE)))</f>
        <v>1</v>
      </c>
      <c r="AO123" s="1" t="str">
        <f>IF(LEFT(Master_Reference[[#This Row],[Model Number]],1)="U",LEFT(Master_Reference[[#This Row],[Model Number]],4),LEFT(Master_Reference[[#This Row],[Model Number]],3))</f>
        <v>EC5</v>
      </c>
    </row>
    <row r="124" spans="1:41" x14ac:dyDescent="0.25">
      <c r="A124" s="2" t="s">
        <v>368</v>
      </c>
      <c r="B124" s="1" t="b">
        <v>1</v>
      </c>
      <c r="C124" s="1" t="b">
        <v>1</v>
      </c>
      <c r="F124" s="1" t="b">
        <v>1</v>
      </c>
      <c r="G124" s="1" t="str">
        <f>IF(OR(LEFT(RIGHT(Master_Reference[[#This Row],[Model Number]],3),1)="C",LEFT(RIGHT(Master_Reference[[#This Row],[Model Number]],4),1)="C"),TRUE,"")</f>
        <v/>
      </c>
      <c r="H124" s="1" t="str">
        <f>IF(LEFT(Master_Reference[[#This Row],[Model Number]],1)="U",TRUE,"")</f>
        <v/>
      </c>
      <c r="I124" s="1" t="b">
        <f>IF(Master_Reference[[#This Row],[Lamp Type]]="T4","",IF(Master_Reference[[#This Row],[Case Type]]="M","",TRUE))</f>
        <v>1</v>
      </c>
      <c r="J124" s="1" t="s">
        <v>297</v>
      </c>
      <c r="K124" s="1">
        <v>24</v>
      </c>
      <c r="L124" s="1" t="s">
        <v>112</v>
      </c>
      <c r="M124" s="1">
        <v>1</v>
      </c>
      <c r="N124" s="1">
        <v>277</v>
      </c>
      <c r="O124" s="1" t="s">
        <v>320</v>
      </c>
      <c r="R124" t="b">
        <f>IF(COUNTBLANK(Master_Reference[[#This Row],[C-Flex 3000K Eco Part Number]:[C-Flex 4000K Eco Part Number]])=3,FALSE,TRUE)</f>
        <v>1</v>
      </c>
      <c r="S124" t="b">
        <f>IF(COUNTBLANK(Master_Reference[[#This Row],[C-Flex 3000K 3W Part Number]:[C-Flex 4000K 3W Part Number]])=3,FALSE,TRUE)</f>
        <v>1</v>
      </c>
      <c r="T124" t="b">
        <f>IF(COUNTBLANK(Master_Reference[[#This Row],[Lutron 3000K Eco Part Number]:[Lutron 4000K Eco Part Number]])=3,FALSE,TRUE)</f>
        <v>1</v>
      </c>
      <c r="U124" t="b">
        <f>IF(COUNTBLANK(Master_Reference[[#This Row],[Lutron 3000K 3W Part Number]:[Lutron 4000K 3W Part Number]])=3,FALSE,TRUE)</f>
        <v>1</v>
      </c>
      <c r="V124" s="12" t="s">
        <v>355</v>
      </c>
      <c r="W124" s="12" t="s">
        <v>356</v>
      </c>
      <c r="X124" s="12" t="s">
        <v>357</v>
      </c>
      <c r="Y124" t="s">
        <v>1721</v>
      </c>
      <c r="Z124" s="12" t="s">
        <v>358</v>
      </c>
      <c r="AA124" s="12" t="s">
        <v>359</v>
      </c>
      <c r="AB124" s="12" t="s">
        <v>360</v>
      </c>
      <c r="AC124" t="s">
        <v>1809</v>
      </c>
      <c r="AD124" t="str">
        <f>SUBSTITUTE(Master_Reference[[#This Row],[C-Flex 4000K Eco Part Number]],"40-","xx-")</f>
        <v>RP-T5HO-2FT-1L-8xx-E1-M-G2</v>
      </c>
      <c r="AE124" t="str">
        <f>SUBSTITUTE(Master_Reference[[#This Row],[C-Flex 4000K 3W Part Number]],"40-","xx-")</f>
        <v>RP-T5HO-2FT-1L-8xx-3W-M-G2</v>
      </c>
      <c r="AF124" s="1" t="str">
        <f>_xlfn.IFNA(VLOOKUP(Master_Reference[[#This Row],[C-Flex 3000K Eco Part Number]],Lutron_CFlex_Lookup[],MATCH("Lutron Kit PN",Lutron_CFlex_Lookup[#Headers],0),FALSE),"")</f>
        <v>ELD2T5H-1M30-q</v>
      </c>
      <c r="AG124" s="1" t="str">
        <f>_xlfn.IFNA(VLOOKUP(Master_Reference[[#This Row],[C-Flex 3500K Eco Part Number]],Lutron_CFlex_Lookup[],MATCH("Lutron Kit PN",Lutron_CFlex_Lookup[#Headers],0),FALSE),"")</f>
        <v>ELD2T5H-1M35-q</v>
      </c>
      <c r="AH124" s="1" t="str">
        <f>_xlfn.IFNA(VLOOKUP(Master_Reference[[#This Row],[C-Flex 4000K Eco Part Number]],Lutron_CFlex_Lookup[],MATCH("Lutron Kit PN",Lutron_CFlex_Lookup[#Headers],0),FALSE),"")</f>
        <v>ELD2T5H-1M40-q</v>
      </c>
      <c r="AI124" s="1" t="str">
        <f>_xlfn.IFNA(VLOOKUP(Master_Reference[[#This Row],[C-Flex 5000K Eco Part Number]],Lutron_CFlex_Lookup[],MATCH("Lutron Kit PN",Lutron_CFlex_Lookup[#Headers],0),FALSE),"")</f>
        <v>ELD2T5H-1M50-q</v>
      </c>
      <c r="AJ124" s="1" t="str">
        <f>_xlfn.IFNA(VLOOKUP(Master_Reference[[#This Row],[C-Flex 3000K 3W Part Number]],Lutron_CFlex_Lookup[],MATCH("Lutron Kit PN",Lutron_CFlex_Lookup[#Headers],0),FALSE),"")</f>
        <v>3LD2T5H-1M30-q</v>
      </c>
      <c r="AK124" s="1" t="str">
        <f>_xlfn.IFNA(VLOOKUP(Master_Reference[[#This Row],[C-Flex 3500K 3W Part Number]],Lutron_CFlex_Lookup[],MATCH("Lutron Kit PN",Lutron_CFlex_Lookup[#Headers],0),FALSE),"")</f>
        <v>3LD2T5H-1M35-q</v>
      </c>
      <c r="AL124" s="1" t="str">
        <f>_xlfn.IFNA(VLOOKUP(Master_Reference[[#This Row],[C-Flex 4000K 3W Part Number]],Lutron_CFlex_Lookup[],MATCH("Lutron Kit PN",Lutron_CFlex_Lookup[#Headers],0),FALSE),"")</f>
        <v>3LD2T5H-1M40-q</v>
      </c>
      <c r="AM124" s="1" t="str">
        <f>_xlfn.IFNA(VLOOKUP(Master_Reference[[#This Row],[C-Flex 5000K 3W Part Number]],Lutron_CFlex_Lookup[],MATCH("Lutron Kit PN",Lutron_CFlex_Lookup[#Headers],0),FALSE),"")</f>
        <v>3LD2T5H-1M50-q</v>
      </c>
      <c r="AN124" s="1" t="b">
        <f>NOT(ISNA(VLOOKUP(Master_Reference[[#This Row],[Model Number]],ObsoleteModels[],1,FALSE)))</f>
        <v>1</v>
      </c>
      <c r="AO124" s="1" t="str">
        <f>IF(LEFT(Master_Reference[[#This Row],[Model Number]],1)="U",LEFT(Master_Reference[[#This Row],[Model Number]],4),LEFT(Master_Reference[[#This Row],[Model Number]],3))</f>
        <v>EC5</v>
      </c>
    </row>
    <row r="125" spans="1:41" x14ac:dyDescent="0.25">
      <c r="A125" s="2" t="s">
        <v>369</v>
      </c>
      <c r="B125" s="1" t="b">
        <v>1</v>
      </c>
      <c r="C125" s="1" t="b">
        <v>1</v>
      </c>
      <c r="F125" s="1" t="b">
        <v>1</v>
      </c>
      <c r="G125" s="1" t="str">
        <f>IF(OR(LEFT(RIGHT(Master_Reference[[#This Row],[Model Number]],3),1)="C",LEFT(RIGHT(Master_Reference[[#This Row],[Model Number]],4),1)="C"),TRUE,"")</f>
        <v/>
      </c>
      <c r="H125" s="1" t="str">
        <f>IF(LEFT(Master_Reference[[#This Row],[Model Number]],1)="U",TRUE,"")</f>
        <v/>
      </c>
      <c r="I125" s="1" t="b">
        <f>IF(Master_Reference[[#This Row],[Lamp Type]]="T4","",IF(Master_Reference[[#This Row],[Case Type]]="M","",TRUE))</f>
        <v>1</v>
      </c>
      <c r="J125" s="1" t="s">
        <v>297</v>
      </c>
      <c r="K125" s="1">
        <v>24</v>
      </c>
      <c r="L125" s="1" t="s">
        <v>112</v>
      </c>
      <c r="M125" s="1">
        <v>2</v>
      </c>
      <c r="N125" s="1">
        <v>277</v>
      </c>
      <c r="O125" s="1" t="s">
        <v>320</v>
      </c>
      <c r="R125" t="b">
        <f>IF(COUNTBLANK(Master_Reference[[#This Row],[C-Flex 3000K Eco Part Number]:[C-Flex 4000K Eco Part Number]])=3,FALSE,TRUE)</f>
        <v>1</v>
      </c>
      <c r="S125" t="b">
        <f>IF(COUNTBLANK(Master_Reference[[#This Row],[C-Flex 3000K 3W Part Number]:[C-Flex 4000K 3W Part Number]])=3,FALSE,TRUE)</f>
        <v>1</v>
      </c>
      <c r="T125" t="b">
        <f>IF(COUNTBLANK(Master_Reference[[#This Row],[Lutron 3000K Eco Part Number]:[Lutron 4000K Eco Part Number]])=3,FALSE,TRUE)</f>
        <v>1</v>
      </c>
      <c r="U125" t="b">
        <f>IF(COUNTBLANK(Master_Reference[[#This Row],[Lutron 3000K 3W Part Number]:[Lutron 4000K 3W Part Number]])=3,FALSE,TRUE)</f>
        <v>1</v>
      </c>
      <c r="V125" s="12" t="s">
        <v>362</v>
      </c>
      <c r="W125" s="12" t="s">
        <v>363</v>
      </c>
      <c r="X125" s="12" t="s">
        <v>364</v>
      </c>
      <c r="Y125" t="s">
        <v>1722</v>
      </c>
      <c r="Z125" s="12" t="s">
        <v>365</v>
      </c>
      <c r="AA125" s="12" t="s">
        <v>366</v>
      </c>
      <c r="AB125" s="12" t="s">
        <v>367</v>
      </c>
      <c r="AC125" t="s">
        <v>1810</v>
      </c>
      <c r="AD125" t="str">
        <f>SUBSTITUTE(Master_Reference[[#This Row],[C-Flex 4000K Eco Part Number]],"40-","xx-")</f>
        <v>RP-T5HO-2FT-2L-8xx-E1-M-G2</v>
      </c>
      <c r="AE125" t="str">
        <f>SUBSTITUTE(Master_Reference[[#This Row],[C-Flex 4000K 3W Part Number]],"40-","xx-")</f>
        <v>RP-T5HO-2FT-2L-8xx-3W-M-G2</v>
      </c>
      <c r="AF125" s="1" t="str">
        <f>_xlfn.IFNA(VLOOKUP(Master_Reference[[#This Row],[C-Flex 3000K Eco Part Number]],Lutron_CFlex_Lookup[],MATCH("Lutron Kit PN",Lutron_CFlex_Lookup[#Headers],0),FALSE),"")</f>
        <v>ELD2T5H-2M30-q</v>
      </c>
      <c r="AG125" s="1" t="str">
        <f>_xlfn.IFNA(VLOOKUP(Master_Reference[[#This Row],[C-Flex 3500K Eco Part Number]],Lutron_CFlex_Lookup[],MATCH("Lutron Kit PN",Lutron_CFlex_Lookup[#Headers],0),FALSE),"")</f>
        <v>ELD2T5H-2M35-q</v>
      </c>
      <c r="AH125" s="1" t="str">
        <f>_xlfn.IFNA(VLOOKUP(Master_Reference[[#This Row],[C-Flex 4000K Eco Part Number]],Lutron_CFlex_Lookup[],MATCH("Lutron Kit PN",Lutron_CFlex_Lookup[#Headers],0),FALSE),"")</f>
        <v>ELD2T5H-2M40-q</v>
      </c>
      <c r="AI125" s="1" t="str">
        <f>_xlfn.IFNA(VLOOKUP(Master_Reference[[#This Row],[C-Flex 5000K Eco Part Number]],Lutron_CFlex_Lookup[],MATCH("Lutron Kit PN",Lutron_CFlex_Lookup[#Headers],0),FALSE),"")</f>
        <v>ELD2T5H-2M50-q</v>
      </c>
      <c r="AJ125" s="1" t="str">
        <f>_xlfn.IFNA(VLOOKUP(Master_Reference[[#This Row],[C-Flex 3000K 3W Part Number]],Lutron_CFlex_Lookup[],MATCH("Lutron Kit PN",Lutron_CFlex_Lookup[#Headers],0),FALSE),"")</f>
        <v>3LD2T5H-2M30-q</v>
      </c>
      <c r="AK125" s="1" t="str">
        <f>_xlfn.IFNA(VLOOKUP(Master_Reference[[#This Row],[C-Flex 3500K 3W Part Number]],Lutron_CFlex_Lookup[],MATCH("Lutron Kit PN",Lutron_CFlex_Lookup[#Headers],0),FALSE),"")</f>
        <v>3LD2T5H-2M35-q</v>
      </c>
      <c r="AL125" s="1" t="str">
        <f>_xlfn.IFNA(VLOOKUP(Master_Reference[[#This Row],[C-Flex 4000K 3W Part Number]],Lutron_CFlex_Lookup[],MATCH("Lutron Kit PN",Lutron_CFlex_Lookup[#Headers],0),FALSE),"")</f>
        <v>3LD2T5H-2M40-q</v>
      </c>
      <c r="AM125" s="1" t="str">
        <f>_xlfn.IFNA(VLOOKUP(Master_Reference[[#This Row],[C-Flex 5000K 3W Part Number]],Lutron_CFlex_Lookup[],MATCH("Lutron Kit PN",Lutron_CFlex_Lookup[#Headers],0),FALSE),"")</f>
        <v>3LD2T5H-2M50-q</v>
      </c>
      <c r="AN125" s="1" t="b">
        <f>NOT(ISNA(VLOOKUP(Master_Reference[[#This Row],[Model Number]],ObsoleteModels[],1,FALSE)))</f>
        <v>1</v>
      </c>
      <c r="AO125" s="1" t="str">
        <f>IF(LEFT(Master_Reference[[#This Row],[Model Number]],1)="U",LEFT(Master_Reference[[#This Row],[Model Number]],4),LEFT(Master_Reference[[#This Row],[Model Number]],3))</f>
        <v>EC5</v>
      </c>
    </row>
    <row r="126" spans="1:41" x14ac:dyDescent="0.25">
      <c r="A126" s="2" t="s">
        <v>370</v>
      </c>
      <c r="B126" s="1" t="b">
        <v>1</v>
      </c>
      <c r="C126" s="1" t="b">
        <v>1</v>
      </c>
      <c r="F126" s="1" t="b">
        <v>1</v>
      </c>
      <c r="G126" s="1" t="str">
        <f>IF(OR(LEFT(RIGHT(Master_Reference[[#This Row],[Model Number]],3),1)="C",LEFT(RIGHT(Master_Reference[[#This Row],[Model Number]],4),1)="C"),TRUE,"")</f>
        <v/>
      </c>
      <c r="H126" s="1" t="str">
        <f>IF(LEFT(Master_Reference[[#This Row],[Model Number]],1)="U",TRUE,"")</f>
        <v/>
      </c>
      <c r="I126" s="1" t="b">
        <f>IF(Master_Reference[[#This Row],[Lamp Type]]="T4","",IF(Master_Reference[[#This Row],[Case Type]]="M","",TRUE))</f>
        <v>1</v>
      </c>
      <c r="J126" s="1" t="s">
        <v>297</v>
      </c>
      <c r="K126" s="1">
        <v>24</v>
      </c>
      <c r="L126" s="1" t="s">
        <v>112</v>
      </c>
      <c r="M126" s="1">
        <v>2</v>
      </c>
      <c r="N126" s="1">
        <v>277</v>
      </c>
      <c r="O126" s="1" t="s">
        <v>320</v>
      </c>
      <c r="Q126" s="1" t="s">
        <v>91</v>
      </c>
      <c r="R126" t="b">
        <f>IF(COUNTBLANK(Master_Reference[[#This Row],[C-Flex 3000K Eco Part Number]:[C-Flex 4000K Eco Part Number]])=3,FALSE,TRUE)</f>
        <v>0</v>
      </c>
      <c r="S126" t="b">
        <f>IF(COUNTBLANK(Master_Reference[[#This Row],[C-Flex 3000K 3W Part Number]:[C-Flex 4000K 3W Part Number]])=3,FALSE,TRUE)</f>
        <v>0</v>
      </c>
      <c r="T126" t="b">
        <f>IF(COUNTBLANK(Master_Reference[[#This Row],[Lutron 3000K Eco Part Number]:[Lutron 4000K Eco Part Number]])=3,FALSE,TRUE)</f>
        <v>0</v>
      </c>
      <c r="U126" t="b">
        <f>IF(COUNTBLANK(Master_Reference[[#This Row],[Lutron 3000K 3W Part Number]:[Lutron 4000K 3W Part Number]])=3,FALSE,TRUE)</f>
        <v>0</v>
      </c>
      <c r="V126" s="12"/>
      <c r="W126" s="12"/>
      <c r="X126" s="12"/>
      <c r="Y126" t="s">
        <v>2125</v>
      </c>
      <c r="Z126" s="12"/>
      <c r="AA126" s="12"/>
      <c r="AB126" s="12"/>
      <c r="AC126" t="s">
        <v>2125</v>
      </c>
      <c r="AD126" t="str">
        <f>SUBSTITUTE(Master_Reference[[#This Row],[C-Flex 4000K Eco Part Number]],"40-","xx-")</f>
        <v/>
      </c>
      <c r="AE126" t="str">
        <f>SUBSTITUTE(Master_Reference[[#This Row],[C-Flex 4000K 3W Part Number]],"40-","xx-")</f>
        <v/>
      </c>
      <c r="AF126" s="1" t="str">
        <f>_xlfn.IFNA(VLOOKUP(Master_Reference[[#This Row],[C-Flex 3000K Eco Part Number]],Lutron_CFlex_Lookup[],MATCH("Lutron Kit PN",Lutron_CFlex_Lookup[#Headers],0),FALSE),"")</f>
        <v/>
      </c>
      <c r="AG126" s="1" t="str">
        <f>_xlfn.IFNA(VLOOKUP(Master_Reference[[#This Row],[C-Flex 3500K Eco Part Number]],Lutron_CFlex_Lookup[],MATCH("Lutron Kit PN",Lutron_CFlex_Lookup[#Headers],0),FALSE),"")</f>
        <v/>
      </c>
      <c r="AH126" s="1" t="str">
        <f>_xlfn.IFNA(VLOOKUP(Master_Reference[[#This Row],[C-Flex 4000K Eco Part Number]],Lutron_CFlex_Lookup[],MATCH("Lutron Kit PN",Lutron_CFlex_Lookup[#Headers],0),FALSE),"")</f>
        <v/>
      </c>
      <c r="AI126" s="1" t="str">
        <f>_xlfn.IFNA(VLOOKUP(Master_Reference[[#This Row],[C-Flex 5000K Eco Part Number]],Lutron_CFlex_Lookup[],MATCH("Lutron Kit PN",Lutron_CFlex_Lookup[#Headers],0),FALSE),"")</f>
        <v/>
      </c>
      <c r="AJ126" s="1" t="str">
        <f>_xlfn.IFNA(VLOOKUP(Master_Reference[[#This Row],[C-Flex 3000K 3W Part Number]],Lutron_CFlex_Lookup[],MATCH("Lutron Kit PN",Lutron_CFlex_Lookup[#Headers],0),FALSE),"")</f>
        <v/>
      </c>
      <c r="AK126" s="1" t="str">
        <f>_xlfn.IFNA(VLOOKUP(Master_Reference[[#This Row],[C-Flex 3500K 3W Part Number]],Lutron_CFlex_Lookup[],MATCH("Lutron Kit PN",Lutron_CFlex_Lookup[#Headers],0),FALSE),"")</f>
        <v/>
      </c>
      <c r="AL126" s="1" t="str">
        <f>_xlfn.IFNA(VLOOKUP(Master_Reference[[#This Row],[C-Flex 4000K 3W Part Number]],Lutron_CFlex_Lookup[],MATCH("Lutron Kit PN",Lutron_CFlex_Lookup[#Headers],0),FALSE),"")</f>
        <v/>
      </c>
      <c r="AM126" s="1" t="str">
        <f>_xlfn.IFNA(VLOOKUP(Master_Reference[[#This Row],[C-Flex 5000K 3W Part Number]],Lutron_CFlex_Lookup[],MATCH("Lutron Kit PN",Lutron_CFlex_Lookup[#Headers],0),FALSE),"")</f>
        <v/>
      </c>
      <c r="AN126" s="1" t="b">
        <f>NOT(ISNA(VLOOKUP(Master_Reference[[#This Row],[Model Number]],ObsoleteModels[],1,FALSE)))</f>
        <v>1</v>
      </c>
      <c r="AO126" s="1" t="str">
        <f>IF(LEFT(Master_Reference[[#This Row],[Model Number]],1)="U",LEFT(Master_Reference[[#This Row],[Model Number]],4),LEFT(Master_Reference[[#This Row],[Model Number]],3))</f>
        <v>EC5</v>
      </c>
    </row>
    <row r="127" spans="1:41" x14ac:dyDescent="0.25">
      <c r="A127" s="2" t="s">
        <v>371</v>
      </c>
      <c r="B127" s="1" t="b">
        <v>1</v>
      </c>
      <c r="C127" s="1" t="b">
        <v>1</v>
      </c>
      <c r="F127" s="1" t="b">
        <v>1</v>
      </c>
      <c r="G127" s="1" t="str">
        <f>IF(OR(LEFT(RIGHT(Master_Reference[[#This Row],[Model Number]],3),1)="C",LEFT(RIGHT(Master_Reference[[#This Row],[Model Number]],4),1)="C"),TRUE,"")</f>
        <v/>
      </c>
      <c r="H127" s="1" t="str">
        <f>IF(LEFT(Master_Reference[[#This Row],[Model Number]],1)="U",TRUE,"")</f>
        <v/>
      </c>
      <c r="I127" s="1" t="b">
        <f>IF(Master_Reference[[#This Row],[Lamp Type]]="T4","",IF(Master_Reference[[#This Row],[Case Type]]="M","",TRUE))</f>
        <v>1</v>
      </c>
      <c r="J127" s="1" t="s">
        <v>297</v>
      </c>
      <c r="K127" s="1">
        <v>24</v>
      </c>
      <c r="L127" s="1" t="s">
        <v>112</v>
      </c>
      <c r="M127" s="1">
        <v>1</v>
      </c>
      <c r="N127" s="1" t="s">
        <v>149</v>
      </c>
      <c r="O127" s="1" t="s">
        <v>320</v>
      </c>
      <c r="R127" t="b">
        <f>IF(COUNTBLANK(Master_Reference[[#This Row],[C-Flex 3000K Eco Part Number]:[C-Flex 4000K Eco Part Number]])=3,FALSE,TRUE)</f>
        <v>1</v>
      </c>
      <c r="S127" t="b">
        <f>IF(COUNTBLANK(Master_Reference[[#This Row],[C-Flex 3000K 3W Part Number]:[C-Flex 4000K 3W Part Number]])=3,FALSE,TRUE)</f>
        <v>1</v>
      </c>
      <c r="T127" t="b">
        <f>IF(COUNTBLANK(Master_Reference[[#This Row],[Lutron 3000K Eco Part Number]:[Lutron 4000K Eco Part Number]])=3,FALSE,TRUE)</f>
        <v>1</v>
      </c>
      <c r="U127" t="b">
        <f>IF(COUNTBLANK(Master_Reference[[#This Row],[Lutron 3000K 3W Part Number]:[Lutron 4000K 3W Part Number]])=3,FALSE,TRUE)</f>
        <v>1</v>
      </c>
      <c r="V127" s="12" t="s">
        <v>355</v>
      </c>
      <c r="W127" s="12" t="s">
        <v>356</v>
      </c>
      <c r="X127" s="12" t="s">
        <v>357</v>
      </c>
      <c r="Y127" t="s">
        <v>1721</v>
      </c>
      <c r="Z127" s="12" t="s">
        <v>358</v>
      </c>
      <c r="AA127" s="12" t="s">
        <v>359</v>
      </c>
      <c r="AB127" s="12" t="s">
        <v>360</v>
      </c>
      <c r="AC127" t="s">
        <v>1809</v>
      </c>
      <c r="AD127" t="str">
        <f>SUBSTITUTE(Master_Reference[[#This Row],[C-Flex 4000K Eco Part Number]],"40-","xx-")</f>
        <v>RP-T5HO-2FT-1L-8xx-E1-M-G2</v>
      </c>
      <c r="AE127" t="str">
        <f>SUBSTITUTE(Master_Reference[[#This Row],[C-Flex 4000K 3W Part Number]],"40-","xx-")</f>
        <v>RP-T5HO-2FT-1L-8xx-3W-M-G2</v>
      </c>
      <c r="AF127" s="1" t="str">
        <f>_xlfn.IFNA(VLOOKUP(Master_Reference[[#This Row],[C-Flex 3000K Eco Part Number]],Lutron_CFlex_Lookup[],MATCH("Lutron Kit PN",Lutron_CFlex_Lookup[#Headers],0),FALSE),"")</f>
        <v>ELD2T5H-1M30-q</v>
      </c>
      <c r="AG127" s="1" t="str">
        <f>_xlfn.IFNA(VLOOKUP(Master_Reference[[#This Row],[C-Flex 3500K Eco Part Number]],Lutron_CFlex_Lookup[],MATCH("Lutron Kit PN",Lutron_CFlex_Lookup[#Headers],0),FALSE),"")</f>
        <v>ELD2T5H-1M35-q</v>
      </c>
      <c r="AH127" s="1" t="str">
        <f>_xlfn.IFNA(VLOOKUP(Master_Reference[[#This Row],[C-Flex 4000K Eco Part Number]],Lutron_CFlex_Lookup[],MATCH("Lutron Kit PN",Lutron_CFlex_Lookup[#Headers],0),FALSE),"")</f>
        <v>ELD2T5H-1M40-q</v>
      </c>
      <c r="AI127" s="1" t="str">
        <f>_xlfn.IFNA(VLOOKUP(Master_Reference[[#This Row],[C-Flex 5000K Eco Part Number]],Lutron_CFlex_Lookup[],MATCH("Lutron Kit PN",Lutron_CFlex_Lookup[#Headers],0),FALSE),"")</f>
        <v>ELD2T5H-1M50-q</v>
      </c>
      <c r="AJ127" s="1" t="str">
        <f>_xlfn.IFNA(VLOOKUP(Master_Reference[[#This Row],[C-Flex 3000K 3W Part Number]],Lutron_CFlex_Lookup[],MATCH("Lutron Kit PN",Lutron_CFlex_Lookup[#Headers],0),FALSE),"")</f>
        <v>3LD2T5H-1M30-q</v>
      </c>
      <c r="AK127" s="1" t="str">
        <f>_xlfn.IFNA(VLOOKUP(Master_Reference[[#This Row],[C-Flex 3500K 3W Part Number]],Lutron_CFlex_Lookup[],MATCH("Lutron Kit PN",Lutron_CFlex_Lookup[#Headers],0),FALSE),"")</f>
        <v>3LD2T5H-1M35-q</v>
      </c>
      <c r="AL127" s="1" t="str">
        <f>_xlfn.IFNA(VLOOKUP(Master_Reference[[#This Row],[C-Flex 4000K 3W Part Number]],Lutron_CFlex_Lookup[],MATCH("Lutron Kit PN",Lutron_CFlex_Lookup[#Headers],0),FALSE),"")</f>
        <v>3LD2T5H-1M40-q</v>
      </c>
      <c r="AM127" s="1" t="str">
        <f>_xlfn.IFNA(VLOOKUP(Master_Reference[[#This Row],[C-Flex 5000K 3W Part Number]],Lutron_CFlex_Lookup[],MATCH("Lutron Kit PN",Lutron_CFlex_Lookup[#Headers],0),FALSE),"")</f>
        <v>3LD2T5H-1M50-q</v>
      </c>
      <c r="AN127" s="1" t="b">
        <f>NOT(ISNA(VLOOKUP(Master_Reference[[#This Row],[Model Number]],ObsoleteModels[],1,FALSE)))</f>
        <v>0</v>
      </c>
      <c r="AO127" s="1" t="str">
        <f>IF(LEFT(Master_Reference[[#This Row],[Model Number]],1)="U",LEFT(Master_Reference[[#This Row],[Model Number]],4),LEFT(Master_Reference[[#This Row],[Model Number]],3))</f>
        <v>EC5</v>
      </c>
    </row>
    <row r="128" spans="1:41" x14ac:dyDescent="0.25">
      <c r="A128" s="2" t="s">
        <v>372</v>
      </c>
      <c r="B128" s="1" t="b">
        <v>1</v>
      </c>
      <c r="C128" s="1" t="b">
        <v>1</v>
      </c>
      <c r="F128" s="1" t="b">
        <v>1</v>
      </c>
      <c r="G128" s="1" t="b">
        <f>IF(OR(LEFT(RIGHT(Master_Reference[[#This Row],[Model Number]],3),1)="C",LEFT(RIGHT(Master_Reference[[#This Row],[Model Number]],4),1)="C"),TRUE,"")</f>
        <v>1</v>
      </c>
      <c r="H128" s="1" t="str">
        <f>IF(LEFT(Master_Reference[[#This Row],[Model Number]],1)="U",TRUE,"")</f>
        <v/>
      </c>
      <c r="I128" s="1" t="b">
        <f>IF(Master_Reference[[#This Row],[Lamp Type]]="T4","",IF(Master_Reference[[#This Row],[Case Type]]="M","",TRUE))</f>
        <v>1</v>
      </c>
      <c r="J128" s="1" t="s">
        <v>297</v>
      </c>
      <c r="K128" s="1">
        <v>24</v>
      </c>
      <c r="L128" s="1" t="s">
        <v>112</v>
      </c>
      <c r="M128" s="1">
        <v>1</v>
      </c>
      <c r="N128" s="1" t="s">
        <v>149</v>
      </c>
      <c r="O128" s="1" t="s">
        <v>320</v>
      </c>
      <c r="R128" t="b">
        <f>IF(COUNTBLANK(Master_Reference[[#This Row],[C-Flex 3000K Eco Part Number]:[C-Flex 4000K Eco Part Number]])=3,FALSE,TRUE)</f>
        <v>1</v>
      </c>
      <c r="S128" t="b">
        <f>IF(COUNTBLANK(Master_Reference[[#This Row],[C-Flex 3000K 3W Part Number]:[C-Flex 4000K 3W Part Number]])=3,FALSE,TRUE)</f>
        <v>1</v>
      </c>
      <c r="T128" t="b">
        <f>IF(COUNTBLANK(Master_Reference[[#This Row],[Lutron 3000K Eco Part Number]:[Lutron 4000K Eco Part Number]])=3,FALSE,TRUE)</f>
        <v>1</v>
      </c>
      <c r="U128" t="b">
        <f>IF(COUNTBLANK(Master_Reference[[#This Row],[Lutron 3000K 3W Part Number]:[Lutron 4000K 3W Part Number]])=3,FALSE,TRUE)</f>
        <v>1</v>
      </c>
      <c r="V128" s="12" t="s">
        <v>355</v>
      </c>
      <c r="W128" s="12" t="s">
        <v>356</v>
      </c>
      <c r="X128" s="12" t="s">
        <v>357</v>
      </c>
      <c r="Y128" t="s">
        <v>1721</v>
      </c>
      <c r="Z128" s="12" t="s">
        <v>358</v>
      </c>
      <c r="AA128" s="12" t="s">
        <v>359</v>
      </c>
      <c r="AB128" s="12" t="s">
        <v>360</v>
      </c>
      <c r="AC128" t="s">
        <v>1809</v>
      </c>
      <c r="AD128" t="str">
        <f>SUBSTITUTE(Master_Reference[[#This Row],[C-Flex 4000K Eco Part Number]],"40-","xx-")</f>
        <v>RP-T5HO-2FT-1L-8xx-E1-M-G2</v>
      </c>
      <c r="AE128" t="str">
        <f>SUBSTITUTE(Master_Reference[[#This Row],[C-Flex 4000K 3W Part Number]],"40-","xx-")</f>
        <v>RP-T5HO-2FT-1L-8xx-3W-M-G2</v>
      </c>
      <c r="AF128" s="1" t="str">
        <f>_xlfn.IFNA(VLOOKUP(Master_Reference[[#This Row],[C-Flex 3000K Eco Part Number]],Lutron_CFlex_Lookup[],MATCH("Lutron Kit PN",Lutron_CFlex_Lookup[#Headers],0),FALSE),"")</f>
        <v>ELD2T5H-1M30-q</v>
      </c>
      <c r="AG128" s="1" t="str">
        <f>_xlfn.IFNA(VLOOKUP(Master_Reference[[#This Row],[C-Flex 3500K Eco Part Number]],Lutron_CFlex_Lookup[],MATCH("Lutron Kit PN",Lutron_CFlex_Lookup[#Headers],0),FALSE),"")</f>
        <v>ELD2T5H-1M35-q</v>
      </c>
      <c r="AH128" s="1" t="str">
        <f>_xlfn.IFNA(VLOOKUP(Master_Reference[[#This Row],[C-Flex 4000K Eco Part Number]],Lutron_CFlex_Lookup[],MATCH("Lutron Kit PN",Lutron_CFlex_Lookup[#Headers],0),FALSE),"")</f>
        <v>ELD2T5H-1M40-q</v>
      </c>
      <c r="AI128" s="1" t="str">
        <f>_xlfn.IFNA(VLOOKUP(Master_Reference[[#This Row],[C-Flex 5000K Eco Part Number]],Lutron_CFlex_Lookup[],MATCH("Lutron Kit PN",Lutron_CFlex_Lookup[#Headers],0),FALSE),"")</f>
        <v>ELD2T5H-1M50-q</v>
      </c>
      <c r="AJ128" s="1" t="str">
        <f>_xlfn.IFNA(VLOOKUP(Master_Reference[[#This Row],[C-Flex 3000K 3W Part Number]],Lutron_CFlex_Lookup[],MATCH("Lutron Kit PN",Lutron_CFlex_Lookup[#Headers],0),FALSE),"")</f>
        <v>3LD2T5H-1M30-q</v>
      </c>
      <c r="AK128" s="1" t="str">
        <f>_xlfn.IFNA(VLOOKUP(Master_Reference[[#This Row],[C-Flex 3500K 3W Part Number]],Lutron_CFlex_Lookup[],MATCH("Lutron Kit PN",Lutron_CFlex_Lookup[#Headers],0),FALSE),"")</f>
        <v>3LD2T5H-1M35-q</v>
      </c>
      <c r="AL128" s="1" t="str">
        <f>_xlfn.IFNA(VLOOKUP(Master_Reference[[#This Row],[C-Flex 4000K 3W Part Number]],Lutron_CFlex_Lookup[],MATCH("Lutron Kit PN",Lutron_CFlex_Lookup[#Headers],0),FALSE),"")</f>
        <v>3LD2T5H-1M40-q</v>
      </c>
      <c r="AM128" s="1" t="str">
        <f>_xlfn.IFNA(VLOOKUP(Master_Reference[[#This Row],[C-Flex 5000K 3W Part Number]],Lutron_CFlex_Lookup[],MATCH("Lutron Kit PN",Lutron_CFlex_Lookup[#Headers],0),FALSE),"")</f>
        <v>3LD2T5H-1M50-q</v>
      </c>
      <c r="AN128" s="1" t="b">
        <f>NOT(ISNA(VLOOKUP(Master_Reference[[#This Row],[Model Number]],ObsoleteModels[],1,FALSE)))</f>
        <v>1</v>
      </c>
      <c r="AO128" s="1" t="str">
        <f>IF(LEFT(Master_Reference[[#This Row],[Model Number]],1)="U",LEFT(Master_Reference[[#This Row],[Model Number]],4),LEFT(Master_Reference[[#This Row],[Model Number]],3))</f>
        <v>EC5</v>
      </c>
    </row>
    <row r="129" spans="1:41" x14ac:dyDescent="0.25">
      <c r="A129" s="2" t="s">
        <v>373</v>
      </c>
      <c r="B129" s="1" t="b">
        <v>1</v>
      </c>
      <c r="C129" s="1" t="b">
        <v>1</v>
      </c>
      <c r="F129" s="1" t="b">
        <v>1</v>
      </c>
      <c r="G129" s="1" t="str">
        <f>IF(OR(LEFT(RIGHT(Master_Reference[[#This Row],[Model Number]],3),1)="C",LEFT(RIGHT(Master_Reference[[#This Row],[Model Number]],4),1)="C"),TRUE,"")</f>
        <v/>
      </c>
      <c r="H129" s="1" t="str">
        <f>IF(LEFT(Master_Reference[[#This Row],[Model Number]],1)="U",TRUE,"")</f>
        <v/>
      </c>
      <c r="I129" s="1" t="b">
        <f>IF(Master_Reference[[#This Row],[Lamp Type]]="T4","",IF(Master_Reference[[#This Row],[Case Type]]="M","",TRUE))</f>
        <v>1</v>
      </c>
      <c r="J129" s="1" t="s">
        <v>297</v>
      </c>
      <c r="K129" s="1">
        <v>24</v>
      </c>
      <c r="L129" s="1" t="s">
        <v>112</v>
      </c>
      <c r="M129" s="1">
        <v>1</v>
      </c>
      <c r="N129" s="1" t="s">
        <v>149</v>
      </c>
      <c r="O129" s="1" t="s">
        <v>320</v>
      </c>
      <c r="Q129" s="1" t="s">
        <v>91</v>
      </c>
      <c r="R129" t="b">
        <f>IF(COUNTBLANK(Master_Reference[[#This Row],[C-Flex 3000K Eco Part Number]:[C-Flex 4000K Eco Part Number]])=3,FALSE,TRUE)</f>
        <v>0</v>
      </c>
      <c r="S129" t="b">
        <f>IF(COUNTBLANK(Master_Reference[[#This Row],[C-Flex 3000K 3W Part Number]:[C-Flex 4000K 3W Part Number]])=3,FALSE,TRUE)</f>
        <v>0</v>
      </c>
      <c r="T129" t="b">
        <f>IF(COUNTBLANK(Master_Reference[[#This Row],[Lutron 3000K Eco Part Number]:[Lutron 4000K Eco Part Number]])=3,FALSE,TRUE)</f>
        <v>0</v>
      </c>
      <c r="U129" t="b">
        <f>IF(COUNTBLANK(Master_Reference[[#This Row],[Lutron 3000K 3W Part Number]:[Lutron 4000K 3W Part Number]])=3,FALSE,TRUE)</f>
        <v>0</v>
      </c>
      <c r="V129" s="12"/>
      <c r="W129" s="12"/>
      <c r="X129" s="12"/>
      <c r="Y129" t="s">
        <v>2125</v>
      </c>
      <c r="Z129" s="12"/>
      <c r="AA129" s="12"/>
      <c r="AB129" s="12"/>
      <c r="AC129" t="s">
        <v>2125</v>
      </c>
      <c r="AD129" t="str">
        <f>SUBSTITUTE(Master_Reference[[#This Row],[C-Flex 4000K Eco Part Number]],"40-","xx-")</f>
        <v/>
      </c>
      <c r="AE129" t="str">
        <f>SUBSTITUTE(Master_Reference[[#This Row],[C-Flex 4000K 3W Part Number]],"40-","xx-")</f>
        <v/>
      </c>
      <c r="AF129" s="1" t="str">
        <f>_xlfn.IFNA(VLOOKUP(Master_Reference[[#This Row],[C-Flex 3000K Eco Part Number]],Lutron_CFlex_Lookup[],MATCH("Lutron Kit PN",Lutron_CFlex_Lookup[#Headers],0),FALSE),"")</f>
        <v/>
      </c>
      <c r="AG129" s="1" t="str">
        <f>_xlfn.IFNA(VLOOKUP(Master_Reference[[#This Row],[C-Flex 3500K Eco Part Number]],Lutron_CFlex_Lookup[],MATCH("Lutron Kit PN",Lutron_CFlex_Lookup[#Headers],0),FALSE),"")</f>
        <v/>
      </c>
      <c r="AH129" s="1" t="str">
        <f>_xlfn.IFNA(VLOOKUP(Master_Reference[[#This Row],[C-Flex 4000K Eco Part Number]],Lutron_CFlex_Lookup[],MATCH("Lutron Kit PN",Lutron_CFlex_Lookup[#Headers],0),FALSE),"")</f>
        <v/>
      </c>
      <c r="AI129" s="1" t="str">
        <f>_xlfn.IFNA(VLOOKUP(Master_Reference[[#This Row],[C-Flex 5000K Eco Part Number]],Lutron_CFlex_Lookup[],MATCH("Lutron Kit PN",Lutron_CFlex_Lookup[#Headers],0),FALSE),"")</f>
        <v/>
      </c>
      <c r="AJ129" s="1" t="str">
        <f>_xlfn.IFNA(VLOOKUP(Master_Reference[[#This Row],[C-Flex 3000K 3W Part Number]],Lutron_CFlex_Lookup[],MATCH("Lutron Kit PN",Lutron_CFlex_Lookup[#Headers],0),FALSE),"")</f>
        <v/>
      </c>
      <c r="AK129" s="1" t="str">
        <f>_xlfn.IFNA(VLOOKUP(Master_Reference[[#This Row],[C-Flex 3500K 3W Part Number]],Lutron_CFlex_Lookup[],MATCH("Lutron Kit PN",Lutron_CFlex_Lookup[#Headers],0),FALSE),"")</f>
        <v/>
      </c>
      <c r="AL129" s="1" t="str">
        <f>_xlfn.IFNA(VLOOKUP(Master_Reference[[#This Row],[C-Flex 4000K 3W Part Number]],Lutron_CFlex_Lookup[],MATCH("Lutron Kit PN",Lutron_CFlex_Lookup[#Headers],0),FALSE),"")</f>
        <v/>
      </c>
      <c r="AM129" s="1" t="str">
        <f>_xlfn.IFNA(VLOOKUP(Master_Reference[[#This Row],[C-Flex 5000K 3W Part Number]],Lutron_CFlex_Lookup[],MATCH("Lutron Kit PN",Lutron_CFlex_Lookup[#Headers],0),FALSE),"")</f>
        <v/>
      </c>
      <c r="AN129" s="1" t="b">
        <f>NOT(ISNA(VLOOKUP(Master_Reference[[#This Row],[Model Number]],ObsoleteModels[],1,FALSE)))</f>
        <v>0</v>
      </c>
      <c r="AO129" s="1" t="str">
        <f>IF(LEFT(Master_Reference[[#This Row],[Model Number]],1)="U",LEFT(Master_Reference[[#This Row],[Model Number]],4),LEFT(Master_Reference[[#This Row],[Model Number]],3))</f>
        <v>EC5</v>
      </c>
    </row>
    <row r="130" spans="1:41" x14ac:dyDescent="0.25">
      <c r="A130" s="2" t="s">
        <v>374</v>
      </c>
      <c r="B130" s="1" t="b">
        <v>1</v>
      </c>
      <c r="C130" s="1" t="b">
        <v>1</v>
      </c>
      <c r="F130" s="1" t="b">
        <v>1</v>
      </c>
      <c r="G130" s="1" t="str">
        <f>IF(OR(LEFT(RIGHT(Master_Reference[[#This Row],[Model Number]],3),1)="C",LEFT(RIGHT(Master_Reference[[#This Row],[Model Number]],4),1)="C"),TRUE,"")</f>
        <v/>
      </c>
      <c r="H130" s="1" t="str">
        <f>IF(LEFT(Master_Reference[[#This Row],[Model Number]],1)="U",TRUE,"")</f>
        <v/>
      </c>
      <c r="I130" s="1" t="b">
        <f>IF(Master_Reference[[#This Row],[Lamp Type]]="T4","",IF(Master_Reference[[#This Row],[Case Type]]="M","",TRUE))</f>
        <v>1</v>
      </c>
      <c r="J130" s="1" t="s">
        <v>297</v>
      </c>
      <c r="K130" s="1">
        <v>24</v>
      </c>
      <c r="L130" s="1" t="s">
        <v>112</v>
      </c>
      <c r="M130" s="1">
        <v>2</v>
      </c>
      <c r="N130" s="1" t="s">
        <v>149</v>
      </c>
      <c r="O130" s="1" t="s">
        <v>320</v>
      </c>
      <c r="R130" t="b">
        <f>IF(COUNTBLANK(Master_Reference[[#This Row],[C-Flex 3000K Eco Part Number]:[C-Flex 4000K Eco Part Number]])=3,FALSE,TRUE)</f>
        <v>1</v>
      </c>
      <c r="S130" t="b">
        <f>IF(COUNTBLANK(Master_Reference[[#This Row],[C-Flex 3000K 3W Part Number]:[C-Flex 4000K 3W Part Number]])=3,FALSE,TRUE)</f>
        <v>1</v>
      </c>
      <c r="T130" t="b">
        <f>IF(COUNTBLANK(Master_Reference[[#This Row],[Lutron 3000K Eco Part Number]:[Lutron 4000K Eco Part Number]])=3,FALSE,TRUE)</f>
        <v>1</v>
      </c>
      <c r="U130" t="b">
        <f>IF(COUNTBLANK(Master_Reference[[#This Row],[Lutron 3000K 3W Part Number]:[Lutron 4000K 3W Part Number]])=3,FALSE,TRUE)</f>
        <v>1</v>
      </c>
      <c r="V130" s="12" t="s">
        <v>362</v>
      </c>
      <c r="W130" s="12" t="s">
        <v>363</v>
      </c>
      <c r="X130" s="12" t="s">
        <v>364</v>
      </c>
      <c r="Y130" t="s">
        <v>1722</v>
      </c>
      <c r="Z130" s="12" t="s">
        <v>365</v>
      </c>
      <c r="AA130" s="12" t="s">
        <v>366</v>
      </c>
      <c r="AB130" s="12" t="s">
        <v>367</v>
      </c>
      <c r="AC130" t="s">
        <v>1810</v>
      </c>
      <c r="AD130" t="str">
        <f>SUBSTITUTE(Master_Reference[[#This Row],[C-Flex 4000K Eco Part Number]],"40-","xx-")</f>
        <v>RP-T5HO-2FT-2L-8xx-E1-M-G2</v>
      </c>
      <c r="AE130" t="str">
        <f>SUBSTITUTE(Master_Reference[[#This Row],[C-Flex 4000K 3W Part Number]],"40-","xx-")</f>
        <v>RP-T5HO-2FT-2L-8xx-3W-M-G2</v>
      </c>
      <c r="AF130" s="1" t="str">
        <f>_xlfn.IFNA(VLOOKUP(Master_Reference[[#This Row],[C-Flex 3000K Eco Part Number]],Lutron_CFlex_Lookup[],MATCH("Lutron Kit PN",Lutron_CFlex_Lookup[#Headers],0),FALSE),"")</f>
        <v>ELD2T5H-2M30-q</v>
      </c>
      <c r="AG130" s="1" t="str">
        <f>_xlfn.IFNA(VLOOKUP(Master_Reference[[#This Row],[C-Flex 3500K Eco Part Number]],Lutron_CFlex_Lookup[],MATCH("Lutron Kit PN",Lutron_CFlex_Lookup[#Headers],0),FALSE),"")</f>
        <v>ELD2T5H-2M35-q</v>
      </c>
      <c r="AH130" s="1" t="str">
        <f>_xlfn.IFNA(VLOOKUP(Master_Reference[[#This Row],[C-Flex 4000K Eco Part Number]],Lutron_CFlex_Lookup[],MATCH("Lutron Kit PN",Lutron_CFlex_Lookup[#Headers],0),FALSE),"")</f>
        <v>ELD2T5H-2M40-q</v>
      </c>
      <c r="AI130" s="1" t="str">
        <f>_xlfn.IFNA(VLOOKUP(Master_Reference[[#This Row],[C-Flex 5000K Eco Part Number]],Lutron_CFlex_Lookup[],MATCH("Lutron Kit PN",Lutron_CFlex_Lookup[#Headers],0),FALSE),"")</f>
        <v>ELD2T5H-2M50-q</v>
      </c>
      <c r="AJ130" s="1" t="str">
        <f>_xlfn.IFNA(VLOOKUP(Master_Reference[[#This Row],[C-Flex 3000K 3W Part Number]],Lutron_CFlex_Lookup[],MATCH("Lutron Kit PN",Lutron_CFlex_Lookup[#Headers],0),FALSE),"")</f>
        <v>3LD2T5H-2M30-q</v>
      </c>
      <c r="AK130" s="1" t="str">
        <f>_xlfn.IFNA(VLOOKUP(Master_Reference[[#This Row],[C-Flex 3500K 3W Part Number]],Lutron_CFlex_Lookup[],MATCH("Lutron Kit PN",Lutron_CFlex_Lookup[#Headers],0),FALSE),"")</f>
        <v>3LD2T5H-2M35-q</v>
      </c>
      <c r="AL130" s="1" t="str">
        <f>_xlfn.IFNA(VLOOKUP(Master_Reference[[#This Row],[C-Flex 4000K 3W Part Number]],Lutron_CFlex_Lookup[],MATCH("Lutron Kit PN",Lutron_CFlex_Lookup[#Headers],0),FALSE),"")</f>
        <v>3LD2T5H-2M40-q</v>
      </c>
      <c r="AM130" s="1" t="str">
        <f>_xlfn.IFNA(VLOOKUP(Master_Reference[[#This Row],[C-Flex 5000K 3W Part Number]],Lutron_CFlex_Lookup[],MATCH("Lutron Kit PN",Lutron_CFlex_Lookup[#Headers],0),FALSE),"")</f>
        <v>3LD2T5H-2M50-q</v>
      </c>
      <c r="AN130" s="1" t="b">
        <f>NOT(ISNA(VLOOKUP(Master_Reference[[#This Row],[Model Number]],ObsoleteModels[],1,FALSE)))</f>
        <v>0</v>
      </c>
      <c r="AO130" s="1" t="str">
        <f>IF(LEFT(Master_Reference[[#This Row],[Model Number]],1)="U",LEFT(Master_Reference[[#This Row],[Model Number]],4),LEFT(Master_Reference[[#This Row],[Model Number]],3))</f>
        <v>EC5</v>
      </c>
    </row>
    <row r="131" spans="1:41" x14ac:dyDescent="0.25">
      <c r="A131" s="2" t="s">
        <v>375</v>
      </c>
      <c r="B131" s="1" t="b">
        <v>1</v>
      </c>
      <c r="C131" s="1" t="b">
        <v>1</v>
      </c>
      <c r="F131" s="1" t="b">
        <v>1</v>
      </c>
      <c r="G131" s="1" t="b">
        <f>IF(OR(LEFT(RIGHT(Master_Reference[[#This Row],[Model Number]],3),1)="C",LEFT(RIGHT(Master_Reference[[#This Row],[Model Number]],4),1)="C"),TRUE,"")</f>
        <v>1</v>
      </c>
      <c r="H131" s="1" t="str">
        <f>IF(LEFT(Master_Reference[[#This Row],[Model Number]],1)="U",TRUE,"")</f>
        <v/>
      </c>
      <c r="I131" s="1" t="b">
        <f>IF(Master_Reference[[#This Row],[Lamp Type]]="T4","",IF(Master_Reference[[#This Row],[Case Type]]="M","",TRUE))</f>
        <v>1</v>
      </c>
      <c r="J131" s="1" t="s">
        <v>297</v>
      </c>
      <c r="K131" s="1">
        <v>24</v>
      </c>
      <c r="L131" s="1" t="s">
        <v>112</v>
      </c>
      <c r="M131" s="1">
        <v>2</v>
      </c>
      <c r="N131" s="1" t="s">
        <v>149</v>
      </c>
      <c r="O131" s="1" t="s">
        <v>320</v>
      </c>
      <c r="R131" t="b">
        <f>IF(COUNTBLANK(Master_Reference[[#This Row],[C-Flex 3000K Eco Part Number]:[C-Flex 4000K Eco Part Number]])=3,FALSE,TRUE)</f>
        <v>1</v>
      </c>
      <c r="S131" t="b">
        <f>IF(COUNTBLANK(Master_Reference[[#This Row],[C-Flex 3000K 3W Part Number]:[C-Flex 4000K 3W Part Number]])=3,FALSE,TRUE)</f>
        <v>1</v>
      </c>
      <c r="T131" t="b">
        <f>IF(COUNTBLANK(Master_Reference[[#This Row],[Lutron 3000K Eco Part Number]:[Lutron 4000K Eco Part Number]])=3,FALSE,TRUE)</f>
        <v>1</v>
      </c>
      <c r="U131" t="b">
        <f>IF(COUNTBLANK(Master_Reference[[#This Row],[Lutron 3000K 3W Part Number]:[Lutron 4000K 3W Part Number]])=3,FALSE,TRUE)</f>
        <v>1</v>
      </c>
      <c r="V131" s="12" t="s">
        <v>362</v>
      </c>
      <c r="W131" s="12" t="s">
        <v>363</v>
      </c>
      <c r="X131" s="12" t="s">
        <v>364</v>
      </c>
      <c r="Y131" t="s">
        <v>1722</v>
      </c>
      <c r="Z131" s="12" t="s">
        <v>365</v>
      </c>
      <c r="AA131" s="12" t="s">
        <v>366</v>
      </c>
      <c r="AB131" s="12" t="s">
        <v>367</v>
      </c>
      <c r="AC131" t="s">
        <v>1810</v>
      </c>
      <c r="AD131" t="str">
        <f>SUBSTITUTE(Master_Reference[[#This Row],[C-Flex 4000K Eco Part Number]],"40-","xx-")</f>
        <v>RP-T5HO-2FT-2L-8xx-E1-M-G2</v>
      </c>
      <c r="AE131" t="str">
        <f>SUBSTITUTE(Master_Reference[[#This Row],[C-Flex 4000K 3W Part Number]],"40-","xx-")</f>
        <v>RP-T5HO-2FT-2L-8xx-3W-M-G2</v>
      </c>
      <c r="AF131" s="1" t="str">
        <f>_xlfn.IFNA(VLOOKUP(Master_Reference[[#This Row],[C-Flex 3000K Eco Part Number]],Lutron_CFlex_Lookup[],MATCH("Lutron Kit PN",Lutron_CFlex_Lookup[#Headers],0),FALSE),"")</f>
        <v>ELD2T5H-2M30-q</v>
      </c>
      <c r="AG131" s="1" t="str">
        <f>_xlfn.IFNA(VLOOKUP(Master_Reference[[#This Row],[C-Flex 3500K Eco Part Number]],Lutron_CFlex_Lookup[],MATCH("Lutron Kit PN",Lutron_CFlex_Lookup[#Headers],0),FALSE),"")</f>
        <v>ELD2T5H-2M35-q</v>
      </c>
      <c r="AH131" s="1" t="str">
        <f>_xlfn.IFNA(VLOOKUP(Master_Reference[[#This Row],[C-Flex 4000K Eco Part Number]],Lutron_CFlex_Lookup[],MATCH("Lutron Kit PN",Lutron_CFlex_Lookup[#Headers],0),FALSE),"")</f>
        <v>ELD2T5H-2M40-q</v>
      </c>
      <c r="AI131" s="1" t="str">
        <f>_xlfn.IFNA(VLOOKUP(Master_Reference[[#This Row],[C-Flex 5000K Eco Part Number]],Lutron_CFlex_Lookup[],MATCH("Lutron Kit PN",Lutron_CFlex_Lookup[#Headers],0),FALSE),"")</f>
        <v>ELD2T5H-2M50-q</v>
      </c>
      <c r="AJ131" s="1" t="str">
        <f>_xlfn.IFNA(VLOOKUP(Master_Reference[[#This Row],[C-Flex 3000K 3W Part Number]],Lutron_CFlex_Lookup[],MATCH("Lutron Kit PN",Lutron_CFlex_Lookup[#Headers],0),FALSE),"")</f>
        <v>3LD2T5H-2M30-q</v>
      </c>
      <c r="AK131" s="1" t="str">
        <f>_xlfn.IFNA(VLOOKUP(Master_Reference[[#This Row],[C-Flex 3500K 3W Part Number]],Lutron_CFlex_Lookup[],MATCH("Lutron Kit PN",Lutron_CFlex_Lookup[#Headers],0),FALSE),"")</f>
        <v>3LD2T5H-2M35-q</v>
      </c>
      <c r="AL131" s="1" t="str">
        <f>_xlfn.IFNA(VLOOKUP(Master_Reference[[#This Row],[C-Flex 4000K 3W Part Number]],Lutron_CFlex_Lookup[],MATCH("Lutron Kit PN",Lutron_CFlex_Lookup[#Headers],0),FALSE),"")</f>
        <v>3LD2T5H-2M40-q</v>
      </c>
      <c r="AM131" s="1" t="str">
        <f>_xlfn.IFNA(VLOOKUP(Master_Reference[[#This Row],[C-Flex 5000K 3W Part Number]],Lutron_CFlex_Lookup[],MATCH("Lutron Kit PN",Lutron_CFlex_Lookup[#Headers],0),FALSE),"")</f>
        <v>3LD2T5H-2M50-q</v>
      </c>
      <c r="AN131" s="1" t="b">
        <f>NOT(ISNA(VLOOKUP(Master_Reference[[#This Row],[Model Number]],ObsoleteModels[],1,FALSE)))</f>
        <v>1</v>
      </c>
      <c r="AO131" s="1" t="str">
        <f>IF(LEFT(Master_Reference[[#This Row],[Model Number]],1)="U",LEFT(Master_Reference[[#This Row],[Model Number]],4),LEFT(Master_Reference[[#This Row],[Model Number]],3))</f>
        <v>EC5</v>
      </c>
    </row>
    <row r="132" spans="1:41" x14ac:dyDescent="0.25">
      <c r="A132" s="2" t="s">
        <v>376</v>
      </c>
      <c r="B132" s="1" t="b">
        <v>1</v>
      </c>
      <c r="C132" s="1" t="b">
        <v>1</v>
      </c>
      <c r="F132" s="1" t="b">
        <v>1</v>
      </c>
      <c r="G132" s="1" t="str">
        <f>IF(OR(LEFT(RIGHT(Master_Reference[[#This Row],[Model Number]],3),1)="C",LEFT(RIGHT(Master_Reference[[#This Row],[Model Number]],4),1)="C"),TRUE,"")</f>
        <v/>
      </c>
      <c r="H132" s="1" t="str">
        <f>IF(LEFT(Master_Reference[[#This Row],[Model Number]],1)="U",TRUE,"")</f>
        <v/>
      </c>
      <c r="I132" s="1" t="b">
        <f>IF(Master_Reference[[#This Row],[Lamp Type]]="T4","",IF(Master_Reference[[#This Row],[Case Type]]="M","",TRUE))</f>
        <v>1</v>
      </c>
      <c r="J132" s="1" t="s">
        <v>297</v>
      </c>
      <c r="K132" s="1">
        <v>24</v>
      </c>
      <c r="L132" s="1" t="s">
        <v>112</v>
      </c>
      <c r="M132" s="1">
        <v>2</v>
      </c>
      <c r="N132" s="1" t="s">
        <v>149</v>
      </c>
      <c r="O132" s="1" t="s">
        <v>320</v>
      </c>
      <c r="Q132" s="1" t="s">
        <v>91</v>
      </c>
      <c r="R132" t="b">
        <f>IF(COUNTBLANK(Master_Reference[[#This Row],[C-Flex 3000K Eco Part Number]:[C-Flex 4000K Eco Part Number]])=3,FALSE,TRUE)</f>
        <v>0</v>
      </c>
      <c r="S132" t="b">
        <f>IF(COUNTBLANK(Master_Reference[[#This Row],[C-Flex 3000K 3W Part Number]:[C-Flex 4000K 3W Part Number]])=3,FALSE,TRUE)</f>
        <v>0</v>
      </c>
      <c r="T132" t="b">
        <f>IF(COUNTBLANK(Master_Reference[[#This Row],[Lutron 3000K Eco Part Number]:[Lutron 4000K Eco Part Number]])=3,FALSE,TRUE)</f>
        <v>0</v>
      </c>
      <c r="U132" t="b">
        <f>IF(COUNTBLANK(Master_Reference[[#This Row],[Lutron 3000K 3W Part Number]:[Lutron 4000K 3W Part Number]])=3,FALSE,TRUE)</f>
        <v>0</v>
      </c>
      <c r="V132" s="12"/>
      <c r="W132" s="12"/>
      <c r="X132" s="12"/>
      <c r="Y132" t="s">
        <v>2125</v>
      </c>
      <c r="Z132" s="12"/>
      <c r="AA132" s="12"/>
      <c r="AB132" s="12"/>
      <c r="AC132" t="s">
        <v>2125</v>
      </c>
      <c r="AD132" t="str">
        <f>SUBSTITUTE(Master_Reference[[#This Row],[C-Flex 4000K Eco Part Number]],"40-","xx-")</f>
        <v/>
      </c>
      <c r="AE132" t="str">
        <f>SUBSTITUTE(Master_Reference[[#This Row],[C-Flex 4000K 3W Part Number]],"40-","xx-")</f>
        <v/>
      </c>
      <c r="AF132" s="1" t="str">
        <f>_xlfn.IFNA(VLOOKUP(Master_Reference[[#This Row],[C-Flex 3000K Eco Part Number]],Lutron_CFlex_Lookup[],MATCH("Lutron Kit PN",Lutron_CFlex_Lookup[#Headers],0),FALSE),"")</f>
        <v/>
      </c>
      <c r="AG132" s="1" t="str">
        <f>_xlfn.IFNA(VLOOKUP(Master_Reference[[#This Row],[C-Flex 3500K Eco Part Number]],Lutron_CFlex_Lookup[],MATCH("Lutron Kit PN",Lutron_CFlex_Lookup[#Headers],0),FALSE),"")</f>
        <v/>
      </c>
      <c r="AH132" s="1" t="str">
        <f>_xlfn.IFNA(VLOOKUP(Master_Reference[[#This Row],[C-Flex 4000K Eco Part Number]],Lutron_CFlex_Lookup[],MATCH("Lutron Kit PN",Lutron_CFlex_Lookup[#Headers],0),FALSE),"")</f>
        <v/>
      </c>
      <c r="AI132" s="1" t="str">
        <f>_xlfn.IFNA(VLOOKUP(Master_Reference[[#This Row],[C-Flex 5000K Eco Part Number]],Lutron_CFlex_Lookup[],MATCH("Lutron Kit PN",Lutron_CFlex_Lookup[#Headers],0),FALSE),"")</f>
        <v/>
      </c>
      <c r="AJ132" s="1" t="str">
        <f>_xlfn.IFNA(VLOOKUP(Master_Reference[[#This Row],[C-Flex 3000K 3W Part Number]],Lutron_CFlex_Lookup[],MATCH("Lutron Kit PN",Lutron_CFlex_Lookup[#Headers],0),FALSE),"")</f>
        <v/>
      </c>
      <c r="AK132" s="1" t="str">
        <f>_xlfn.IFNA(VLOOKUP(Master_Reference[[#This Row],[C-Flex 3500K 3W Part Number]],Lutron_CFlex_Lookup[],MATCH("Lutron Kit PN",Lutron_CFlex_Lookup[#Headers],0),FALSE),"")</f>
        <v/>
      </c>
      <c r="AL132" s="1" t="str">
        <f>_xlfn.IFNA(VLOOKUP(Master_Reference[[#This Row],[C-Flex 4000K 3W Part Number]],Lutron_CFlex_Lookup[],MATCH("Lutron Kit PN",Lutron_CFlex_Lookup[#Headers],0),FALSE),"")</f>
        <v/>
      </c>
      <c r="AM132" s="1" t="str">
        <f>_xlfn.IFNA(VLOOKUP(Master_Reference[[#This Row],[C-Flex 5000K 3W Part Number]],Lutron_CFlex_Lookup[],MATCH("Lutron Kit PN",Lutron_CFlex_Lookup[#Headers],0),FALSE),"")</f>
        <v/>
      </c>
      <c r="AN132" s="1" t="b">
        <f>NOT(ISNA(VLOOKUP(Master_Reference[[#This Row],[Model Number]],ObsoleteModels[],1,FALSE)))</f>
        <v>0</v>
      </c>
      <c r="AO132" s="1" t="str">
        <f>IF(LEFT(Master_Reference[[#This Row],[Model Number]],1)="U",LEFT(Master_Reference[[#This Row],[Model Number]],4),LEFT(Master_Reference[[#This Row],[Model Number]],3))</f>
        <v>EC5</v>
      </c>
    </row>
    <row r="133" spans="1:41" x14ac:dyDescent="0.25">
      <c r="A133" s="2" t="s">
        <v>377</v>
      </c>
      <c r="B133" s="1" t="b">
        <v>1</v>
      </c>
      <c r="C133" s="1" t="b">
        <v>1</v>
      </c>
      <c r="F133" s="1" t="b">
        <f>IF(LEFT(Master_Reference[[#This Row],[Model Number]],3)="EC5",TRUE,FALSE)</f>
        <v>1</v>
      </c>
      <c r="G133" s="1" t="str">
        <f>IF(OR(LEFT(RIGHT(Master_Reference[[#This Row],[Model Number]],3),1)="C",LEFT(RIGHT(Master_Reference[[#This Row],[Model Number]],4),1)="C"),TRUE,"")</f>
        <v/>
      </c>
      <c r="H133" s="1" t="str">
        <f>IF(LEFT(Master_Reference[[#This Row],[Model Number]],1)="U",TRUE,"")</f>
        <v/>
      </c>
      <c r="I133" s="1" t="b">
        <f>IF(Master_Reference[[#This Row],[Lamp Type]]="T4","",IF(Master_Reference[[#This Row],[Case Type]]="M","",TRUE))</f>
        <v>1</v>
      </c>
      <c r="J133" s="1" t="s">
        <v>123</v>
      </c>
      <c r="K133" s="1">
        <v>28</v>
      </c>
      <c r="L133" s="1" t="s">
        <v>118</v>
      </c>
      <c r="M133" s="1">
        <v>1</v>
      </c>
      <c r="N133" s="1">
        <v>120</v>
      </c>
      <c r="O133" s="1" t="s">
        <v>320</v>
      </c>
      <c r="R133" t="b">
        <f>IF(COUNTBLANK(Master_Reference[[#This Row],[C-Flex 3000K Eco Part Number]:[C-Flex 4000K Eco Part Number]])=3,FALSE,TRUE)</f>
        <v>1</v>
      </c>
      <c r="S133" t="b">
        <f>IF(COUNTBLANK(Master_Reference[[#This Row],[C-Flex 3000K 3W Part Number]:[C-Flex 4000K 3W Part Number]])=3,FALSE,TRUE)</f>
        <v>1</v>
      </c>
      <c r="T133" s="1" t="b">
        <f>IF(COUNTBLANK(Master_Reference[[#This Row],[Lutron 3000K Eco Part Number]:[Lutron 4000K Eco Part Number]])=3,FALSE,TRUE)</f>
        <v>1</v>
      </c>
      <c r="U133" s="1" t="b">
        <f>IF(COUNTBLANK(Master_Reference[[#This Row],[Lutron 3000K 3W Part Number]:[Lutron 4000K 3W Part Number]])=3,FALSE,TRUE)</f>
        <v>1</v>
      </c>
      <c r="V133" s="12" t="s">
        <v>290</v>
      </c>
      <c r="W133" s="12" t="s">
        <v>291</v>
      </c>
      <c r="X133" s="12" t="s">
        <v>292</v>
      </c>
      <c r="Y133" t="s">
        <v>1720</v>
      </c>
      <c r="Z133" s="12" t="s">
        <v>293</v>
      </c>
      <c r="AA133" s="12" t="s">
        <v>294</v>
      </c>
      <c r="AB133" s="12" t="s">
        <v>295</v>
      </c>
      <c r="AC133" t="s">
        <v>1808</v>
      </c>
      <c r="AD133" t="str">
        <f>SUBSTITUTE(Master_Reference[[#This Row],[C-Flex 4000K Eco Part Number]],"40-","xx-")</f>
        <v>RP-T5-4FT-2L-8xx-E1-M-G2</v>
      </c>
      <c r="AE133" t="str">
        <f>SUBSTITUTE(Master_Reference[[#This Row],[C-Flex 4000K 3W Part Number]],"40-","xx-")</f>
        <v>RP-T5-4FT-2L-8xx-3W-M-G2</v>
      </c>
      <c r="AF133" s="1" t="str">
        <f>_xlfn.IFNA(VLOOKUP(Master_Reference[[#This Row],[C-Flex 3000K Eco Part Number]],Lutron_CFlex_Lookup[],MATCH("Lutron Kit PN",Lutron_CFlex_Lookup[#Headers],0),FALSE),"")</f>
        <v>ELD4T5-2M30-q</v>
      </c>
      <c r="AG133" s="1" t="str">
        <f>_xlfn.IFNA(VLOOKUP(Master_Reference[[#This Row],[C-Flex 3500K Eco Part Number]],Lutron_CFlex_Lookup[],MATCH("Lutron Kit PN",Lutron_CFlex_Lookup[#Headers],0),FALSE),"")</f>
        <v>ELD4T5-2M35-q</v>
      </c>
      <c r="AH133" s="1" t="str">
        <f>_xlfn.IFNA(VLOOKUP(Master_Reference[[#This Row],[C-Flex 4000K Eco Part Number]],Lutron_CFlex_Lookup[],MATCH("Lutron Kit PN",Lutron_CFlex_Lookup[#Headers],0),FALSE),"")</f>
        <v>ELD4T5-2M40-q</v>
      </c>
      <c r="AI133" s="1" t="str">
        <f>_xlfn.IFNA(VLOOKUP(Master_Reference[[#This Row],[C-Flex 5000K Eco Part Number]],Lutron_CFlex_Lookup[],MATCH("Lutron Kit PN",Lutron_CFlex_Lookup[#Headers],0),FALSE),"")</f>
        <v>ELD4T5-2M50-q</v>
      </c>
      <c r="AJ133" s="1" t="str">
        <f>_xlfn.IFNA(VLOOKUP(Master_Reference[[#This Row],[C-Flex 3000K 3W Part Number]],Lutron_CFlex_Lookup[],MATCH("Lutron Kit PN",Lutron_CFlex_Lookup[#Headers],0),FALSE),"")</f>
        <v>3LD4T5-2M30-q</v>
      </c>
      <c r="AK133" s="1" t="str">
        <f>_xlfn.IFNA(VLOOKUP(Master_Reference[[#This Row],[C-Flex 3500K 3W Part Number]],Lutron_CFlex_Lookup[],MATCH("Lutron Kit PN",Lutron_CFlex_Lookup[#Headers],0),FALSE),"")</f>
        <v>3LD4T5-2M35-q</v>
      </c>
      <c r="AL133" s="1" t="str">
        <f>_xlfn.IFNA(VLOOKUP(Master_Reference[[#This Row],[C-Flex 4000K 3W Part Number]],Lutron_CFlex_Lookup[],MATCH("Lutron Kit PN",Lutron_CFlex_Lookup[#Headers],0),FALSE),"")</f>
        <v>3LD4T5-2M40-q</v>
      </c>
      <c r="AM133" s="1" t="str">
        <f>_xlfn.IFNA(VLOOKUP(Master_Reference[[#This Row],[C-Flex 5000K 3W Part Number]],Lutron_CFlex_Lookup[],MATCH("Lutron Kit PN",Lutron_CFlex_Lookup[#Headers],0),FALSE),"")</f>
        <v>3LD4T5-2M50-q</v>
      </c>
      <c r="AN133" s="1" t="b">
        <f>NOT(ISNA(VLOOKUP(Master_Reference[[#This Row],[Model Number]],ObsoleteModels[],1,FALSE)))</f>
        <v>1</v>
      </c>
      <c r="AO133" s="1" t="str">
        <f>IF(LEFT(Master_Reference[[#This Row],[Model Number]],1)="U",LEFT(Master_Reference[[#This Row],[Model Number]],4),LEFT(Master_Reference[[#This Row],[Model Number]],3))</f>
        <v>EC5</v>
      </c>
    </row>
    <row r="134" spans="1:41" x14ac:dyDescent="0.25">
      <c r="A134" s="2" t="s">
        <v>378</v>
      </c>
      <c r="B134" s="1" t="b">
        <v>1</v>
      </c>
      <c r="C134" s="1" t="b">
        <v>1</v>
      </c>
      <c r="F134" s="1" t="b">
        <v>1</v>
      </c>
      <c r="G134" s="1" t="str">
        <f>IF(OR(LEFT(RIGHT(Master_Reference[[#This Row],[Model Number]],3),1)="C",LEFT(RIGHT(Master_Reference[[#This Row],[Model Number]],4),1)="C"),TRUE,"")</f>
        <v/>
      </c>
      <c r="H134" s="1" t="str">
        <f>IF(LEFT(Master_Reference[[#This Row],[Model Number]],1)="U",TRUE,"")</f>
        <v/>
      </c>
      <c r="I134" s="1" t="b">
        <f>IF(Master_Reference[[#This Row],[Lamp Type]]="T4","",IF(Master_Reference[[#This Row],[Case Type]]="M","",TRUE))</f>
        <v>1</v>
      </c>
      <c r="J134" s="1" t="str">
        <f>RIGHT(LEFT(A134,5),2)</f>
        <v>T5</v>
      </c>
      <c r="K134" s="1">
        <v>28</v>
      </c>
      <c r="L134" s="1" t="s">
        <v>118</v>
      </c>
      <c r="M134" s="1">
        <v>2</v>
      </c>
      <c r="N134" s="1">
        <v>120</v>
      </c>
      <c r="O134" s="1" t="s">
        <v>320</v>
      </c>
      <c r="R134" t="b">
        <f>IF(COUNTBLANK(Master_Reference[[#This Row],[C-Flex 3000K Eco Part Number]:[C-Flex 4000K Eco Part Number]])=3,FALSE,TRUE)</f>
        <v>1</v>
      </c>
      <c r="S134" t="b">
        <f>IF(COUNTBLANK(Master_Reference[[#This Row],[C-Flex 3000K 3W Part Number]:[C-Flex 4000K 3W Part Number]])=3,FALSE,TRUE)</f>
        <v>1</v>
      </c>
      <c r="T134" t="b">
        <f>IF(COUNTBLANK(Master_Reference[[#This Row],[Lutron 3000K Eco Part Number]:[Lutron 4000K Eco Part Number]])=3,FALSE,TRUE)</f>
        <v>1</v>
      </c>
      <c r="U134" t="b">
        <f>IF(COUNTBLANK(Master_Reference[[#This Row],[Lutron 3000K 3W Part Number]:[Lutron 4000K 3W Part Number]])=3,FALSE,TRUE)</f>
        <v>1</v>
      </c>
      <c r="V134" s="12" t="s">
        <v>290</v>
      </c>
      <c r="W134" s="12" t="s">
        <v>291</v>
      </c>
      <c r="X134" s="12" t="s">
        <v>292</v>
      </c>
      <c r="Y134" t="s">
        <v>1720</v>
      </c>
      <c r="Z134" s="12" t="s">
        <v>293</v>
      </c>
      <c r="AA134" s="12" t="s">
        <v>294</v>
      </c>
      <c r="AB134" s="12" t="s">
        <v>295</v>
      </c>
      <c r="AC134" t="s">
        <v>1808</v>
      </c>
      <c r="AD134" t="str">
        <f>SUBSTITUTE(Master_Reference[[#This Row],[C-Flex 4000K Eco Part Number]],"40-","xx-")</f>
        <v>RP-T5-4FT-2L-8xx-E1-M-G2</v>
      </c>
      <c r="AE134" t="str">
        <f>SUBSTITUTE(Master_Reference[[#This Row],[C-Flex 4000K 3W Part Number]],"40-","xx-")</f>
        <v>RP-T5-4FT-2L-8xx-3W-M-G2</v>
      </c>
      <c r="AF134" s="1" t="str">
        <f>_xlfn.IFNA(VLOOKUP(Master_Reference[[#This Row],[C-Flex 3000K Eco Part Number]],Lutron_CFlex_Lookup[],MATCH("Lutron Kit PN",Lutron_CFlex_Lookup[#Headers],0),FALSE),"")</f>
        <v>ELD4T5-2M30-q</v>
      </c>
      <c r="AG134" s="1" t="str">
        <f>_xlfn.IFNA(VLOOKUP(Master_Reference[[#This Row],[C-Flex 3500K Eco Part Number]],Lutron_CFlex_Lookup[],MATCH("Lutron Kit PN",Lutron_CFlex_Lookup[#Headers],0),FALSE),"")</f>
        <v>ELD4T5-2M35-q</v>
      </c>
      <c r="AH134" s="1" t="str">
        <f>_xlfn.IFNA(VLOOKUP(Master_Reference[[#This Row],[C-Flex 4000K Eco Part Number]],Lutron_CFlex_Lookup[],MATCH("Lutron Kit PN",Lutron_CFlex_Lookup[#Headers],0),FALSE),"")</f>
        <v>ELD4T5-2M40-q</v>
      </c>
      <c r="AI134" s="1" t="str">
        <f>_xlfn.IFNA(VLOOKUP(Master_Reference[[#This Row],[C-Flex 5000K Eco Part Number]],Lutron_CFlex_Lookup[],MATCH("Lutron Kit PN",Lutron_CFlex_Lookup[#Headers],0),FALSE),"")</f>
        <v>ELD4T5-2M50-q</v>
      </c>
      <c r="AJ134" s="1" t="str">
        <f>_xlfn.IFNA(VLOOKUP(Master_Reference[[#This Row],[C-Flex 3000K 3W Part Number]],Lutron_CFlex_Lookup[],MATCH("Lutron Kit PN",Lutron_CFlex_Lookup[#Headers],0),FALSE),"")</f>
        <v>3LD4T5-2M30-q</v>
      </c>
      <c r="AK134" s="1" t="str">
        <f>_xlfn.IFNA(VLOOKUP(Master_Reference[[#This Row],[C-Flex 3500K 3W Part Number]],Lutron_CFlex_Lookup[],MATCH("Lutron Kit PN",Lutron_CFlex_Lookup[#Headers],0),FALSE),"")</f>
        <v>3LD4T5-2M35-q</v>
      </c>
      <c r="AL134" s="1" t="str">
        <f>_xlfn.IFNA(VLOOKUP(Master_Reference[[#This Row],[C-Flex 4000K 3W Part Number]],Lutron_CFlex_Lookup[],MATCH("Lutron Kit PN",Lutron_CFlex_Lookup[#Headers],0),FALSE),"")</f>
        <v>3LD4T5-2M40-q</v>
      </c>
      <c r="AM134" s="1" t="str">
        <f>_xlfn.IFNA(VLOOKUP(Master_Reference[[#This Row],[C-Flex 5000K 3W Part Number]],Lutron_CFlex_Lookup[],MATCH("Lutron Kit PN",Lutron_CFlex_Lookup[#Headers],0),FALSE),"")</f>
        <v>3LD4T5-2M50-q</v>
      </c>
      <c r="AN134" s="1" t="b">
        <f>NOT(ISNA(VLOOKUP(Master_Reference[[#This Row],[Model Number]],ObsoleteModels[],1,FALSE)))</f>
        <v>1</v>
      </c>
      <c r="AO134" s="1" t="str">
        <f>IF(LEFT(Master_Reference[[#This Row],[Model Number]],1)="U",LEFT(Master_Reference[[#This Row],[Model Number]],4),LEFT(Master_Reference[[#This Row],[Model Number]],3))</f>
        <v>EC5</v>
      </c>
    </row>
    <row r="135" spans="1:41" x14ac:dyDescent="0.25">
      <c r="A135" s="2" t="s">
        <v>378</v>
      </c>
      <c r="B135" s="1" t="b">
        <v>1</v>
      </c>
      <c r="C135" s="1" t="b">
        <v>1</v>
      </c>
      <c r="F135" s="1" t="b">
        <f>IF(LEFT(Master_Reference[[#This Row],[Model Number]],3)="EC5",TRUE,FALSE)</f>
        <v>1</v>
      </c>
      <c r="G135" s="1" t="str">
        <f>IF(OR(LEFT(RIGHT(Master_Reference[[#This Row],[Model Number]],3),1)="C",LEFT(RIGHT(Master_Reference[[#This Row],[Model Number]],4),1)="C"),TRUE,"")</f>
        <v/>
      </c>
      <c r="H135" s="1" t="str">
        <f>IF(LEFT(Master_Reference[[#This Row],[Model Number]],1)="U",TRUE,"")</f>
        <v/>
      </c>
      <c r="I135" s="1" t="b">
        <f>IF(Master_Reference[[#This Row],[Lamp Type]]="T4","",IF(Master_Reference[[#This Row],[Case Type]]="M","",TRUE))</f>
        <v>1</v>
      </c>
      <c r="J135" s="1" t="s">
        <v>123</v>
      </c>
      <c r="K135" s="1">
        <v>28</v>
      </c>
      <c r="L135" s="1" t="s">
        <v>118</v>
      </c>
      <c r="M135" s="1">
        <v>2</v>
      </c>
      <c r="N135" s="1">
        <v>120</v>
      </c>
      <c r="O135" s="1" t="s">
        <v>320</v>
      </c>
      <c r="R135" t="b">
        <f>IF(COUNTBLANK(Master_Reference[[#This Row],[C-Flex 3000K Eco Part Number]:[C-Flex 4000K Eco Part Number]])=3,FALSE,TRUE)</f>
        <v>1</v>
      </c>
      <c r="S135" t="b">
        <f>IF(COUNTBLANK(Master_Reference[[#This Row],[C-Flex 3000K 3W Part Number]:[C-Flex 4000K 3W Part Number]])=3,FALSE,TRUE)</f>
        <v>1</v>
      </c>
      <c r="T135" s="1" t="b">
        <f>IF(COUNTBLANK(Master_Reference[[#This Row],[Lutron 3000K Eco Part Number]:[Lutron 4000K Eco Part Number]])=3,FALSE,TRUE)</f>
        <v>1</v>
      </c>
      <c r="U135" s="1" t="b">
        <f>IF(COUNTBLANK(Master_Reference[[#This Row],[Lutron 3000K 3W Part Number]:[Lutron 4000K 3W Part Number]])=3,FALSE,TRUE)</f>
        <v>1</v>
      </c>
      <c r="V135" s="12" t="s">
        <v>283</v>
      </c>
      <c r="W135" s="12" t="s">
        <v>284</v>
      </c>
      <c r="X135" s="12" t="s">
        <v>285</v>
      </c>
      <c r="Y135" t="s">
        <v>1719</v>
      </c>
      <c r="Z135" s="12" t="s">
        <v>286</v>
      </c>
      <c r="AA135" s="12" t="s">
        <v>287</v>
      </c>
      <c r="AB135" s="12" t="s">
        <v>288</v>
      </c>
      <c r="AC135" t="s">
        <v>1807</v>
      </c>
      <c r="AD135" t="str">
        <f>SUBSTITUTE(Master_Reference[[#This Row],[C-Flex 4000K Eco Part Number]],"40-","xx-")</f>
        <v>RP-T5-4FT-1L-8xx-E1-M-G2</v>
      </c>
      <c r="AE135" t="str">
        <f>SUBSTITUTE(Master_Reference[[#This Row],[C-Flex 4000K 3W Part Number]],"40-","xx-")</f>
        <v>RP-T5-4FT-1L-8xx-3W-M-G2</v>
      </c>
      <c r="AF135" s="1" t="str">
        <f>_xlfn.IFNA(VLOOKUP(Master_Reference[[#This Row],[C-Flex 3000K Eco Part Number]],Lutron_CFlex_Lookup[],MATCH("Lutron Kit PN",Lutron_CFlex_Lookup[#Headers],0),FALSE),"")</f>
        <v>ELD4T5-1M30-q</v>
      </c>
      <c r="AG135" s="1" t="str">
        <f>_xlfn.IFNA(VLOOKUP(Master_Reference[[#This Row],[C-Flex 3500K Eco Part Number]],Lutron_CFlex_Lookup[],MATCH("Lutron Kit PN",Lutron_CFlex_Lookup[#Headers],0),FALSE),"")</f>
        <v>ELD4T5-1M35-q</v>
      </c>
      <c r="AH135" s="1" t="str">
        <f>_xlfn.IFNA(VLOOKUP(Master_Reference[[#This Row],[C-Flex 4000K Eco Part Number]],Lutron_CFlex_Lookup[],MATCH("Lutron Kit PN",Lutron_CFlex_Lookup[#Headers],0),FALSE),"")</f>
        <v>ELD4T5-1M40-q</v>
      </c>
      <c r="AI135" s="1" t="str">
        <f>_xlfn.IFNA(VLOOKUP(Master_Reference[[#This Row],[C-Flex 5000K Eco Part Number]],Lutron_CFlex_Lookup[],MATCH("Lutron Kit PN",Lutron_CFlex_Lookup[#Headers],0),FALSE),"")</f>
        <v>ELD4T5-1M50-q</v>
      </c>
      <c r="AJ135" s="1" t="str">
        <f>_xlfn.IFNA(VLOOKUP(Master_Reference[[#This Row],[C-Flex 3000K 3W Part Number]],Lutron_CFlex_Lookup[],MATCH("Lutron Kit PN",Lutron_CFlex_Lookup[#Headers],0),FALSE),"")</f>
        <v>3LD4T5-1M30-q</v>
      </c>
      <c r="AK135" s="1" t="str">
        <f>_xlfn.IFNA(VLOOKUP(Master_Reference[[#This Row],[C-Flex 3500K 3W Part Number]],Lutron_CFlex_Lookup[],MATCH("Lutron Kit PN",Lutron_CFlex_Lookup[#Headers],0),FALSE),"")</f>
        <v>3LD4T5-1M35-q</v>
      </c>
      <c r="AL135" s="1" t="str">
        <f>_xlfn.IFNA(VLOOKUP(Master_Reference[[#This Row],[C-Flex 4000K 3W Part Number]],Lutron_CFlex_Lookup[],MATCH("Lutron Kit PN",Lutron_CFlex_Lookup[#Headers],0),FALSE),"")</f>
        <v>3LD4T5-1M40-q</v>
      </c>
      <c r="AM135" s="1" t="str">
        <f>_xlfn.IFNA(VLOOKUP(Master_Reference[[#This Row],[C-Flex 5000K 3W Part Number]],Lutron_CFlex_Lookup[],MATCH("Lutron Kit PN",Lutron_CFlex_Lookup[#Headers],0),FALSE),"")</f>
        <v>3LD4T5-1M50-q</v>
      </c>
      <c r="AN135" s="1" t="b">
        <f>NOT(ISNA(VLOOKUP(Master_Reference[[#This Row],[Model Number]],ObsoleteModels[],1,FALSE)))</f>
        <v>1</v>
      </c>
      <c r="AO135" s="1" t="str">
        <f>IF(LEFT(Master_Reference[[#This Row],[Model Number]],1)="U",LEFT(Master_Reference[[#This Row],[Model Number]],4),LEFT(Master_Reference[[#This Row],[Model Number]],3))</f>
        <v>EC5</v>
      </c>
    </row>
    <row r="136" spans="1:41" x14ac:dyDescent="0.25">
      <c r="A136" s="2" t="s">
        <v>379</v>
      </c>
      <c r="B136" s="1" t="b">
        <v>1</v>
      </c>
      <c r="C136" s="1" t="b">
        <v>1</v>
      </c>
      <c r="F136" s="1" t="b">
        <v>1</v>
      </c>
      <c r="G136" s="1" t="str">
        <f>IF(OR(LEFT(RIGHT(Master_Reference[[#This Row],[Model Number]],3),1)="C",LEFT(RIGHT(Master_Reference[[#This Row],[Model Number]],4),1)="C"),TRUE,"")</f>
        <v/>
      </c>
      <c r="H136" s="1" t="str">
        <f>IF(LEFT(Master_Reference[[#This Row],[Model Number]],1)="U",TRUE,"")</f>
        <v/>
      </c>
      <c r="I136" s="1" t="b">
        <f>IF(Master_Reference[[#This Row],[Lamp Type]]="T4","",IF(Master_Reference[[#This Row],[Case Type]]="M","",TRUE))</f>
        <v>1</v>
      </c>
      <c r="J136" s="1" t="str">
        <f t="shared" ref="J136:J156" si="3">RIGHT(LEFT(A136,5),2)</f>
        <v>T5</v>
      </c>
      <c r="K136" s="1">
        <v>28</v>
      </c>
      <c r="L136" s="1" t="s">
        <v>118</v>
      </c>
      <c r="M136" s="1">
        <v>2</v>
      </c>
      <c r="N136" s="1">
        <v>120</v>
      </c>
      <c r="O136" s="1" t="s">
        <v>320</v>
      </c>
      <c r="Q136" s="1" t="s">
        <v>91</v>
      </c>
      <c r="R136" t="b">
        <f>IF(COUNTBLANK(Master_Reference[[#This Row],[C-Flex 3000K Eco Part Number]:[C-Flex 4000K Eco Part Number]])=3,FALSE,TRUE)</f>
        <v>0</v>
      </c>
      <c r="S136" t="b">
        <f>IF(COUNTBLANK(Master_Reference[[#This Row],[C-Flex 3000K 3W Part Number]:[C-Flex 4000K 3W Part Number]])=3,FALSE,TRUE)</f>
        <v>0</v>
      </c>
      <c r="T136" t="b">
        <f>IF(COUNTBLANK(Master_Reference[[#This Row],[Lutron 3000K Eco Part Number]:[Lutron 4000K Eco Part Number]])=3,FALSE,TRUE)</f>
        <v>0</v>
      </c>
      <c r="U136" t="b">
        <f>IF(COUNTBLANK(Master_Reference[[#This Row],[Lutron 3000K 3W Part Number]:[Lutron 4000K 3W Part Number]])=3,FALSE,TRUE)</f>
        <v>0</v>
      </c>
      <c r="V136" s="12"/>
      <c r="W136" s="12"/>
      <c r="X136" s="12"/>
      <c r="Y136" t="s">
        <v>2125</v>
      </c>
      <c r="Z136" s="12"/>
      <c r="AA136" s="12"/>
      <c r="AB136" s="12"/>
      <c r="AC136" t="s">
        <v>2125</v>
      </c>
      <c r="AD136" t="str">
        <f>SUBSTITUTE(Master_Reference[[#This Row],[C-Flex 4000K Eco Part Number]],"40-","xx-")</f>
        <v/>
      </c>
      <c r="AE136" t="str">
        <f>SUBSTITUTE(Master_Reference[[#This Row],[C-Flex 4000K 3W Part Number]],"40-","xx-")</f>
        <v/>
      </c>
      <c r="AF136" s="1" t="str">
        <f>_xlfn.IFNA(VLOOKUP(Master_Reference[[#This Row],[C-Flex 3000K Eco Part Number]],Lutron_CFlex_Lookup[],MATCH("Lutron Kit PN",Lutron_CFlex_Lookup[#Headers],0),FALSE),"")</f>
        <v/>
      </c>
      <c r="AG136" s="1" t="str">
        <f>_xlfn.IFNA(VLOOKUP(Master_Reference[[#This Row],[C-Flex 3500K Eco Part Number]],Lutron_CFlex_Lookup[],MATCH("Lutron Kit PN",Lutron_CFlex_Lookup[#Headers],0),FALSE),"")</f>
        <v/>
      </c>
      <c r="AH136" s="1" t="str">
        <f>_xlfn.IFNA(VLOOKUP(Master_Reference[[#This Row],[C-Flex 4000K Eco Part Number]],Lutron_CFlex_Lookup[],MATCH("Lutron Kit PN",Lutron_CFlex_Lookup[#Headers],0),FALSE),"")</f>
        <v/>
      </c>
      <c r="AI136" s="1" t="str">
        <f>_xlfn.IFNA(VLOOKUP(Master_Reference[[#This Row],[C-Flex 5000K Eco Part Number]],Lutron_CFlex_Lookup[],MATCH("Lutron Kit PN",Lutron_CFlex_Lookup[#Headers],0),FALSE),"")</f>
        <v/>
      </c>
      <c r="AJ136" s="1" t="str">
        <f>_xlfn.IFNA(VLOOKUP(Master_Reference[[#This Row],[C-Flex 3000K 3W Part Number]],Lutron_CFlex_Lookup[],MATCH("Lutron Kit PN",Lutron_CFlex_Lookup[#Headers],0),FALSE),"")</f>
        <v/>
      </c>
      <c r="AK136" s="1" t="str">
        <f>_xlfn.IFNA(VLOOKUP(Master_Reference[[#This Row],[C-Flex 3500K 3W Part Number]],Lutron_CFlex_Lookup[],MATCH("Lutron Kit PN",Lutron_CFlex_Lookup[#Headers],0),FALSE),"")</f>
        <v/>
      </c>
      <c r="AL136" s="1" t="str">
        <f>_xlfn.IFNA(VLOOKUP(Master_Reference[[#This Row],[C-Flex 4000K 3W Part Number]],Lutron_CFlex_Lookup[],MATCH("Lutron Kit PN",Lutron_CFlex_Lookup[#Headers],0),FALSE),"")</f>
        <v/>
      </c>
      <c r="AM136" s="1" t="str">
        <f>_xlfn.IFNA(VLOOKUP(Master_Reference[[#This Row],[C-Flex 5000K 3W Part Number]],Lutron_CFlex_Lookup[],MATCH("Lutron Kit PN",Lutron_CFlex_Lookup[#Headers],0),FALSE),"")</f>
        <v/>
      </c>
      <c r="AN136" s="1" t="b">
        <f>NOT(ISNA(VLOOKUP(Master_Reference[[#This Row],[Model Number]],ObsoleteModels[],1,FALSE)))</f>
        <v>1</v>
      </c>
      <c r="AO136" s="1" t="str">
        <f>IF(LEFT(Master_Reference[[#This Row],[Model Number]],1)="U",LEFT(Master_Reference[[#This Row],[Model Number]],4),LEFT(Master_Reference[[#This Row],[Model Number]],3))</f>
        <v>EC5</v>
      </c>
    </row>
    <row r="137" spans="1:41" x14ac:dyDescent="0.25">
      <c r="A137" s="2" t="s">
        <v>380</v>
      </c>
      <c r="B137" s="1" t="b">
        <v>1</v>
      </c>
      <c r="C137" s="1" t="b">
        <v>1</v>
      </c>
      <c r="F137" s="1" t="b">
        <v>1</v>
      </c>
      <c r="G137" s="1" t="str">
        <f>IF(OR(LEFT(RIGHT(Master_Reference[[#This Row],[Model Number]],3),1)="C",LEFT(RIGHT(Master_Reference[[#This Row],[Model Number]],4),1)="C"),TRUE,"")</f>
        <v/>
      </c>
      <c r="H137" s="1" t="str">
        <f>IF(LEFT(Master_Reference[[#This Row],[Model Number]],1)="U",TRUE,"")</f>
        <v/>
      </c>
      <c r="I137" s="1" t="b">
        <f>IF(Master_Reference[[#This Row],[Lamp Type]]="T4","",IF(Master_Reference[[#This Row],[Case Type]]="M","",TRUE))</f>
        <v>1</v>
      </c>
      <c r="J137" s="1" t="str">
        <f t="shared" si="3"/>
        <v>T5</v>
      </c>
      <c r="K137" s="1">
        <v>28</v>
      </c>
      <c r="L137" s="1" t="s">
        <v>118</v>
      </c>
      <c r="M137" s="1">
        <v>1</v>
      </c>
      <c r="N137" s="1">
        <v>277</v>
      </c>
      <c r="O137" s="1" t="s">
        <v>320</v>
      </c>
      <c r="R137" t="b">
        <f>IF(COUNTBLANK(Master_Reference[[#This Row],[C-Flex 3000K Eco Part Number]:[C-Flex 4000K Eco Part Number]])=3,FALSE,TRUE)</f>
        <v>1</v>
      </c>
      <c r="S137" t="b">
        <f>IF(COUNTBLANK(Master_Reference[[#This Row],[C-Flex 3000K 3W Part Number]:[C-Flex 4000K 3W Part Number]])=3,FALSE,TRUE)</f>
        <v>1</v>
      </c>
      <c r="T137" t="b">
        <f>IF(COUNTBLANK(Master_Reference[[#This Row],[Lutron 3000K Eco Part Number]:[Lutron 4000K Eco Part Number]])=3,FALSE,TRUE)</f>
        <v>1</v>
      </c>
      <c r="U137" t="b">
        <f>IF(COUNTBLANK(Master_Reference[[#This Row],[Lutron 3000K 3W Part Number]:[Lutron 4000K 3W Part Number]])=3,FALSE,TRUE)</f>
        <v>1</v>
      </c>
      <c r="V137" s="12" t="s">
        <v>283</v>
      </c>
      <c r="W137" s="12" t="s">
        <v>284</v>
      </c>
      <c r="X137" s="12" t="s">
        <v>285</v>
      </c>
      <c r="Y137" t="s">
        <v>1719</v>
      </c>
      <c r="Z137" s="12" t="s">
        <v>286</v>
      </c>
      <c r="AA137" s="12" t="s">
        <v>287</v>
      </c>
      <c r="AB137" s="12" t="s">
        <v>288</v>
      </c>
      <c r="AC137" t="s">
        <v>1807</v>
      </c>
      <c r="AD137" t="str">
        <f>SUBSTITUTE(Master_Reference[[#This Row],[C-Flex 4000K Eco Part Number]],"40-","xx-")</f>
        <v>RP-T5-4FT-1L-8xx-E1-M-G2</v>
      </c>
      <c r="AE137" t="str">
        <f>SUBSTITUTE(Master_Reference[[#This Row],[C-Flex 4000K 3W Part Number]],"40-","xx-")</f>
        <v>RP-T5-4FT-1L-8xx-3W-M-G2</v>
      </c>
      <c r="AF137" s="1" t="str">
        <f>_xlfn.IFNA(VLOOKUP(Master_Reference[[#This Row],[C-Flex 3000K Eco Part Number]],Lutron_CFlex_Lookup[],MATCH("Lutron Kit PN",Lutron_CFlex_Lookup[#Headers],0),FALSE),"")</f>
        <v>ELD4T5-1M30-q</v>
      </c>
      <c r="AG137" s="1" t="str">
        <f>_xlfn.IFNA(VLOOKUP(Master_Reference[[#This Row],[C-Flex 3500K Eco Part Number]],Lutron_CFlex_Lookup[],MATCH("Lutron Kit PN",Lutron_CFlex_Lookup[#Headers],0),FALSE),"")</f>
        <v>ELD4T5-1M35-q</v>
      </c>
      <c r="AH137" s="1" t="str">
        <f>_xlfn.IFNA(VLOOKUP(Master_Reference[[#This Row],[C-Flex 4000K Eco Part Number]],Lutron_CFlex_Lookup[],MATCH("Lutron Kit PN",Lutron_CFlex_Lookup[#Headers],0),FALSE),"")</f>
        <v>ELD4T5-1M40-q</v>
      </c>
      <c r="AI137" s="1" t="str">
        <f>_xlfn.IFNA(VLOOKUP(Master_Reference[[#This Row],[C-Flex 5000K Eco Part Number]],Lutron_CFlex_Lookup[],MATCH("Lutron Kit PN",Lutron_CFlex_Lookup[#Headers],0),FALSE),"")</f>
        <v>ELD4T5-1M50-q</v>
      </c>
      <c r="AJ137" s="1" t="str">
        <f>_xlfn.IFNA(VLOOKUP(Master_Reference[[#This Row],[C-Flex 3000K 3W Part Number]],Lutron_CFlex_Lookup[],MATCH("Lutron Kit PN",Lutron_CFlex_Lookup[#Headers],0),FALSE),"")</f>
        <v>3LD4T5-1M30-q</v>
      </c>
      <c r="AK137" s="1" t="str">
        <f>_xlfn.IFNA(VLOOKUP(Master_Reference[[#This Row],[C-Flex 3500K 3W Part Number]],Lutron_CFlex_Lookup[],MATCH("Lutron Kit PN",Lutron_CFlex_Lookup[#Headers],0),FALSE),"")</f>
        <v>3LD4T5-1M35-q</v>
      </c>
      <c r="AL137" s="1" t="str">
        <f>_xlfn.IFNA(VLOOKUP(Master_Reference[[#This Row],[C-Flex 4000K 3W Part Number]],Lutron_CFlex_Lookup[],MATCH("Lutron Kit PN",Lutron_CFlex_Lookup[#Headers],0),FALSE),"")</f>
        <v>3LD4T5-1M40-q</v>
      </c>
      <c r="AM137" s="1" t="str">
        <f>_xlfn.IFNA(VLOOKUP(Master_Reference[[#This Row],[C-Flex 5000K 3W Part Number]],Lutron_CFlex_Lookup[],MATCH("Lutron Kit PN",Lutron_CFlex_Lookup[#Headers],0),FALSE),"")</f>
        <v>3LD4T5-1M50-q</v>
      </c>
      <c r="AN137" s="1" t="b">
        <f>NOT(ISNA(VLOOKUP(Master_Reference[[#This Row],[Model Number]],ObsoleteModels[],1,FALSE)))</f>
        <v>1</v>
      </c>
      <c r="AO137" s="1" t="str">
        <f>IF(LEFT(Master_Reference[[#This Row],[Model Number]],1)="U",LEFT(Master_Reference[[#This Row],[Model Number]],4),LEFT(Master_Reference[[#This Row],[Model Number]],3))</f>
        <v>EC5</v>
      </c>
    </row>
    <row r="138" spans="1:41" x14ac:dyDescent="0.25">
      <c r="A138" s="2" t="s">
        <v>381</v>
      </c>
      <c r="B138" s="1" t="b">
        <v>1</v>
      </c>
      <c r="C138" s="1" t="b">
        <v>1</v>
      </c>
      <c r="F138" s="1" t="b">
        <v>1</v>
      </c>
      <c r="G138" s="1" t="b">
        <f>IF(OR(LEFT(RIGHT(Master_Reference[[#This Row],[Model Number]],3),1)="C",LEFT(RIGHT(Master_Reference[[#This Row],[Model Number]],4),1)="C"),TRUE,"")</f>
        <v>1</v>
      </c>
      <c r="H138" s="1" t="str">
        <f>IF(LEFT(Master_Reference[[#This Row],[Model Number]],1)="U",TRUE,"")</f>
        <v/>
      </c>
      <c r="I138" s="1" t="b">
        <f>IF(Master_Reference[[#This Row],[Lamp Type]]="T4","",IF(Master_Reference[[#This Row],[Case Type]]="M","",TRUE))</f>
        <v>1</v>
      </c>
      <c r="J138" s="1" t="str">
        <f t="shared" si="3"/>
        <v>T5</v>
      </c>
      <c r="K138" s="1">
        <v>28</v>
      </c>
      <c r="L138" s="1" t="s">
        <v>118</v>
      </c>
      <c r="M138" s="1">
        <v>1</v>
      </c>
      <c r="N138" s="1">
        <v>277</v>
      </c>
      <c r="O138" s="1" t="s">
        <v>320</v>
      </c>
      <c r="R138" t="b">
        <f>IF(COUNTBLANK(Master_Reference[[#This Row],[C-Flex 3000K Eco Part Number]:[C-Flex 4000K Eco Part Number]])=3,FALSE,TRUE)</f>
        <v>1</v>
      </c>
      <c r="S138" t="b">
        <f>IF(COUNTBLANK(Master_Reference[[#This Row],[C-Flex 3000K 3W Part Number]:[C-Flex 4000K 3W Part Number]])=3,FALSE,TRUE)</f>
        <v>1</v>
      </c>
      <c r="T138" t="b">
        <f>IF(COUNTBLANK(Master_Reference[[#This Row],[Lutron 3000K Eco Part Number]:[Lutron 4000K Eco Part Number]])=3,FALSE,TRUE)</f>
        <v>1</v>
      </c>
      <c r="U138" t="b">
        <f>IF(COUNTBLANK(Master_Reference[[#This Row],[Lutron 3000K 3W Part Number]:[Lutron 4000K 3W Part Number]])=3,FALSE,TRUE)</f>
        <v>1</v>
      </c>
      <c r="V138" s="12" t="s">
        <v>283</v>
      </c>
      <c r="W138" s="12" t="s">
        <v>284</v>
      </c>
      <c r="X138" s="12" t="s">
        <v>285</v>
      </c>
      <c r="Y138" t="s">
        <v>1719</v>
      </c>
      <c r="Z138" s="12" t="s">
        <v>286</v>
      </c>
      <c r="AA138" s="12" t="s">
        <v>287</v>
      </c>
      <c r="AB138" s="12" t="s">
        <v>288</v>
      </c>
      <c r="AC138" t="s">
        <v>1807</v>
      </c>
      <c r="AD138" t="str">
        <f>SUBSTITUTE(Master_Reference[[#This Row],[C-Flex 4000K Eco Part Number]],"40-","xx-")</f>
        <v>RP-T5-4FT-1L-8xx-E1-M-G2</v>
      </c>
      <c r="AE138" t="str">
        <f>SUBSTITUTE(Master_Reference[[#This Row],[C-Flex 4000K 3W Part Number]],"40-","xx-")</f>
        <v>RP-T5-4FT-1L-8xx-3W-M-G2</v>
      </c>
      <c r="AF138" s="1" t="str">
        <f>_xlfn.IFNA(VLOOKUP(Master_Reference[[#This Row],[C-Flex 3000K Eco Part Number]],Lutron_CFlex_Lookup[],MATCH("Lutron Kit PN",Lutron_CFlex_Lookup[#Headers],0),FALSE),"")</f>
        <v>ELD4T5-1M30-q</v>
      </c>
      <c r="AG138" s="1" t="str">
        <f>_xlfn.IFNA(VLOOKUP(Master_Reference[[#This Row],[C-Flex 3500K Eco Part Number]],Lutron_CFlex_Lookup[],MATCH("Lutron Kit PN",Lutron_CFlex_Lookup[#Headers],0),FALSE),"")</f>
        <v>ELD4T5-1M35-q</v>
      </c>
      <c r="AH138" s="1" t="str">
        <f>_xlfn.IFNA(VLOOKUP(Master_Reference[[#This Row],[C-Flex 4000K Eco Part Number]],Lutron_CFlex_Lookup[],MATCH("Lutron Kit PN",Lutron_CFlex_Lookup[#Headers],0),FALSE),"")</f>
        <v>ELD4T5-1M40-q</v>
      </c>
      <c r="AI138" s="1" t="str">
        <f>_xlfn.IFNA(VLOOKUP(Master_Reference[[#This Row],[C-Flex 5000K Eco Part Number]],Lutron_CFlex_Lookup[],MATCH("Lutron Kit PN",Lutron_CFlex_Lookup[#Headers],0),FALSE),"")</f>
        <v>ELD4T5-1M50-q</v>
      </c>
      <c r="AJ138" s="1" t="str">
        <f>_xlfn.IFNA(VLOOKUP(Master_Reference[[#This Row],[C-Flex 3000K 3W Part Number]],Lutron_CFlex_Lookup[],MATCH("Lutron Kit PN",Lutron_CFlex_Lookup[#Headers],0),FALSE),"")</f>
        <v>3LD4T5-1M30-q</v>
      </c>
      <c r="AK138" s="1" t="str">
        <f>_xlfn.IFNA(VLOOKUP(Master_Reference[[#This Row],[C-Flex 3500K 3W Part Number]],Lutron_CFlex_Lookup[],MATCH("Lutron Kit PN",Lutron_CFlex_Lookup[#Headers],0),FALSE),"")</f>
        <v>3LD4T5-1M35-q</v>
      </c>
      <c r="AL138" s="1" t="str">
        <f>_xlfn.IFNA(VLOOKUP(Master_Reference[[#This Row],[C-Flex 4000K 3W Part Number]],Lutron_CFlex_Lookup[],MATCH("Lutron Kit PN",Lutron_CFlex_Lookup[#Headers],0),FALSE),"")</f>
        <v>3LD4T5-1M40-q</v>
      </c>
      <c r="AM138" s="1" t="str">
        <f>_xlfn.IFNA(VLOOKUP(Master_Reference[[#This Row],[C-Flex 5000K 3W Part Number]],Lutron_CFlex_Lookup[],MATCH("Lutron Kit PN",Lutron_CFlex_Lookup[#Headers],0),FALSE),"")</f>
        <v>3LD4T5-1M50-q</v>
      </c>
      <c r="AN138" s="1" t="b">
        <f>NOT(ISNA(VLOOKUP(Master_Reference[[#This Row],[Model Number]],ObsoleteModels[],1,FALSE)))</f>
        <v>1</v>
      </c>
      <c r="AO138" s="1" t="str">
        <f>IF(LEFT(Master_Reference[[#This Row],[Model Number]],1)="U",LEFT(Master_Reference[[#This Row],[Model Number]],4),LEFT(Master_Reference[[#This Row],[Model Number]],3))</f>
        <v>EC5</v>
      </c>
    </row>
    <row r="139" spans="1:41" x14ac:dyDescent="0.25">
      <c r="A139" s="2" t="s">
        <v>49</v>
      </c>
      <c r="B139" s="1" t="b">
        <v>1</v>
      </c>
      <c r="C139" s="1" t="b">
        <v>1</v>
      </c>
      <c r="F139" s="1" t="b">
        <v>1</v>
      </c>
      <c r="G139" s="1" t="str">
        <f>IF(OR(LEFT(RIGHT(Master_Reference[[#This Row],[Model Number]],3),1)="C",LEFT(RIGHT(Master_Reference[[#This Row],[Model Number]],4),1)="C"),TRUE,"")</f>
        <v/>
      </c>
      <c r="H139" s="1" t="str">
        <f>IF(LEFT(Master_Reference[[#This Row],[Model Number]],1)="U",TRUE,"")</f>
        <v/>
      </c>
      <c r="I139" s="1" t="b">
        <f>IF(Master_Reference[[#This Row],[Lamp Type]]="T4","",IF(Master_Reference[[#This Row],[Case Type]]="M","",TRUE))</f>
        <v>1</v>
      </c>
      <c r="J139" s="1" t="str">
        <f t="shared" si="3"/>
        <v>T5</v>
      </c>
      <c r="K139" s="1">
        <v>28</v>
      </c>
      <c r="L139" s="1" t="s">
        <v>118</v>
      </c>
      <c r="M139" s="1">
        <v>2</v>
      </c>
      <c r="N139" s="1">
        <v>277</v>
      </c>
      <c r="O139" s="1" t="s">
        <v>320</v>
      </c>
      <c r="R139" t="b">
        <f>IF(COUNTBLANK(Master_Reference[[#This Row],[C-Flex 3000K Eco Part Number]:[C-Flex 4000K Eco Part Number]])=3,FALSE,TRUE)</f>
        <v>1</v>
      </c>
      <c r="S139" t="b">
        <f>IF(COUNTBLANK(Master_Reference[[#This Row],[C-Flex 3000K 3W Part Number]:[C-Flex 4000K 3W Part Number]])=3,FALSE,TRUE)</f>
        <v>1</v>
      </c>
      <c r="T139" t="b">
        <f>IF(COUNTBLANK(Master_Reference[[#This Row],[Lutron 3000K Eco Part Number]:[Lutron 4000K Eco Part Number]])=3,FALSE,TRUE)</f>
        <v>1</v>
      </c>
      <c r="U139" t="b">
        <f>IF(COUNTBLANK(Master_Reference[[#This Row],[Lutron 3000K 3W Part Number]:[Lutron 4000K 3W Part Number]])=3,FALSE,TRUE)</f>
        <v>1</v>
      </c>
      <c r="V139" s="12" t="s">
        <v>290</v>
      </c>
      <c r="W139" s="12" t="s">
        <v>291</v>
      </c>
      <c r="X139" s="12" t="s">
        <v>292</v>
      </c>
      <c r="Y139" t="s">
        <v>1720</v>
      </c>
      <c r="Z139" s="12" t="s">
        <v>293</v>
      </c>
      <c r="AA139" s="12" t="s">
        <v>294</v>
      </c>
      <c r="AB139" s="12" t="s">
        <v>295</v>
      </c>
      <c r="AC139" t="s">
        <v>1808</v>
      </c>
      <c r="AD139" t="str">
        <f>SUBSTITUTE(Master_Reference[[#This Row],[C-Flex 4000K Eco Part Number]],"40-","xx-")</f>
        <v>RP-T5-4FT-2L-8xx-E1-M-G2</v>
      </c>
      <c r="AE139" t="str">
        <f>SUBSTITUTE(Master_Reference[[#This Row],[C-Flex 4000K 3W Part Number]],"40-","xx-")</f>
        <v>RP-T5-4FT-2L-8xx-3W-M-G2</v>
      </c>
      <c r="AF139" s="1" t="str">
        <f>_xlfn.IFNA(VLOOKUP(Master_Reference[[#This Row],[C-Flex 3000K Eco Part Number]],Lutron_CFlex_Lookup[],MATCH("Lutron Kit PN",Lutron_CFlex_Lookup[#Headers],0),FALSE),"")</f>
        <v>ELD4T5-2M30-q</v>
      </c>
      <c r="AG139" s="1" t="str">
        <f>_xlfn.IFNA(VLOOKUP(Master_Reference[[#This Row],[C-Flex 3500K Eco Part Number]],Lutron_CFlex_Lookup[],MATCH("Lutron Kit PN",Lutron_CFlex_Lookup[#Headers],0),FALSE),"")</f>
        <v>ELD4T5-2M35-q</v>
      </c>
      <c r="AH139" s="1" t="str">
        <f>_xlfn.IFNA(VLOOKUP(Master_Reference[[#This Row],[C-Flex 4000K Eco Part Number]],Lutron_CFlex_Lookup[],MATCH("Lutron Kit PN",Lutron_CFlex_Lookup[#Headers],0),FALSE),"")</f>
        <v>ELD4T5-2M40-q</v>
      </c>
      <c r="AI139" s="1" t="str">
        <f>_xlfn.IFNA(VLOOKUP(Master_Reference[[#This Row],[C-Flex 5000K Eco Part Number]],Lutron_CFlex_Lookup[],MATCH("Lutron Kit PN",Lutron_CFlex_Lookup[#Headers],0),FALSE),"")</f>
        <v>ELD4T5-2M50-q</v>
      </c>
      <c r="AJ139" s="1" t="str">
        <f>_xlfn.IFNA(VLOOKUP(Master_Reference[[#This Row],[C-Flex 3000K 3W Part Number]],Lutron_CFlex_Lookup[],MATCH("Lutron Kit PN",Lutron_CFlex_Lookup[#Headers],0),FALSE),"")</f>
        <v>3LD4T5-2M30-q</v>
      </c>
      <c r="AK139" s="1" t="str">
        <f>_xlfn.IFNA(VLOOKUP(Master_Reference[[#This Row],[C-Flex 3500K 3W Part Number]],Lutron_CFlex_Lookup[],MATCH("Lutron Kit PN",Lutron_CFlex_Lookup[#Headers],0),FALSE),"")</f>
        <v>3LD4T5-2M35-q</v>
      </c>
      <c r="AL139" s="1" t="str">
        <f>_xlfn.IFNA(VLOOKUP(Master_Reference[[#This Row],[C-Flex 4000K 3W Part Number]],Lutron_CFlex_Lookup[],MATCH("Lutron Kit PN",Lutron_CFlex_Lookup[#Headers],0),FALSE),"")</f>
        <v>3LD4T5-2M40-q</v>
      </c>
      <c r="AM139" s="1" t="str">
        <f>_xlfn.IFNA(VLOOKUP(Master_Reference[[#This Row],[C-Flex 5000K 3W Part Number]],Lutron_CFlex_Lookup[],MATCH("Lutron Kit PN",Lutron_CFlex_Lookup[#Headers],0),FALSE),"")</f>
        <v>3LD4T5-2M50-q</v>
      </c>
      <c r="AN139" s="1" t="b">
        <f>NOT(ISNA(VLOOKUP(Master_Reference[[#This Row],[Model Number]],ObsoleteModels[],1,FALSE)))</f>
        <v>1</v>
      </c>
      <c r="AO139" s="1" t="str">
        <f>IF(LEFT(Master_Reference[[#This Row],[Model Number]],1)="U",LEFT(Master_Reference[[#This Row],[Model Number]],4),LEFT(Master_Reference[[#This Row],[Model Number]],3))</f>
        <v>EC5</v>
      </c>
    </row>
    <row r="140" spans="1:41" x14ac:dyDescent="0.25">
      <c r="A140" s="2" t="s">
        <v>382</v>
      </c>
      <c r="B140" s="1" t="b">
        <v>1</v>
      </c>
      <c r="C140" s="1" t="b">
        <v>1</v>
      </c>
      <c r="F140" s="1" t="b">
        <v>1</v>
      </c>
      <c r="G140" s="1" t="str">
        <f>IF(OR(LEFT(RIGHT(Master_Reference[[#This Row],[Model Number]],3),1)="C",LEFT(RIGHT(Master_Reference[[#This Row],[Model Number]],4),1)="C"),TRUE,"")</f>
        <v/>
      </c>
      <c r="H140" s="1" t="str">
        <f>IF(LEFT(Master_Reference[[#This Row],[Model Number]],1)="U",TRUE,"")</f>
        <v/>
      </c>
      <c r="I140" s="1" t="b">
        <f>IF(Master_Reference[[#This Row],[Lamp Type]]="T4","",IF(Master_Reference[[#This Row],[Case Type]]="M","",TRUE))</f>
        <v>1</v>
      </c>
      <c r="J140" s="1" t="str">
        <f t="shared" si="3"/>
        <v>T5</v>
      </c>
      <c r="K140" s="1">
        <v>28</v>
      </c>
      <c r="L140" s="1" t="s">
        <v>118</v>
      </c>
      <c r="M140" s="1">
        <v>1</v>
      </c>
      <c r="N140" s="1" t="s">
        <v>149</v>
      </c>
      <c r="O140" s="1" t="s">
        <v>320</v>
      </c>
      <c r="R140" t="b">
        <f>IF(COUNTBLANK(Master_Reference[[#This Row],[C-Flex 3000K Eco Part Number]:[C-Flex 4000K Eco Part Number]])=3,FALSE,TRUE)</f>
        <v>1</v>
      </c>
      <c r="S140" t="b">
        <f>IF(COUNTBLANK(Master_Reference[[#This Row],[C-Flex 3000K 3W Part Number]:[C-Flex 4000K 3W Part Number]])=3,FALSE,TRUE)</f>
        <v>1</v>
      </c>
      <c r="T140" t="b">
        <f>IF(COUNTBLANK(Master_Reference[[#This Row],[Lutron 3000K Eco Part Number]:[Lutron 4000K Eco Part Number]])=3,FALSE,TRUE)</f>
        <v>1</v>
      </c>
      <c r="U140" t="b">
        <f>IF(COUNTBLANK(Master_Reference[[#This Row],[Lutron 3000K 3W Part Number]:[Lutron 4000K 3W Part Number]])=3,FALSE,TRUE)</f>
        <v>1</v>
      </c>
      <c r="V140" s="12" t="s">
        <v>283</v>
      </c>
      <c r="W140" s="12" t="s">
        <v>284</v>
      </c>
      <c r="X140" s="12" t="s">
        <v>285</v>
      </c>
      <c r="Y140" t="s">
        <v>1719</v>
      </c>
      <c r="Z140" s="12" t="s">
        <v>286</v>
      </c>
      <c r="AA140" s="12" t="s">
        <v>287</v>
      </c>
      <c r="AB140" s="12" t="s">
        <v>288</v>
      </c>
      <c r="AC140" t="s">
        <v>1807</v>
      </c>
      <c r="AD140" t="str">
        <f>SUBSTITUTE(Master_Reference[[#This Row],[C-Flex 4000K Eco Part Number]],"40-","xx-")</f>
        <v>RP-T5-4FT-1L-8xx-E1-M-G2</v>
      </c>
      <c r="AE140" t="str">
        <f>SUBSTITUTE(Master_Reference[[#This Row],[C-Flex 4000K 3W Part Number]],"40-","xx-")</f>
        <v>RP-T5-4FT-1L-8xx-3W-M-G2</v>
      </c>
      <c r="AF140" s="1" t="str">
        <f>_xlfn.IFNA(VLOOKUP(Master_Reference[[#This Row],[C-Flex 3000K Eco Part Number]],Lutron_CFlex_Lookup[],MATCH("Lutron Kit PN",Lutron_CFlex_Lookup[#Headers],0),FALSE),"")</f>
        <v>ELD4T5-1M30-q</v>
      </c>
      <c r="AG140" s="1" t="str">
        <f>_xlfn.IFNA(VLOOKUP(Master_Reference[[#This Row],[C-Flex 3500K Eco Part Number]],Lutron_CFlex_Lookup[],MATCH("Lutron Kit PN",Lutron_CFlex_Lookup[#Headers],0),FALSE),"")</f>
        <v>ELD4T5-1M35-q</v>
      </c>
      <c r="AH140" s="1" t="str">
        <f>_xlfn.IFNA(VLOOKUP(Master_Reference[[#This Row],[C-Flex 4000K Eco Part Number]],Lutron_CFlex_Lookup[],MATCH("Lutron Kit PN",Lutron_CFlex_Lookup[#Headers],0),FALSE),"")</f>
        <v>ELD4T5-1M40-q</v>
      </c>
      <c r="AI140" s="1" t="str">
        <f>_xlfn.IFNA(VLOOKUP(Master_Reference[[#This Row],[C-Flex 5000K Eco Part Number]],Lutron_CFlex_Lookup[],MATCH("Lutron Kit PN",Lutron_CFlex_Lookup[#Headers],0),FALSE),"")</f>
        <v>ELD4T5-1M50-q</v>
      </c>
      <c r="AJ140" s="1" t="str">
        <f>_xlfn.IFNA(VLOOKUP(Master_Reference[[#This Row],[C-Flex 3000K 3W Part Number]],Lutron_CFlex_Lookup[],MATCH("Lutron Kit PN",Lutron_CFlex_Lookup[#Headers],0),FALSE),"")</f>
        <v>3LD4T5-1M30-q</v>
      </c>
      <c r="AK140" s="1" t="str">
        <f>_xlfn.IFNA(VLOOKUP(Master_Reference[[#This Row],[C-Flex 3500K 3W Part Number]],Lutron_CFlex_Lookup[],MATCH("Lutron Kit PN",Lutron_CFlex_Lookup[#Headers],0),FALSE),"")</f>
        <v>3LD4T5-1M35-q</v>
      </c>
      <c r="AL140" s="1" t="str">
        <f>_xlfn.IFNA(VLOOKUP(Master_Reference[[#This Row],[C-Flex 4000K 3W Part Number]],Lutron_CFlex_Lookup[],MATCH("Lutron Kit PN",Lutron_CFlex_Lookup[#Headers],0),FALSE),"")</f>
        <v>3LD4T5-1M40-q</v>
      </c>
      <c r="AM140" s="1" t="str">
        <f>_xlfn.IFNA(VLOOKUP(Master_Reference[[#This Row],[C-Flex 5000K 3W Part Number]],Lutron_CFlex_Lookup[],MATCH("Lutron Kit PN",Lutron_CFlex_Lookup[#Headers],0),FALSE),"")</f>
        <v>3LD4T5-1M50-q</v>
      </c>
      <c r="AN140" s="1" t="b">
        <f>NOT(ISNA(VLOOKUP(Master_Reference[[#This Row],[Model Number]],ObsoleteModels[],1,FALSE)))</f>
        <v>0</v>
      </c>
      <c r="AO140" s="1" t="str">
        <f>IF(LEFT(Master_Reference[[#This Row],[Model Number]],1)="U",LEFT(Master_Reference[[#This Row],[Model Number]],4),LEFT(Master_Reference[[#This Row],[Model Number]],3))</f>
        <v>EC5</v>
      </c>
    </row>
    <row r="141" spans="1:41" x14ac:dyDescent="0.25">
      <c r="A141" s="2" t="s">
        <v>383</v>
      </c>
      <c r="B141" s="1" t="b">
        <v>1</v>
      </c>
      <c r="C141" s="1" t="b">
        <v>1</v>
      </c>
      <c r="F141" s="1" t="b">
        <v>1</v>
      </c>
      <c r="G141" s="1" t="b">
        <f>IF(OR(LEFT(RIGHT(Master_Reference[[#This Row],[Model Number]],3),1)="C",LEFT(RIGHT(Master_Reference[[#This Row],[Model Number]],4),1)="C"),TRUE,"")</f>
        <v>1</v>
      </c>
      <c r="H141" s="1" t="str">
        <f>IF(LEFT(Master_Reference[[#This Row],[Model Number]],1)="U",TRUE,"")</f>
        <v/>
      </c>
      <c r="I141" s="1" t="b">
        <f>IF(Master_Reference[[#This Row],[Lamp Type]]="T4","",IF(Master_Reference[[#This Row],[Case Type]]="M","",TRUE))</f>
        <v>1</v>
      </c>
      <c r="J141" s="1" t="str">
        <f t="shared" si="3"/>
        <v>T5</v>
      </c>
      <c r="K141" s="1">
        <v>28</v>
      </c>
      <c r="L141" s="1" t="s">
        <v>118</v>
      </c>
      <c r="M141" s="1">
        <v>1</v>
      </c>
      <c r="N141" s="1" t="s">
        <v>149</v>
      </c>
      <c r="O141" s="1" t="s">
        <v>320</v>
      </c>
      <c r="R141" t="b">
        <f>IF(COUNTBLANK(Master_Reference[[#This Row],[C-Flex 3000K Eco Part Number]:[C-Flex 4000K Eco Part Number]])=3,FALSE,TRUE)</f>
        <v>1</v>
      </c>
      <c r="S141" t="b">
        <f>IF(COUNTBLANK(Master_Reference[[#This Row],[C-Flex 3000K 3W Part Number]:[C-Flex 4000K 3W Part Number]])=3,FALSE,TRUE)</f>
        <v>1</v>
      </c>
      <c r="T141" t="b">
        <f>IF(COUNTBLANK(Master_Reference[[#This Row],[Lutron 3000K Eco Part Number]:[Lutron 4000K Eco Part Number]])=3,FALSE,TRUE)</f>
        <v>1</v>
      </c>
      <c r="U141" t="b">
        <f>IF(COUNTBLANK(Master_Reference[[#This Row],[Lutron 3000K 3W Part Number]:[Lutron 4000K 3W Part Number]])=3,FALSE,TRUE)</f>
        <v>1</v>
      </c>
      <c r="V141" s="12" t="s">
        <v>283</v>
      </c>
      <c r="W141" s="12" t="s">
        <v>284</v>
      </c>
      <c r="X141" s="12" t="s">
        <v>285</v>
      </c>
      <c r="Y141" t="s">
        <v>1719</v>
      </c>
      <c r="Z141" s="12" t="s">
        <v>286</v>
      </c>
      <c r="AA141" s="12" t="s">
        <v>287</v>
      </c>
      <c r="AB141" s="12" t="s">
        <v>288</v>
      </c>
      <c r="AC141" t="s">
        <v>1807</v>
      </c>
      <c r="AD141" t="str">
        <f>SUBSTITUTE(Master_Reference[[#This Row],[C-Flex 4000K Eco Part Number]],"40-","xx-")</f>
        <v>RP-T5-4FT-1L-8xx-E1-M-G2</v>
      </c>
      <c r="AE141" t="str">
        <f>SUBSTITUTE(Master_Reference[[#This Row],[C-Flex 4000K 3W Part Number]],"40-","xx-")</f>
        <v>RP-T5-4FT-1L-8xx-3W-M-G2</v>
      </c>
      <c r="AF141" s="1" t="str">
        <f>_xlfn.IFNA(VLOOKUP(Master_Reference[[#This Row],[C-Flex 3000K Eco Part Number]],Lutron_CFlex_Lookup[],MATCH("Lutron Kit PN",Lutron_CFlex_Lookup[#Headers],0),FALSE),"")</f>
        <v>ELD4T5-1M30-q</v>
      </c>
      <c r="AG141" s="1" t="str">
        <f>_xlfn.IFNA(VLOOKUP(Master_Reference[[#This Row],[C-Flex 3500K Eco Part Number]],Lutron_CFlex_Lookup[],MATCH("Lutron Kit PN",Lutron_CFlex_Lookup[#Headers],0),FALSE),"")</f>
        <v>ELD4T5-1M35-q</v>
      </c>
      <c r="AH141" s="1" t="str">
        <f>_xlfn.IFNA(VLOOKUP(Master_Reference[[#This Row],[C-Flex 4000K Eco Part Number]],Lutron_CFlex_Lookup[],MATCH("Lutron Kit PN",Lutron_CFlex_Lookup[#Headers],0),FALSE),"")</f>
        <v>ELD4T5-1M40-q</v>
      </c>
      <c r="AI141" s="1" t="str">
        <f>_xlfn.IFNA(VLOOKUP(Master_Reference[[#This Row],[C-Flex 5000K Eco Part Number]],Lutron_CFlex_Lookup[],MATCH("Lutron Kit PN",Lutron_CFlex_Lookup[#Headers],0),FALSE),"")</f>
        <v>ELD4T5-1M50-q</v>
      </c>
      <c r="AJ141" s="1" t="str">
        <f>_xlfn.IFNA(VLOOKUP(Master_Reference[[#This Row],[C-Flex 3000K 3W Part Number]],Lutron_CFlex_Lookup[],MATCH("Lutron Kit PN",Lutron_CFlex_Lookup[#Headers],0),FALSE),"")</f>
        <v>3LD4T5-1M30-q</v>
      </c>
      <c r="AK141" s="1" t="str">
        <f>_xlfn.IFNA(VLOOKUP(Master_Reference[[#This Row],[C-Flex 3500K 3W Part Number]],Lutron_CFlex_Lookup[],MATCH("Lutron Kit PN",Lutron_CFlex_Lookup[#Headers],0),FALSE),"")</f>
        <v>3LD4T5-1M35-q</v>
      </c>
      <c r="AL141" s="1" t="str">
        <f>_xlfn.IFNA(VLOOKUP(Master_Reference[[#This Row],[C-Flex 4000K 3W Part Number]],Lutron_CFlex_Lookup[],MATCH("Lutron Kit PN",Lutron_CFlex_Lookup[#Headers],0),FALSE),"")</f>
        <v>3LD4T5-1M40-q</v>
      </c>
      <c r="AM141" s="1" t="str">
        <f>_xlfn.IFNA(VLOOKUP(Master_Reference[[#This Row],[C-Flex 5000K 3W Part Number]],Lutron_CFlex_Lookup[],MATCH("Lutron Kit PN",Lutron_CFlex_Lookup[#Headers],0),FALSE),"")</f>
        <v>3LD4T5-1M50-q</v>
      </c>
      <c r="AN141" s="1" t="b">
        <f>NOT(ISNA(VLOOKUP(Master_Reference[[#This Row],[Model Number]],ObsoleteModels[],1,FALSE)))</f>
        <v>1</v>
      </c>
      <c r="AO141" s="1" t="str">
        <f>IF(LEFT(Master_Reference[[#This Row],[Model Number]],1)="U",LEFT(Master_Reference[[#This Row],[Model Number]],4),LEFT(Master_Reference[[#This Row],[Model Number]],3))</f>
        <v>EC5</v>
      </c>
    </row>
    <row r="142" spans="1:41" x14ac:dyDescent="0.25">
      <c r="A142" s="2" t="s">
        <v>384</v>
      </c>
      <c r="B142" s="1" t="b">
        <v>1</v>
      </c>
      <c r="C142" s="1" t="b">
        <v>1</v>
      </c>
      <c r="F142" s="1" t="b">
        <v>1</v>
      </c>
      <c r="G142" s="1" t="b">
        <f>IF(OR(LEFT(RIGHT(Master_Reference[[#This Row],[Model Number]],3),1)="C",LEFT(RIGHT(Master_Reference[[#This Row],[Model Number]],4),1)="C"),TRUE,"")</f>
        <v>1</v>
      </c>
      <c r="H142" s="1" t="str">
        <f>IF(LEFT(Master_Reference[[#This Row],[Model Number]],1)="U",TRUE,"")</f>
        <v/>
      </c>
      <c r="I142" s="1" t="b">
        <f>IF(Master_Reference[[#This Row],[Lamp Type]]="T4","",IF(Master_Reference[[#This Row],[Case Type]]="M","",TRUE))</f>
        <v>1</v>
      </c>
      <c r="J142" s="1" t="str">
        <f t="shared" si="3"/>
        <v>T5</v>
      </c>
      <c r="K142" s="1">
        <v>28</v>
      </c>
      <c r="L142" s="1" t="s">
        <v>118</v>
      </c>
      <c r="M142" s="1">
        <v>1</v>
      </c>
      <c r="N142" s="1" t="s">
        <v>149</v>
      </c>
      <c r="O142" s="1" t="s">
        <v>320</v>
      </c>
      <c r="R142" t="b">
        <f>IF(COUNTBLANK(Master_Reference[[#This Row],[C-Flex 3000K Eco Part Number]:[C-Flex 4000K Eco Part Number]])=3,FALSE,TRUE)</f>
        <v>1</v>
      </c>
      <c r="S142" t="b">
        <f>IF(COUNTBLANK(Master_Reference[[#This Row],[C-Flex 3000K 3W Part Number]:[C-Flex 4000K 3W Part Number]])=3,FALSE,TRUE)</f>
        <v>1</v>
      </c>
      <c r="T142" t="b">
        <f>IF(COUNTBLANK(Master_Reference[[#This Row],[Lutron 3000K Eco Part Number]:[Lutron 4000K Eco Part Number]])=3,FALSE,TRUE)</f>
        <v>1</v>
      </c>
      <c r="U142" t="b">
        <f>IF(COUNTBLANK(Master_Reference[[#This Row],[Lutron 3000K 3W Part Number]:[Lutron 4000K 3W Part Number]])=3,FALSE,TRUE)</f>
        <v>1</v>
      </c>
      <c r="V142" s="12" t="s">
        <v>283</v>
      </c>
      <c r="W142" s="12" t="s">
        <v>284</v>
      </c>
      <c r="X142" s="12" t="s">
        <v>285</v>
      </c>
      <c r="Y142" t="s">
        <v>1719</v>
      </c>
      <c r="Z142" s="12" t="s">
        <v>286</v>
      </c>
      <c r="AA142" s="12" t="s">
        <v>287</v>
      </c>
      <c r="AB142" s="12" t="s">
        <v>288</v>
      </c>
      <c r="AC142" t="s">
        <v>1807</v>
      </c>
      <c r="AD142" t="str">
        <f>SUBSTITUTE(Master_Reference[[#This Row],[C-Flex 4000K Eco Part Number]],"40-","xx-")</f>
        <v>RP-T5-4FT-1L-8xx-E1-M-G2</v>
      </c>
      <c r="AE142" t="str">
        <f>SUBSTITUTE(Master_Reference[[#This Row],[C-Flex 4000K 3W Part Number]],"40-","xx-")</f>
        <v>RP-T5-4FT-1L-8xx-3W-M-G2</v>
      </c>
      <c r="AF142" s="1" t="str">
        <f>_xlfn.IFNA(VLOOKUP(Master_Reference[[#This Row],[C-Flex 3000K Eco Part Number]],Lutron_CFlex_Lookup[],MATCH("Lutron Kit PN",Lutron_CFlex_Lookup[#Headers],0),FALSE),"")</f>
        <v>ELD4T5-1M30-q</v>
      </c>
      <c r="AG142" s="1" t="str">
        <f>_xlfn.IFNA(VLOOKUP(Master_Reference[[#This Row],[C-Flex 3500K Eco Part Number]],Lutron_CFlex_Lookup[],MATCH("Lutron Kit PN",Lutron_CFlex_Lookup[#Headers],0),FALSE),"")</f>
        <v>ELD4T5-1M35-q</v>
      </c>
      <c r="AH142" s="1" t="str">
        <f>_xlfn.IFNA(VLOOKUP(Master_Reference[[#This Row],[C-Flex 4000K Eco Part Number]],Lutron_CFlex_Lookup[],MATCH("Lutron Kit PN",Lutron_CFlex_Lookup[#Headers],0),FALSE),"")</f>
        <v>ELD4T5-1M40-q</v>
      </c>
      <c r="AI142" s="1" t="str">
        <f>_xlfn.IFNA(VLOOKUP(Master_Reference[[#This Row],[C-Flex 5000K Eco Part Number]],Lutron_CFlex_Lookup[],MATCH("Lutron Kit PN",Lutron_CFlex_Lookup[#Headers],0),FALSE),"")</f>
        <v>ELD4T5-1M50-q</v>
      </c>
      <c r="AJ142" s="1" t="str">
        <f>_xlfn.IFNA(VLOOKUP(Master_Reference[[#This Row],[C-Flex 3000K 3W Part Number]],Lutron_CFlex_Lookup[],MATCH("Lutron Kit PN",Lutron_CFlex_Lookup[#Headers],0),FALSE),"")</f>
        <v>3LD4T5-1M30-q</v>
      </c>
      <c r="AK142" s="1" t="str">
        <f>_xlfn.IFNA(VLOOKUP(Master_Reference[[#This Row],[C-Flex 3500K 3W Part Number]],Lutron_CFlex_Lookup[],MATCH("Lutron Kit PN",Lutron_CFlex_Lookup[#Headers],0),FALSE),"")</f>
        <v>3LD4T5-1M35-q</v>
      </c>
      <c r="AL142" s="1" t="str">
        <f>_xlfn.IFNA(VLOOKUP(Master_Reference[[#This Row],[C-Flex 4000K 3W Part Number]],Lutron_CFlex_Lookup[],MATCH("Lutron Kit PN",Lutron_CFlex_Lookup[#Headers],0),FALSE),"")</f>
        <v>3LD4T5-1M40-q</v>
      </c>
      <c r="AM142" s="1" t="str">
        <f>_xlfn.IFNA(VLOOKUP(Master_Reference[[#This Row],[C-Flex 5000K 3W Part Number]],Lutron_CFlex_Lookup[],MATCH("Lutron Kit PN",Lutron_CFlex_Lookup[#Headers],0),FALSE),"")</f>
        <v>3LD4T5-1M50-q</v>
      </c>
      <c r="AN142" s="1" t="b">
        <f>NOT(ISNA(VLOOKUP(Master_Reference[[#This Row],[Model Number]],ObsoleteModels[],1,FALSE)))</f>
        <v>1</v>
      </c>
      <c r="AO142" s="1" t="str">
        <f>IF(LEFT(Master_Reference[[#This Row],[Model Number]],1)="U",LEFT(Master_Reference[[#This Row],[Model Number]],4),LEFT(Master_Reference[[#This Row],[Model Number]],3))</f>
        <v>EC5</v>
      </c>
    </row>
    <row r="143" spans="1:41" x14ac:dyDescent="0.25">
      <c r="A143" s="2" t="s">
        <v>385</v>
      </c>
      <c r="B143" s="1" t="b">
        <v>1</v>
      </c>
      <c r="C143" s="1" t="b">
        <v>1</v>
      </c>
      <c r="F143" s="1" t="b">
        <v>1</v>
      </c>
      <c r="G143" s="1" t="str">
        <f>IF(OR(LEFT(RIGHT(Master_Reference[[#This Row],[Model Number]],3),1)="C",LEFT(RIGHT(Master_Reference[[#This Row],[Model Number]],4),1)="C"),TRUE,"")</f>
        <v/>
      </c>
      <c r="H143" s="1" t="str">
        <f>IF(LEFT(Master_Reference[[#This Row],[Model Number]],1)="U",TRUE,"")</f>
        <v/>
      </c>
      <c r="I143" s="1" t="b">
        <f>IF(Master_Reference[[#This Row],[Lamp Type]]="T4","",IF(Master_Reference[[#This Row],[Case Type]]="M","",TRUE))</f>
        <v>1</v>
      </c>
      <c r="J143" s="1" t="str">
        <f t="shared" si="3"/>
        <v>T5</v>
      </c>
      <c r="K143" s="1">
        <v>28</v>
      </c>
      <c r="L143" s="1" t="s">
        <v>118</v>
      </c>
      <c r="M143" s="1">
        <v>1</v>
      </c>
      <c r="N143" s="1" t="s">
        <v>149</v>
      </c>
      <c r="O143" s="1" t="s">
        <v>320</v>
      </c>
      <c r="Q143" s="1" t="s">
        <v>91</v>
      </c>
      <c r="R143" t="b">
        <f>IF(COUNTBLANK(Master_Reference[[#This Row],[C-Flex 3000K Eco Part Number]:[C-Flex 4000K Eco Part Number]])=3,FALSE,TRUE)</f>
        <v>0</v>
      </c>
      <c r="S143" t="b">
        <f>IF(COUNTBLANK(Master_Reference[[#This Row],[C-Flex 3000K 3W Part Number]:[C-Flex 4000K 3W Part Number]])=3,FALSE,TRUE)</f>
        <v>0</v>
      </c>
      <c r="T143" t="b">
        <f>IF(COUNTBLANK(Master_Reference[[#This Row],[Lutron 3000K Eco Part Number]:[Lutron 4000K Eco Part Number]])=3,FALSE,TRUE)</f>
        <v>0</v>
      </c>
      <c r="U143" t="b">
        <f>IF(COUNTBLANK(Master_Reference[[#This Row],[Lutron 3000K 3W Part Number]:[Lutron 4000K 3W Part Number]])=3,FALSE,TRUE)</f>
        <v>0</v>
      </c>
      <c r="V143" s="12"/>
      <c r="W143" s="12"/>
      <c r="X143" s="12"/>
      <c r="Y143" t="s">
        <v>2125</v>
      </c>
      <c r="Z143" s="12"/>
      <c r="AA143" s="12"/>
      <c r="AB143" s="12"/>
      <c r="AC143" t="s">
        <v>2125</v>
      </c>
      <c r="AD143" t="str">
        <f>SUBSTITUTE(Master_Reference[[#This Row],[C-Flex 4000K Eco Part Number]],"40-","xx-")</f>
        <v/>
      </c>
      <c r="AE143" t="str">
        <f>SUBSTITUTE(Master_Reference[[#This Row],[C-Flex 4000K 3W Part Number]],"40-","xx-")</f>
        <v/>
      </c>
      <c r="AF143" s="1" t="str">
        <f>_xlfn.IFNA(VLOOKUP(Master_Reference[[#This Row],[C-Flex 3000K Eco Part Number]],Lutron_CFlex_Lookup[],MATCH("Lutron Kit PN",Lutron_CFlex_Lookup[#Headers],0),FALSE),"")</f>
        <v/>
      </c>
      <c r="AG143" s="1" t="str">
        <f>_xlfn.IFNA(VLOOKUP(Master_Reference[[#This Row],[C-Flex 3500K Eco Part Number]],Lutron_CFlex_Lookup[],MATCH("Lutron Kit PN",Lutron_CFlex_Lookup[#Headers],0),FALSE),"")</f>
        <v/>
      </c>
      <c r="AH143" s="1" t="str">
        <f>_xlfn.IFNA(VLOOKUP(Master_Reference[[#This Row],[C-Flex 4000K Eco Part Number]],Lutron_CFlex_Lookup[],MATCH("Lutron Kit PN",Lutron_CFlex_Lookup[#Headers],0),FALSE),"")</f>
        <v/>
      </c>
      <c r="AI143" s="1" t="str">
        <f>_xlfn.IFNA(VLOOKUP(Master_Reference[[#This Row],[C-Flex 5000K Eco Part Number]],Lutron_CFlex_Lookup[],MATCH("Lutron Kit PN",Lutron_CFlex_Lookup[#Headers],0),FALSE),"")</f>
        <v/>
      </c>
      <c r="AJ143" s="1" t="str">
        <f>_xlfn.IFNA(VLOOKUP(Master_Reference[[#This Row],[C-Flex 3000K 3W Part Number]],Lutron_CFlex_Lookup[],MATCH("Lutron Kit PN",Lutron_CFlex_Lookup[#Headers],0),FALSE),"")</f>
        <v/>
      </c>
      <c r="AK143" s="1" t="str">
        <f>_xlfn.IFNA(VLOOKUP(Master_Reference[[#This Row],[C-Flex 3500K 3W Part Number]],Lutron_CFlex_Lookup[],MATCH("Lutron Kit PN",Lutron_CFlex_Lookup[#Headers],0),FALSE),"")</f>
        <v/>
      </c>
      <c r="AL143" s="1" t="str">
        <f>_xlfn.IFNA(VLOOKUP(Master_Reference[[#This Row],[C-Flex 4000K 3W Part Number]],Lutron_CFlex_Lookup[],MATCH("Lutron Kit PN",Lutron_CFlex_Lookup[#Headers],0),FALSE),"")</f>
        <v/>
      </c>
      <c r="AM143" s="1" t="str">
        <f>_xlfn.IFNA(VLOOKUP(Master_Reference[[#This Row],[C-Flex 5000K 3W Part Number]],Lutron_CFlex_Lookup[],MATCH("Lutron Kit PN",Lutron_CFlex_Lookup[#Headers],0),FALSE),"")</f>
        <v/>
      </c>
      <c r="AN143" s="1" t="b">
        <f>NOT(ISNA(VLOOKUP(Master_Reference[[#This Row],[Model Number]],ObsoleteModels[],1,FALSE)))</f>
        <v>0</v>
      </c>
      <c r="AO143" s="1" t="str">
        <f>IF(LEFT(Master_Reference[[#This Row],[Model Number]],1)="U",LEFT(Master_Reference[[#This Row],[Model Number]],4),LEFT(Master_Reference[[#This Row],[Model Number]],3))</f>
        <v>EC5</v>
      </c>
    </row>
    <row r="144" spans="1:41" x14ac:dyDescent="0.25">
      <c r="A144" s="2" t="s">
        <v>386</v>
      </c>
      <c r="B144" s="1" t="b">
        <v>1</v>
      </c>
      <c r="C144" s="1" t="b">
        <v>1</v>
      </c>
      <c r="F144" s="1" t="b">
        <v>1</v>
      </c>
      <c r="G144" s="1" t="str">
        <f>IF(OR(LEFT(RIGHT(Master_Reference[[#This Row],[Model Number]],3),1)="C",LEFT(RIGHT(Master_Reference[[#This Row],[Model Number]],4),1)="C"),TRUE,"")</f>
        <v/>
      </c>
      <c r="H144" s="1" t="str">
        <f>IF(LEFT(Master_Reference[[#This Row],[Model Number]],1)="U",TRUE,"")</f>
        <v/>
      </c>
      <c r="I144" s="1" t="b">
        <f>IF(Master_Reference[[#This Row],[Lamp Type]]="T4","",IF(Master_Reference[[#This Row],[Case Type]]="M","",TRUE))</f>
        <v>1</v>
      </c>
      <c r="J144" s="1" t="str">
        <f t="shared" si="3"/>
        <v>T5</v>
      </c>
      <c r="K144" s="1">
        <v>28</v>
      </c>
      <c r="L144" s="1" t="s">
        <v>118</v>
      </c>
      <c r="M144" s="1">
        <v>2</v>
      </c>
      <c r="N144" s="1" t="s">
        <v>149</v>
      </c>
      <c r="O144" s="1" t="s">
        <v>320</v>
      </c>
      <c r="R144" t="b">
        <f>IF(COUNTBLANK(Master_Reference[[#This Row],[C-Flex 3000K Eco Part Number]:[C-Flex 4000K Eco Part Number]])=3,FALSE,TRUE)</f>
        <v>1</v>
      </c>
      <c r="S144" t="b">
        <f>IF(COUNTBLANK(Master_Reference[[#This Row],[C-Flex 3000K 3W Part Number]:[C-Flex 4000K 3W Part Number]])=3,FALSE,TRUE)</f>
        <v>1</v>
      </c>
      <c r="T144" t="b">
        <f>IF(COUNTBLANK(Master_Reference[[#This Row],[Lutron 3000K Eco Part Number]:[Lutron 4000K Eco Part Number]])=3,FALSE,TRUE)</f>
        <v>1</v>
      </c>
      <c r="U144" t="b">
        <f>IF(COUNTBLANK(Master_Reference[[#This Row],[Lutron 3000K 3W Part Number]:[Lutron 4000K 3W Part Number]])=3,FALSE,TRUE)</f>
        <v>1</v>
      </c>
      <c r="V144" s="12" t="s">
        <v>290</v>
      </c>
      <c r="W144" s="12" t="s">
        <v>291</v>
      </c>
      <c r="X144" s="12" t="s">
        <v>292</v>
      </c>
      <c r="Y144" t="s">
        <v>1720</v>
      </c>
      <c r="Z144" s="12" t="s">
        <v>293</v>
      </c>
      <c r="AA144" s="12" t="s">
        <v>294</v>
      </c>
      <c r="AB144" s="12" t="s">
        <v>295</v>
      </c>
      <c r="AC144" t="s">
        <v>1808</v>
      </c>
      <c r="AD144" t="str">
        <f>SUBSTITUTE(Master_Reference[[#This Row],[C-Flex 4000K Eco Part Number]],"40-","xx-")</f>
        <v>RP-T5-4FT-2L-8xx-E1-M-G2</v>
      </c>
      <c r="AE144" t="str">
        <f>SUBSTITUTE(Master_Reference[[#This Row],[C-Flex 4000K 3W Part Number]],"40-","xx-")</f>
        <v>RP-T5-4FT-2L-8xx-3W-M-G2</v>
      </c>
      <c r="AF144" s="1" t="str">
        <f>_xlfn.IFNA(VLOOKUP(Master_Reference[[#This Row],[C-Flex 3000K Eco Part Number]],Lutron_CFlex_Lookup[],MATCH("Lutron Kit PN",Lutron_CFlex_Lookup[#Headers],0),FALSE),"")</f>
        <v>ELD4T5-2M30-q</v>
      </c>
      <c r="AG144" s="1" t="str">
        <f>_xlfn.IFNA(VLOOKUP(Master_Reference[[#This Row],[C-Flex 3500K Eco Part Number]],Lutron_CFlex_Lookup[],MATCH("Lutron Kit PN",Lutron_CFlex_Lookup[#Headers],0),FALSE),"")</f>
        <v>ELD4T5-2M35-q</v>
      </c>
      <c r="AH144" s="1" t="str">
        <f>_xlfn.IFNA(VLOOKUP(Master_Reference[[#This Row],[C-Flex 4000K Eco Part Number]],Lutron_CFlex_Lookup[],MATCH("Lutron Kit PN",Lutron_CFlex_Lookup[#Headers],0),FALSE),"")</f>
        <v>ELD4T5-2M40-q</v>
      </c>
      <c r="AI144" s="1" t="str">
        <f>_xlfn.IFNA(VLOOKUP(Master_Reference[[#This Row],[C-Flex 5000K Eco Part Number]],Lutron_CFlex_Lookup[],MATCH("Lutron Kit PN",Lutron_CFlex_Lookup[#Headers],0),FALSE),"")</f>
        <v>ELD4T5-2M50-q</v>
      </c>
      <c r="AJ144" s="1" t="str">
        <f>_xlfn.IFNA(VLOOKUP(Master_Reference[[#This Row],[C-Flex 3000K 3W Part Number]],Lutron_CFlex_Lookup[],MATCH("Lutron Kit PN",Lutron_CFlex_Lookup[#Headers],0),FALSE),"")</f>
        <v>3LD4T5-2M30-q</v>
      </c>
      <c r="AK144" s="1" t="str">
        <f>_xlfn.IFNA(VLOOKUP(Master_Reference[[#This Row],[C-Flex 3500K 3W Part Number]],Lutron_CFlex_Lookup[],MATCH("Lutron Kit PN",Lutron_CFlex_Lookup[#Headers],0),FALSE),"")</f>
        <v>3LD4T5-2M35-q</v>
      </c>
      <c r="AL144" s="1" t="str">
        <f>_xlfn.IFNA(VLOOKUP(Master_Reference[[#This Row],[C-Flex 4000K 3W Part Number]],Lutron_CFlex_Lookup[],MATCH("Lutron Kit PN",Lutron_CFlex_Lookup[#Headers],0),FALSE),"")</f>
        <v>3LD4T5-2M40-q</v>
      </c>
      <c r="AM144" s="1" t="str">
        <f>_xlfn.IFNA(VLOOKUP(Master_Reference[[#This Row],[C-Flex 5000K 3W Part Number]],Lutron_CFlex_Lookup[],MATCH("Lutron Kit PN",Lutron_CFlex_Lookup[#Headers],0),FALSE),"")</f>
        <v>3LD4T5-2M50-q</v>
      </c>
      <c r="AN144" s="1" t="b">
        <f>NOT(ISNA(VLOOKUP(Master_Reference[[#This Row],[Model Number]],ObsoleteModels[],1,FALSE)))</f>
        <v>0</v>
      </c>
      <c r="AO144" s="1" t="str">
        <f>IF(LEFT(Master_Reference[[#This Row],[Model Number]],1)="U",LEFT(Master_Reference[[#This Row],[Model Number]],4),LEFT(Master_Reference[[#This Row],[Model Number]],3))</f>
        <v>EC5</v>
      </c>
    </row>
    <row r="145" spans="1:41" x14ac:dyDescent="0.25">
      <c r="A145" s="2" t="s">
        <v>387</v>
      </c>
      <c r="B145" s="1" t="b">
        <v>1</v>
      </c>
      <c r="C145" s="1" t="b">
        <v>1</v>
      </c>
      <c r="F145" s="1" t="b">
        <v>1</v>
      </c>
      <c r="G145" s="1" t="b">
        <f>IF(OR(LEFT(RIGHT(Master_Reference[[#This Row],[Model Number]],3),1)="C",LEFT(RIGHT(Master_Reference[[#This Row],[Model Number]],4),1)="C"),TRUE,"")</f>
        <v>1</v>
      </c>
      <c r="H145" s="1" t="str">
        <f>IF(LEFT(Master_Reference[[#This Row],[Model Number]],1)="U",TRUE,"")</f>
        <v/>
      </c>
      <c r="I145" s="1" t="b">
        <f>IF(Master_Reference[[#This Row],[Lamp Type]]="T4","",IF(Master_Reference[[#This Row],[Case Type]]="M","",TRUE))</f>
        <v>1</v>
      </c>
      <c r="J145" s="1" t="str">
        <f t="shared" si="3"/>
        <v>T5</v>
      </c>
      <c r="K145" s="1">
        <v>28</v>
      </c>
      <c r="L145" s="1" t="s">
        <v>118</v>
      </c>
      <c r="M145" s="1">
        <v>2</v>
      </c>
      <c r="N145" s="1" t="s">
        <v>149</v>
      </c>
      <c r="O145" s="1" t="s">
        <v>320</v>
      </c>
      <c r="R145" t="b">
        <f>IF(COUNTBLANK(Master_Reference[[#This Row],[C-Flex 3000K Eco Part Number]:[C-Flex 4000K Eco Part Number]])=3,FALSE,TRUE)</f>
        <v>1</v>
      </c>
      <c r="S145" t="b">
        <f>IF(COUNTBLANK(Master_Reference[[#This Row],[C-Flex 3000K 3W Part Number]:[C-Flex 4000K 3W Part Number]])=3,FALSE,TRUE)</f>
        <v>1</v>
      </c>
      <c r="T145" t="b">
        <f>IF(COUNTBLANK(Master_Reference[[#This Row],[Lutron 3000K Eco Part Number]:[Lutron 4000K Eco Part Number]])=3,FALSE,TRUE)</f>
        <v>1</v>
      </c>
      <c r="U145" t="b">
        <f>IF(COUNTBLANK(Master_Reference[[#This Row],[Lutron 3000K 3W Part Number]:[Lutron 4000K 3W Part Number]])=3,FALSE,TRUE)</f>
        <v>1</v>
      </c>
      <c r="V145" s="12" t="s">
        <v>290</v>
      </c>
      <c r="W145" s="12" t="s">
        <v>291</v>
      </c>
      <c r="X145" s="12" t="s">
        <v>292</v>
      </c>
      <c r="Y145" t="s">
        <v>1720</v>
      </c>
      <c r="Z145" s="12" t="s">
        <v>293</v>
      </c>
      <c r="AA145" s="12" t="s">
        <v>294</v>
      </c>
      <c r="AB145" s="12" t="s">
        <v>295</v>
      </c>
      <c r="AC145" t="s">
        <v>1808</v>
      </c>
      <c r="AD145" t="str">
        <f>SUBSTITUTE(Master_Reference[[#This Row],[C-Flex 4000K Eco Part Number]],"40-","xx-")</f>
        <v>RP-T5-4FT-2L-8xx-E1-M-G2</v>
      </c>
      <c r="AE145" t="str">
        <f>SUBSTITUTE(Master_Reference[[#This Row],[C-Flex 4000K 3W Part Number]],"40-","xx-")</f>
        <v>RP-T5-4FT-2L-8xx-3W-M-G2</v>
      </c>
      <c r="AF145" s="1" t="str">
        <f>_xlfn.IFNA(VLOOKUP(Master_Reference[[#This Row],[C-Flex 3000K Eco Part Number]],Lutron_CFlex_Lookup[],MATCH("Lutron Kit PN",Lutron_CFlex_Lookup[#Headers],0),FALSE),"")</f>
        <v>ELD4T5-2M30-q</v>
      </c>
      <c r="AG145" s="1" t="str">
        <f>_xlfn.IFNA(VLOOKUP(Master_Reference[[#This Row],[C-Flex 3500K Eco Part Number]],Lutron_CFlex_Lookup[],MATCH("Lutron Kit PN",Lutron_CFlex_Lookup[#Headers],0),FALSE),"")</f>
        <v>ELD4T5-2M35-q</v>
      </c>
      <c r="AH145" s="1" t="str">
        <f>_xlfn.IFNA(VLOOKUP(Master_Reference[[#This Row],[C-Flex 4000K Eco Part Number]],Lutron_CFlex_Lookup[],MATCH("Lutron Kit PN",Lutron_CFlex_Lookup[#Headers],0),FALSE),"")</f>
        <v>ELD4T5-2M40-q</v>
      </c>
      <c r="AI145" s="1" t="str">
        <f>_xlfn.IFNA(VLOOKUP(Master_Reference[[#This Row],[C-Flex 5000K Eco Part Number]],Lutron_CFlex_Lookup[],MATCH("Lutron Kit PN",Lutron_CFlex_Lookup[#Headers],0),FALSE),"")</f>
        <v>ELD4T5-2M50-q</v>
      </c>
      <c r="AJ145" s="1" t="str">
        <f>_xlfn.IFNA(VLOOKUP(Master_Reference[[#This Row],[C-Flex 3000K 3W Part Number]],Lutron_CFlex_Lookup[],MATCH("Lutron Kit PN",Lutron_CFlex_Lookup[#Headers],0),FALSE),"")</f>
        <v>3LD4T5-2M30-q</v>
      </c>
      <c r="AK145" s="1" t="str">
        <f>_xlfn.IFNA(VLOOKUP(Master_Reference[[#This Row],[C-Flex 3500K 3W Part Number]],Lutron_CFlex_Lookup[],MATCH("Lutron Kit PN",Lutron_CFlex_Lookup[#Headers],0),FALSE),"")</f>
        <v>3LD4T5-2M35-q</v>
      </c>
      <c r="AL145" s="1" t="str">
        <f>_xlfn.IFNA(VLOOKUP(Master_Reference[[#This Row],[C-Flex 4000K 3W Part Number]],Lutron_CFlex_Lookup[],MATCH("Lutron Kit PN",Lutron_CFlex_Lookup[#Headers],0),FALSE),"")</f>
        <v>3LD4T5-2M40-q</v>
      </c>
      <c r="AM145" s="1" t="str">
        <f>_xlfn.IFNA(VLOOKUP(Master_Reference[[#This Row],[C-Flex 5000K 3W Part Number]],Lutron_CFlex_Lookup[],MATCH("Lutron Kit PN",Lutron_CFlex_Lookup[#Headers],0),FALSE),"")</f>
        <v>3LD4T5-2M50-q</v>
      </c>
      <c r="AN145" s="1" t="b">
        <f>NOT(ISNA(VLOOKUP(Master_Reference[[#This Row],[Model Number]],ObsoleteModels[],1,FALSE)))</f>
        <v>1</v>
      </c>
      <c r="AO145" s="1" t="str">
        <f>IF(LEFT(Master_Reference[[#This Row],[Model Number]],1)="U",LEFT(Master_Reference[[#This Row],[Model Number]],4),LEFT(Master_Reference[[#This Row],[Model Number]],3))</f>
        <v>EC5</v>
      </c>
    </row>
    <row r="146" spans="1:41" x14ac:dyDescent="0.25">
      <c r="A146" s="2" t="s">
        <v>388</v>
      </c>
      <c r="B146" s="1" t="b">
        <v>1</v>
      </c>
      <c r="C146" s="1" t="b">
        <v>1</v>
      </c>
      <c r="F146" s="1" t="b">
        <v>1</v>
      </c>
      <c r="G146" s="1" t="b">
        <f>IF(OR(LEFT(RIGHT(Master_Reference[[#This Row],[Model Number]],3),1)="C",LEFT(RIGHT(Master_Reference[[#This Row],[Model Number]],4),1)="C"),TRUE,"")</f>
        <v>1</v>
      </c>
      <c r="H146" s="1" t="str">
        <f>IF(LEFT(Master_Reference[[#This Row],[Model Number]],1)="U",TRUE,"")</f>
        <v/>
      </c>
      <c r="I146" s="1" t="b">
        <f>IF(Master_Reference[[#This Row],[Lamp Type]]="T4","",IF(Master_Reference[[#This Row],[Case Type]]="M","",TRUE))</f>
        <v>1</v>
      </c>
      <c r="J146" s="1" t="str">
        <f t="shared" si="3"/>
        <v>T5</v>
      </c>
      <c r="K146" s="1">
        <v>28</v>
      </c>
      <c r="L146" s="1" t="s">
        <v>118</v>
      </c>
      <c r="M146" s="1">
        <v>2</v>
      </c>
      <c r="N146" s="1" t="s">
        <v>149</v>
      </c>
      <c r="O146" s="1" t="s">
        <v>320</v>
      </c>
      <c r="R146" t="b">
        <f>IF(COUNTBLANK(Master_Reference[[#This Row],[C-Flex 3000K Eco Part Number]:[C-Flex 4000K Eco Part Number]])=3,FALSE,TRUE)</f>
        <v>1</v>
      </c>
      <c r="S146" t="b">
        <f>IF(COUNTBLANK(Master_Reference[[#This Row],[C-Flex 3000K 3W Part Number]:[C-Flex 4000K 3W Part Number]])=3,FALSE,TRUE)</f>
        <v>1</v>
      </c>
      <c r="T146" t="b">
        <f>IF(COUNTBLANK(Master_Reference[[#This Row],[Lutron 3000K Eco Part Number]:[Lutron 4000K Eco Part Number]])=3,FALSE,TRUE)</f>
        <v>1</v>
      </c>
      <c r="U146" t="b">
        <f>IF(COUNTBLANK(Master_Reference[[#This Row],[Lutron 3000K 3W Part Number]:[Lutron 4000K 3W Part Number]])=3,FALSE,TRUE)</f>
        <v>1</v>
      </c>
      <c r="V146" s="12" t="s">
        <v>290</v>
      </c>
      <c r="W146" s="12" t="s">
        <v>291</v>
      </c>
      <c r="X146" s="12" t="s">
        <v>292</v>
      </c>
      <c r="Y146" t="s">
        <v>1720</v>
      </c>
      <c r="Z146" s="12" t="s">
        <v>293</v>
      </c>
      <c r="AA146" s="12" t="s">
        <v>294</v>
      </c>
      <c r="AB146" s="12" t="s">
        <v>295</v>
      </c>
      <c r="AC146" t="s">
        <v>1808</v>
      </c>
      <c r="AD146" t="str">
        <f>SUBSTITUTE(Master_Reference[[#This Row],[C-Flex 4000K Eco Part Number]],"40-","xx-")</f>
        <v>RP-T5-4FT-2L-8xx-E1-M-G2</v>
      </c>
      <c r="AE146" t="str">
        <f>SUBSTITUTE(Master_Reference[[#This Row],[C-Flex 4000K 3W Part Number]],"40-","xx-")</f>
        <v>RP-T5-4FT-2L-8xx-3W-M-G2</v>
      </c>
      <c r="AF146" s="1" t="str">
        <f>_xlfn.IFNA(VLOOKUP(Master_Reference[[#This Row],[C-Flex 3000K Eco Part Number]],Lutron_CFlex_Lookup[],MATCH("Lutron Kit PN",Lutron_CFlex_Lookup[#Headers],0),FALSE),"")</f>
        <v>ELD4T5-2M30-q</v>
      </c>
      <c r="AG146" s="1" t="str">
        <f>_xlfn.IFNA(VLOOKUP(Master_Reference[[#This Row],[C-Flex 3500K Eco Part Number]],Lutron_CFlex_Lookup[],MATCH("Lutron Kit PN",Lutron_CFlex_Lookup[#Headers],0),FALSE),"")</f>
        <v>ELD4T5-2M35-q</v>
      </c>
      <c r="AH146" s="1" t="str">
        <f>_xlfn.IFNA(VLOOKUP(Master_Reference[[#This Row],[C-Flex 4000K Eco Part Number]],Lutron_CFlex_Lookup[],MATCH("Lutron Kit PN",Lutron_CFlex_Lookup[#Headers],0),FALSE),"")</f>
        <v>ELD4T5-2M40-q</v>
      </c>
      <c r="AI146" s="1" t="str">
        <f>_xlfn.IFNA(VLOOKUP(Master_Reference[[#This Row],[C-Flex 5000K Eco Part Number]],Lutron_CFlex_Lookup[],MATCH("Lutron Kit PN",Lutron_CFlex_Lookup[#Headers],0),FALSE),"")</f>
        <v>ELD4T5-2M50-q</v>
      </c>
      <c r="AJ146" s="1" t="str">
        <f>_xlfn.IFNA(VLOOKUP(Master_Reference[[#This Row],[C-Flex 3000K 3W Part Number]],Lutron_CFlex_Lookup[],MATCH("Lutron Kit PN",Lutron_CFlex_Lookup[#Headers],0),FALSE),"")</f>
        <v>3LD4T5-2M30-q</v>
      </c>
      <c r="AK146" s="1" t="str">
        <f>_xlfn.IFNA(VLOOKUP(Master_Reference[[#This Row],[C-Flex 3500K 3W Part Number]],Lutron_CFlex_Lookup[],MATCH("Lutron Kit PN",Lutron_CFlex_Lookup[#Headers],0),FALSE),"")</f>
        <v>3LD4T5-2M35-q</v>
      </c>
      <c r="AL146" s="1" t="str">
        <f>_xlfn.IFNA(VLOOKUP(Master_Reference[[#This Row],[C-Flex 4000K 3W Part Number]],Lutron_CFlex_Lookup[],MATCH("Lutron Kit PN",Lutron_CFlex_Lookup[#Headers],0),FALSE),"")</f>
        <v>3LD4T5-2M40-q</v>
      </c>
      <c r="AM146" s="1" t="str">
        <f>_xlfn.IFNA(VLOOKUP(Master_Reference[[#This Row],[C-Flex 5000K 3W Part Number]],Lutron_CFlex_Lookup[],MATCH("Lutron Kit PN",Lutron_CFlex_Lookup[#Headers],0),FALSE),"")</f>
        <v>3LD4T5-2M50-q</v>
      </c>
      <c r="AN146" s="1" t="b">
        <f>NOT(ISNA(VLOOKUP(Master_Reference[[#This Row],[Model Number]],ObsoleteModels[],1,FALSE)))</f>
        <v>1</v>
      </c>
      <c r="AO146" s="1" t="str">
        <f>IF(LEFT(Master_Reference[[#This Row],[Model Number]],1)="U",LEFT(Master_Reference[[#This Row],[Model Number]],4),LEFT(Master_Reference[[#This Row],[Model Number]],3))</f>
        <v>EC5</v>
      </c>
    </row>
    <row r="147" spans="1:41" x14ac:dyDescent="0.25">
      <c r="A147" s="2" t="s">
        <v>389</v>
      </c>
      <c r="B147" s="1" t="b">
        <v>1</v>
      </c>
      <c r="C147" s="1" t="b">
        <v>1</v>
      </c>
      <c r="F147" s="1" t="b">
        <v>1</v>
      </c>
      <c r="G147" s="1" t="b">
        <f>IF(OR(LEFT(RIGHT(Master_Reference[[#This Row],[Model Number]],3),1)="C",LEFT(RIGHT(Master_Reference[[#This Row],[Model Number]],4),1)="C"),TRUE,"")</f>
        <v>1</v>
      </c>
      <c r="H147" s="1" t="str">
        <f>IF(LEFT(Master_Reference[[#This Row],[Model Number]],1)="U",TRUE,"")</f>
        <v/>
      </c>
      <c r="I147" s="1" t="b">
        <f>IF(Master_Reference[[#This Row],[Lamp Type]]="T4","",IF(Master_Reference[[#This Row],[Case Type]]="M","",TRUE))</f>
        <v>1</v>
      </c>
      <c r="J147" s="1" t="str">
        <f t="shared" si="3"/>
        <v>T5</v>
      </c>
      <c r="K147" s="1">
        <v>28</v>
      </c>
      <c r="L147" s="1" t="s">
        <v>118</v>
      </c>
      <c r="M147" s="1">
        <v>2</v>
      </c>
      <c r="N147" s="1" t="s">
        <v>149</v>
      </c>
      <c r="O147" s="1" t="s">
        <v>320</v>
      </c>
      <c r="R147" t="b">
        <f>IF(COUNTBLANK(Master_Reference[[#This Row],[C-Flex 3000K Eco Part Number]:[C-Flex 4000K Eco Part Number]])=3,FALSE,TRUE)</f>
        <v>1</v>
      </c>
      <c r="S147" t="b">
        <f>IF(COUNTBLANK(Master_Reference[[#This Row],[C-Flex 3000K 3W Part Number]:[C-Flex 4000K 3W Part Number]])=3,FALSE,TRUE)</f>
        <v>1</v>
      </c>
      <c r="T147" t="b">
        <f>IF(COUNTBLANK(Master_Reference[[#This Row],[Lutron 3000K Eco Part Number]:[Lutron 4000K Eco Part Number]])=3,FALSE,TRUE)</f>
        <v>1</v>
      </c>
      <c r="U147" t="b">
        <f>IF(COUNTBLANK(Master_Reference[[#This Row],[Lutron 3000K 3W Part Number]:[Lutron 4000K 3W Part Number]])=3,FALSE,TRUE)</f>
        <v>1</v>
      </c>
      <c r="V147" s="12" t="s">
        <v>290</v>
      </c>
      <c r="W147" s="12" t="s">
        <v>291</v>
      </c>
      <c r="X147" s="12" t="s">
        <v>292</v>
      </c>
      <c r="Y147" t="s">
        <v>1720</v>
      </c>
      <c r="Z147" s="12" t="s">
        <v>293</v>
      </c>
      <c r="AA147" s="12" t="s">
        <v>294</v>
      </c>
      <c r="AB147" s="12" t="s">
        <v>295</v>
      </c>
      <c r="AC147" t="s">
        <v>1808</v>
      </c>
      <c r="AD147" t="str">
        <f>SUBSTITUTE(Master_Reference[[#This Row],[C-Flex 4000K Eco Part Number]],"40-","xx-")</f>
        <v>RP-T5-4FT-2L-8xx-E1-M-G2</v>
      </c>
      <c r="AE147" t="str">
        <f>SUBSTITUTE(Master_Reference[[#This Row],[C-Flex 4000K 3W Part Number]],"40-","xx-")</f>
        <v>RP-T5-4FT-2L-8xx-3W-M-G2</v>
      </c>
      <c r="AF147" s="1" t="str">
        <f>_xlfn.IFNA(VLOOKUP(Master_Reference[[#This Row],[C-Flex 3000K Eco Part Number]],Lutron_CFlex_Lookup[],MATCH("Lutron Kit PN",Lutron_CFlex_Lookup[#Headers],0),FALSE),"")</f>
        <v>ELD4T5-2M30-q</v>
      </c>
      <c r="AG147" s="1" t="str">
        <f>_xlfn.IFNA(VLOOKUP(Master_Reference[[#This Row],[C-Flex 3500K Eco Part Number]],Lutron_CFlex_Lookup[],MATCH("Lutron Kit PN",Lutron_CFlex_Lookup[#Headers],0),FALSE),"")</f>
        <v>ELD4T5-2M35-q</v>
      </c>
      <c r="AH147" s="1" t="str">
        <f>_xlfn.IFNA(VLOOKUP(Master_Reference[[#This Row],[C-Flex 4000K Eco Part Number]],Lutron_CFlex_Lookup[],MATCH("Lutron Kit PN",Lutron_CFlex_Lookup[#Headers],0),FALSE),"")</f>
        <v>ELD4T5-2M40-q</v>
      </c>
      <c r="AI147" s="1" t="str">
        <f>_xlfn.IFNA(VLOOKUP(Master_Reference[[#This Row],[C-Flex 5000K Eco Part Number]],Lutron_CFlex_Lookup[],MATCH("Lutron Kit PN",Lutron_CFlex_Lookup[#Headers],0),FALSE),"")</f>
        <v>ELD4T5-2M50-q</v>
      </c>
      <c r="AJ147" s="1" t="str">
        <f>_xlfn.IFNA(VLOOKUP(Master_Reference[[#This Row],[C-Flex 3000K 3W Part Number]],Lutron_CFlex_Lookup[],MATCH("Lutron Kit PN",Lutron_CFlex_Lookup[#Headers],0),FALSE),"")</f>
        <v>3LD4T5-2M30-q</v>
      </c>
      <c r="AK147" s="1" t="str">
        <f>_xlfn.IFNA(VLOOKUP(Master_Reference[[#This Row],[C-Flex 3500K 3W Part Number]],Lutron_CFlex_Lookup[],MATCH("Lutron Kit PN",Lutron_CFlex_Lookup[#Headers],0),FALSE),"")</f>
        <v>3LD4T5-2M35-q</v>
      </c>
      <c r="AL147" s="1" t="str">
        <f>_xlfn.IFNA(VLOOKUP(Master_Reference[[#This Row],[C-Flex 4000K 3W Part Number]],Lutron_CFlex_Lookup[],MATCH("Lutron Kit PN",Lutron_CFlex_Lookup[#Headers],0),FALSE),"")</f>
        <v>3LD4T5-2M40-q</v>
      </c>
      <c r="AM147" s="1" t="str">
        <f>_xlfn.IFNA(VLOOKUP(Master_Reference[[#This Row],[C-Flex 5000K 3W Part Number]],Lutron_CFlex_Lookup[],MATCH("Lutron Kit PN",Lutron_CFlex_Lookup[#Headers],0),FALSE),"")</f>
        <v>3LD4T5-2M50-q</v>
      </c>
      <c r="AN147" s="1" t="b">
        <f>NOT(ISNA(VLOOKUP(Master_Reference[[#This Row],[Model Number]],ObsoleteModels[],1,FALSE)))</f>
        <v>1</v>
      </c>
      <c r="AO147" s="1" t="str">
        <f>IF(LEFT(Master_Reference[[#This Row],[Model Number]],1)="U",LEFT(Master_Reference[[#This Row],[Model Number]],4),LEFT(Master_Reference[[#This Row],[Model Number]],3))</f>
        <v>EC5</v>
      </c>
    </row>
    <row r="148" spans="1:41" x14ac:dyDescent="0.25">
      <c r="A148" s="2" t="s">
        <v>390</v>
      </c>
      <c r="B148" s="1" t="b">
        <v>1</v>
      </c>
      <c r="C148" s="1" t="b">
        <v>1</v>
      </c>
      <c r="F148" s="1" t="b">
        <v>1</v>
      </c>
      <c r="G148" s="1" t="b">
        <f>IF(OR(LEFT(RIGHT(Master_Reference[[#This Row],[Model Number]],3),1)="C",LEFT(RIGHT(Master_Reference[[#This Row],[Model Number]],4),1)="C"),TRUE,"")</f>
        <v>1</v>
      </c>
      <c r="H148" s="1" t="str">
        <f>IF(LEFT(Master_Reference[[#This Row],[Model Number]],1)="U",TRUE,"")</f>
        <v/>
      </c>
      <c r="I148" s="1" t="b">
        <f>IF(Master_Reference[[#This Row],[Lamp Type]]="T4","",IF(Master_Reference[[#This Row],[Case Type]]="M","",TRUE))</f>
        <v>1</v>
      </c>
      <c r="J148" s="1" t="str">
        <f t="shared" si="3"/>
        <v>T5</v>
      </c>
      <c r="K148" s="1">
        <v>28</v>
      </c>
      <c r="L148" s="1" t="s">
        <v>118</v>
      </c>
      <c r="M148" s="1">
        <v>2</v>
      </c>
      <c r="N148" s="1" t="s">
        <v>149</v>
      </c>
      <c r="O148" s="1" t="s">
        <v>320</v>
      </c>
      <c r="R148" t="b">
        <f>IF(COUNTBLANK(Master_Reference[[#This Row],[C-Flex 3000K Eco Part Number]:[C-Flex 4000K Eco Part Number]])=3,FALSE,TRUE)</f>
        <v>1</v>
      </c>
      <c r="S148" t="b">
        <f>IF(COUNTBLANK(Master_Reference[[#This Row],[C-Flex 3000K 3W Part Number]:[C-Flex 4000K 3W Part Number]])=3,FALSE,TRUE)</f>
        <v>1</v>
      </c>
      <c r="T148" t="b">
        <f>IF(COUNTBLANK(Master_Reference[[#This Row],[Lutron 3000K Eco Part Number]:[Lutron 4000K Eco Part Number]])=3,FALSE,TRUE)</f>
        <v>1</v>
      </c>
      <c r="U148" t="b">
        <f>IF(COUNTBLANK(Master_Reference[[#This Row],[Lutron 3000K 3W Part Number]:[Lutron 4000K 3W Part Number]])=3,FALSE,TRUE)</f>
        <v>1</v>
      </c>
      <c r="V148" s="12" t="s">
        <v>290</v>
      </c>
      <c r="W148" s="12" t="s">
        <v>291</v>
      </c>
      <c r="X148" s="12" t="s">
        <v>292</v>
      </c>
      <c r="Y148" t="s">
        <v>1720</v>
      </c>
      <c r="Z148" s="12" t="s">
        <v>293</v>
      </c>
      <c r="AA148" s="12" t="s">
        <v>294</v>
      </c>
      <c r="AB148" s="12" t="s">
        <v>295</v>
      </c>
      <c r="AC148" t="s">
        <v>1808</v>
      </c>
      <c r="AD148" t="str">
        <f>SUBSTITUTE(Master_Reference[[#This Row],[C-Flex 4000K Eco Part Number]],"40-","xx-")</f>
        <v>RP-T5-4FT-2L-8xx-E1-M-G2</v>
      </c>
      <c r="AE148" t="str">
        <f>SUBSTITUTE(Master_Reference[[#This Row],[C-Flex 4000K 3W Part Number]],"40-","xx-")</f>
        <v>RP-T5-4FT-2L-8xx-3W-M-G2</v>
      </c>
      <c r="AF148" s="1" t="str">
        <f>_xlfn.IFNA(VLOOKUP(Master_Reference[[#This Row],[C-Flex 3000K Eco Part Number]],Lutron_CFlex_Lookup[],MATCH("Lutron Kit PN",Lutron_CFlex_Lookup[#Headers],0),FALSE),"")</f>
        <v>ELD4T5-2M30-q</v>
      </c>
      <c r="AG148" s="1" t="str">
        <f>_xlfn.IFNA(VLOOKUP(Master_Reference[[#This Row],[C-Flex 3500K Eco Part Number]],Lutron_CFlex_Lookup[],MATCH("Lutron Kit PN",Lutron_CFlex_Lookup[#Headers],0),FALSE),"")</f>
        <v>ELD4T5-2M35-q</v>
      </c>
      <c r="AH148" s="1" t="str">
        <f>_xlfn.IFNA(VLOOKUP(Master_Reference[[#This Row],[C-Flex 4000K Eco Part Number]],Lutron_CFlex_Lookup[],MATCH("Lutron Kit PN",Lutron_CFlex_Lookup[#Headers],0),FALSE),"")</f>
        <v>ELD4T5-2M40-q</v>
      </c>
      <c r="AI148" s="1" t="str">
        <f>_xlfn.IFNA(VLOOKUP(Master_Reference[[#This Row],[C-Flex 5000K Eco Part Number]],Lutron_CFlex_Lookup[],MATCH("Lutron Kit PN",Lutron_CFlex_Lookup[#Headers],0),FALSE),"")</f>
        <v>ELD4T5-2M50-q</v>
      </c>
      <c r="AJ148" s="1" t="str">
        <f>_xlfn.IFNA(VLOOKUP(Master_Reference[[#This Row],[C-Flex 3000K 3W Part Number]],Lutron_CFlex_Lookup[],MATCH("Lutron Kit PN",Lutron_CFlex_Lookup[#Headers],0),FALSE),"")</f>
        <v>3LD4T5-2M30-q</v>
      </c>
      <c r="AK148" s="1" t="str">
        <f>_xlfn.IFNA(VLOOKUP(Master_Reference[[#This Row],[C-Flex 3500K 3W Part Number]],Lutron_CFlex_Lookup[],MATCH("Lutron Kit PN",Lutron_CFlex_Lookup[#Headers],0),FALSE),"")</f>
        <v>3LD4T5-2M35-q</v>
      </c>
      <c r="AL148" s="1" t="str">
        <f>_xlfn.IFNA(VLOOKUP(Master_Reference[[#This Row],[C-Flex 4000K 3W Part Number]],Lutron_CFlex_Lookup[],MATCH("Lutron Kit PN",Lutron_CFlex_Lookup[#Headers],0),FALSE),"")</f>
        <v>3LD4T5-2M40-q</v>
      </c>
      <c r="AM148" s="1" t="str">
        <f>_xlfn.IFNA(VLOOKUP(Master_Reference[[#This Row],[C-Flex 5000K 3W Part Number]],Lutron_CFlex_Lookup[],MATCH("Lutron Kit PN",Lutron_CFlex_Lookup[#Headers],0),FALSE),"")</f>
        <v>3LD4T5-2M50-q</v>
      </c>
      <c r="AN148" s="1" t="b">
        <f>NOT(ISNA(VLOOKUP(Master_Reference[[#This Row],[Model Number]],ObsoleteModels[],1,FALSE)))</f>
        <v>1</v>
      </c>
      <c r="AO148" s="1" t="str">
        <f>IF(LEFT(Master_Reference[[#This Row],[Model Number]],1)="U",LEFT(Master_Reference[[#This Row],[Model Number]],4),LEFT(Master_Reference[[#This Row],[Model Number]],3))</f>
        <v>EC5</v>
      </c>
    </row>
    <row r="149" spans="1:41" x14ac:dyDescent="0.25">
      <c r="A149" s="2" t="s">
        <v>391</v>
      </c>
      <c r="B149" s="1" t="b">
        <v>1</v>
      </c>
      <c r="C149" s="1" t="b">
        <v>1</v>
      </c>
      <c r="F149" s="1" t="b">
        <v>1</v>
      </c>
      <c r="G149" s="1" t="b">
        <f>IF(OR(LEFT(RIGHT(Master_Reference[[#This Row],[Model Number]],3),1)="C",LEFT(RIGHT(Master_Reference[[#This Row],[Model Number]],4),1)="C"),TRUE,"")</f>
        <v>1</v>
      </c>
      <c r="H149" s="1" t="str">
        <f>IF(LEFT(Master_Reference[[#This Row],[Model Number]],1)="U",TRUE,"")</f>
        <v/>
      </c>
      <c r="I149" s="1" t="b">
        <f>IF(Master_Reference[[#This Row],[Lamp Type]]="T4","",IF(Master_Reference[[#This Row],[Case Type]]="M","",TRUE))</f>
        <v>1</v>
      </c>
      <c r="J149" s="1" t="str">
        <f t="shared" si="3"/>
        <v>T5</v>
      </c>
      <c r="K149" s="1">
        <v>28</v>
      </c>
      <c r="L149" s="1" t="s">
        <v>118</v>
      </c>
      <c r="M149" s="1">
        <v>2</v>
      </c>
      <c r="N149" s="1" t="s">
        <v>149</v>
      </c>
      <c r="O149" s="1" t="s">
        <v>320</v>
      </c>
      <c r="R149" t="b">
        <f>IF(COUNTBLANK(Master_Reference[[#This Row],[C-Flex 3000K Eco Part Number]:[C-Flex 4000K Eco Part Number]])=3,FALSE,TRUE)</f>
        <v>1</v>
      </c>
      <c r="S149" t="b">
        <f>IF(COUNTBLANK(Master_Reference[[#This Row],[C-Flex 3000K 3W Part Number]:[C-Flex 4000K 3W Part Number]])=3,FALSE,TRUE)</f>
        <v>1</v>
      </c>
      <c r="T149" t="b">
        <f>IF(COUNTBLANK(Master_Reference[[#This Row],[Lutron 3000K Eco Part Number]:[Lutron 4000K Eco Part Number]])=3,FALSE,TRUE)</f>
        <v>1</v>
      </c>
      <c r="U149" t="b">
        <f>IF(COUNTBLANK(Master_Reference[[#This Row],[Lutron 3000K 3W Part Number]:[Lutron 4000K 3W Part Number]])=3,FALSE,TRUE)</f>
        <v>1</v>
      </c>
      <c r="V149" s="12" t="s">
        <v>290</v>
      </c>
      <c r="W149" s="12" t="s">
        <v>291</v>
      </c>
      <c r="X149" s="12" t="s">
        <v>292</v>
      </c>
      <c r="Y149" t="s">
        <v>1720</v>
      </c>
      <c r="Z149" s="12" t="s">
        <v>293</v>
      </c>
      <c r="AA149" s="12" t="s">
        <v>294</v>
      </c>
      <c r="AB149" s="12" t="s">
        <v>295</v>
      </c>
      <c r="AC149" t="s">
        <v>1808</v>
      </c>
      <c r="AD149" t="str">
        <f>SUBSTITUTE(Master_Reference[[#This Row],[C-Flex 4000K Eco Part Number]],"40-","xx-")</f>
        <v>RP-T5-4FT-2L-8xx-E1-M-G2</v>
      </c>
      <c r="AE149" t="str">
        <f>SUBSTITUTE(Master_Reference[[#This Row],[C-Flex 4000K 3W Part Number]],"40-","xx-")</f>
        <v>RP-T5-4FT-2L-8xx-3W-M-G2</v>
      </c>
      <c r="AF149" s="1" t="str">
        <f>_xlfn.IFNA(VLOOKUP(Master_Reference[[#This Row],[C-Flex 3000K Eco Part Number]],Lutron_CFlex_Lookup[],MATCH("Lutron Kit PN",Lutron_CFlex_Lookup[#Headers],0),FALSE),"")</f>
        <v>ELD4T5-2M30-q</v>
      </c>
      <c r="AG149" s="1" t="str">
        <f>_xlfn.IFNA(VLOOKUP(Master_Reference[[#This Row],[C-Flex 3500K Eco Part Number]],Lutron_CFlex_Lookup[],MATCH("Lutron Kit PN",Lutron_CFlex_Lookup[#Headers],0),FALSE),"")</f>
        <v>ELD4T5-2M35-q</v>
      </c>
      <c r="AH149" s="1" t="str">
        <f>_xlfn.IFNA(VLOOKUP(Master_Reference[[#This Row],[C-Flex 4000K Eco Part Number]],Lutron_CFlex_Lookup[],MATCH("Lutron Kit PN",Lutron_CFlex_Lookup[#Headers],0),FALSE),"")</f>
        <v>ELD4T5-2M40-q</v>
      </c>
      <c r="AI149" s="1" t="str">
        <f>_xlfn.IFNA(VLOOKUP(Master_Reference[[#This Row],[C-Flex 5000K Eco Part Number]],Lutron_CFlex_Lookup[],MATCH("Lutron Kit PN",Lutron_CFlex_Lookup[#Headers],0),FALSE),"")</f>
        <v>ELD4T5-2M50-q</v>
      </c>
      <c r="AJ149" s="1" t="str">
        <f>_xlfn.IFNA(VLOOKUP(Master_Reference[[#This Row],[C-Flex 3000K 3W Part Number]],Lutron_CFlex_Lookup[],MATCH("Lutron Kit PN",Lutron_CFlex_Lookup[#Headers],0),FALSE),"")</f>
        <v>3LD4T5-2M30-q</v>
      </c>
      <c r="AK149" s="1" t="str">
        <f>_xlfn.IFNA(VLOOKUP(Master_Reference[[#This Row],[C-Flex 3500K 3W Part Number]],Lutron_CFlex_Lookup[],MATCH("Lutron Kit PN",Lutron_CFlex_Lookup[#Headers],0),FALSE),"")</f>
        <v>3LD4T5-2M35-q</v>
      </c>
      <c r="AL149" s="1" t="str">
        <f>_xlfn.IFNA(VLOOKUP(Master_Reference[[#This Row],[C-Flex 4000K 3W Part Number]],Lutron_CFlex_Lookup[],MATCH("Lutron Kit PN",Lutron_CFlex_Lookup[#Headers],0),FALSE),"")</f>
        <v>3LD4T5-2M40-q</v>
      </c>
      <c r="AM149" s="1" t="str">
        <f>_xlfn.IFNA(VLOOKUP(Master_Reference[[#This Row],[C-Flex 5000K 3W Part Number]],Lutron_CFlex_Lookup[],MATCH("Lutron Kit PN",Lutron_CFlex_Lookup[#Headers],0),FALSE),"")</f>
        <v>3LD4T5-2M50-q</v>
      </c>
      <c r="AN149" s="1" t="b">
        <f>NOT(ISNA(VLOOKUP(Master_Reference[[#This Row],[Model Number]],ObsoleteModels[],1,FALSE)))</f>
        <v>1</v>
      </c>
      <c r="AO149" s="1" t="str">
        <f>IF(LEFT(Master_Reference[[#This Row],[Model Number]],1)="U",LEFT(Master_Reference[[#This Row],[Model Number]],4),LEFT(Master_Reference[[#This Row],[Model Number]],3))</f>
        <v>EC5</v>
      </c>
    </row>
    <row r="150" spans="1:41" x14ac:dyDescent="0.25">
      <c r="A150" s="2" t="s">
        <v>392</v>
      </c>
      <c r="B150" s="1" t="b">
        <v>1</v>
      </c>
      <c r="C150" s="1" t="b">
        <v>1</v>
      </c>
      <c r="F150" s="1" t="b">
        <v>1</v>
      </c>
      <c r="G150" s="1" t="b">
        <f>IF(OR(LEFT(RIGHT(Master_Reference[[#This Row],[Model Number]],3),1)="C",LEFT(RIGHT(Master_Reference[[#This Row],[Model Number]],4),1)="C"),TRUE,"")</f>
        <v>1</v>
      </c>
      <c r="H150" s="1" t="str">
        <f>IF(LEFT(Master_Reference[[#This Row],[Model Number]],1)="U",TRUE,"")</f>
        <v/>
      </c>
      <c r="I150" s="1" t="b">
        <f>IF(Master_Reference[[#This Row],[Lamp Type]]="T4","",IF(Master_Reference[[#This Row],[Case Type]]="M","",TRUE))</f>
        <v>1</v>
      </c>
      <c r="J150" s="1" t="str">
        <f t="shared" si="3"/>
        <v>T5</v>
      </c>
      <c r="K150" s="1">
        <v>28</v>
      </c>
      <c r="L150" s="1" t="s">
        <v>118</v>
      </c>
      <c r="M150" s="1">
        <v>2</v>
      </c>
      <c r="N150" s="1" t="s">
        <v>149</v>
      </c>
      <c r="O150" s="1" t="s">
        <v>320</v>
      </c>
      <c r="R150" t="b">
        <f>IF(COUNTBLANK(Master_Reference[[#This Row],[C-Flex 3000K Eco Part Number]:[C-Flex 4000K Eco Part Number]])=3,FALSE,TRUE)</f>
        <v>0</v>
      </c>
      <c r="S150" t="b">
        <f>IF(COUNTBLANK(Master_Reference[[#This Row],[C-Flex 3000K 3W Part Number]:[C-Flex 4000K 3W Part Number]])=3,FALSE,TRUE)</f>
        <v>0</v>
      </c>
      <c r="T150" t="b">
        <f>IF(COUNTBLANK(Master_Reference[[#This Row],[Lutron 3000K Eco Part Number]:[Lutron 4000K Eco Part Number]])=3,FALSE,TRUE)</f>
        <v>0</v>
      </c>
      <c r="U150" t="b">
        <f>IF(COUNTBLANK(Master_Reference[[#This Row],[Lutron 3000K 3W Part Number]:[Lutron 4000K 3W Part Number]])=3,FALSE,TRUE)</f>
        <v>0</v>
      </c>
      <c r="V150" s="12"/>
      <c r="W150" s="12"/>
      <c r="X150" s="12"/>
      <c r="Y150" t="s">
        <v>2125</v>
      </c>
      <c r="Z150" s="12"/>
      <c r="AA150" s="12"/>
      <c r="AB150" s="12"/>
      <c r="AC150" t="s">
        <v>2125</v>
      </c>
      <c r="AD150" t="str">
        <f>SUBSTITUTE(Master_Reference[[#This Row],[C-Flex 4000K Eco Part Number]],"40-","xx-")</f>
        <v/>
      </c>
      <c r="AE150" t="str">
        <f>SUBSTITUTE(Master_Reference[[#This Row],[C-Flex 4000K 3W Part Number]],"40-","xx-")</f>
        <v/>
      </c>
      <c r="AF150" s="1" t="str">
        <f>_xlfn.IFNA(VLOOKUP(Master_Reference[[#This Row],[C-Flex 3000K Eco Part Number]],Lutron_CFlex_Lookup[],MATCH("Lutron Kit PN",Lutron_CFlex_Lookup[#Headers],0),FALSE),"")</f>
        <v/>
      </c>
      <c r="AG150" s="1" t="str">
        <f>_xlfn.IFNA(VLOOKUP(Master_Reference[[#This Row],[C-Flex 3500K Eco Part Number]],Lutron_CFlex_Lookup[],MATCH("Lutron Kit PN",Lutron_CFlex_Lookup[#Headers],0),FALSE),"")</f>
        <v/>
      </c>
      <c r="AH150" s="1" t="str">
        <f>_xlfn.IFNA(VLOOKUP(Master_Reference[[#This Row],[C-Flex 4000K Eco Part Number]],Lutron_CFlex_Lookup[],MATCH("Lutron Kit PN",Lutron_CFlex_Lookup[#Headers],0),FALSE),"")</f>
        <v/>
      </c>
      <c r="AI150" s="1" t="str">
        <f>_xlfn.IFNA(VLOOKUP(Master_Reference[[#This Row],[C-Flex 5000K Eco Part Number]],Lutron_CFlex_Lookup[],MATCH("Lutron Kit PN",Lutron_CFlex_Lookup[#Headers],0),FALSE),"")</f>
        <v/>
      </c>
      <c r="AJ150" s="1" t="str">
        <f>_xlfn.IFNA(VLOOKUP(Master_Reference[[#This Row],[C-Flex 3000K 3W Part Number]],Lutron_CFlex_Lookup[],MATCH("Lutron Kit PN",Lutron_CFlex_Lookup[#Headers],0),FALSE),"")</f>
        <v/>
      </c>
      <c r="AK150" s="1" t="str">
        <f>_xlfn.IFNA(VLOOKUP(Master_Reference[[#This Row],[C-Flex 3500K 3W Part Number]],Lutron_CFlex_Lookup[],MATCH("Lutron Kit PN",Lutron_CFlex_Lookup[#Headers],0),FALSE),"")</f>
        <v/>
      </c>
      <c r="AL150" s="1" t="str">
        <f>_xlfn.IFNA(VLOOKUP(Master_Reference[[#This Row],[C-Flex 4000K 3W Part Number]],Lutron_CFlex_Lookup[],MATCH("Lutron Kit PN",Lutron_CFlex_Lookup[#Headers],0),FALSE),"")</f>
        <v/>
      </c>
      <c r="AM150" s="1" t="str">
        <f>_xlfn.IFNA(VLOOKUP(Master_Reference[[#This Row],[C-Flex 5000K 3W Part Number]],Lutron_CFlex_Lookup[],MATCH("Lutron Kit PN",Lutron_CFlex_Lookup[#Headers],0),FALSE),"")</f>
        <v/>
      </c>
      <c r="AN150" s="1" t="b">
        <f>NOT(ISNA(VLOOKUP(Master_Reference[[#This Row],[Model Number]],ObsoleteModels[],1,FALSE)))</f>
        <v>1</v>
      </c>
      <c r="AO150" s="1" t="str">
        <f>IF(LEFT(Master_Reference[[#This Row],[Model Number]],1)="U",LEFT(Master_Reference[[#This Row],[Model Number]],4),LEFT(Master_Reference[[#This Row],[Model Number]],3))</f>
        <v>EC5</v>
      </c>
    </row>
    <row r="151" spans="1:41" x14ac:dyDescent="0.25">
      <c r="A151" s="2" t="s">
        <v>393</v>
      </c>
      <c r="B151" s="1" t="b">
        <v>1</v>
      </c>
      <c r="C151" s="1" t="b">
        <v>1</v>
      </c>
      <c r="F151" s="1" t="b">
        <v>1</v>
      </c>
      <c r="G151" s="1" t="str">
        <f>IF(OR(LEFT(RIGHT(Master_Reference[[#This Row],[Model Number]],3),1)="C",LEFT(RIGHT(Master_Reference[[#This Row],[Model Number]],4),1)="C"),TRUE,"")</f>
        <v/>
      </c>
      <c r="H151" s="1" t="str">
        <f>IF(LEFT(Master_Reference[[#This Row],[Model Number]],1)="U",TRUE,"")</f>
        <v/>
      </c>
      <c r="I151" s="1" t="b">
        <f>IF(Master_Reference[[#This Row],[Lamp Type]]="T4","",IF(Master_Reference[[#This Row],[Case Type]]="M","",TRUE))</f>
        <v>1</v>
      </c>
      <c r="J151" s="1" t="str">
        <f t="shared" si="3"/>
        <v>T5</v>
      </c>
      <c r="K151" s="1">
        <v>28</v>
      </c>
      <c r="L151" s="1" t="s">
        <v>118</v>
      </c>
      <c r="M151" s="1">
        <v>2</v>
      </c>
      <c r="N151" s="1" t="s">
        <v>149</v>
      </c>
      <c r="O151" s="1" t="s">
        <v>320</v>
      </c>
      <c r="Q151" s="1" t="s">
        <v>91</v>
      </c>
      <c r="R151" t="b">
        <f>IF(COUNTBLANK(Master_Reference[[#This Row],[C-Flex 3000K Eco Part Number]:[C-Flex 4000K Eco Part Number]])=3,FALSE,TRUE)</f>
        <v>0</v>
      </c>
      <c r="S151" t="b">
        <f>IF(COUNTBLANK(Master_Reference[[#This Row],[C-Flex 3000K 3W Part Number]:[C-Flex 4000K 3W Part Number]])=3,FALSE,TRUE)</f>
        <v>0</v>
      </c>
      <c r="T151" t="b">
        <f>IF(COUNTBLANK(Master_Reference[[#This Row],[Lutron 3000K Eco Part Number]:[Lutron 4000K Eco Part Number]])=3,FALSE,TRUE)</f>
        <v>0</v>
      </c>
      <c r="U151" t="b">
        <f>IF(COUNTBLANK(Master_Reference[[#This Row],[Lutron 3000K 3W Part Number]:[Lutron 4000K 3W Part Number]])=3,FALSE,TRUE)</f>
        <v>0</v>
      </c>
      <c r="V151" s="12"/>
      <c r="W151" s="12"/>
      <c r="X151" s="12"/>
      <c r="Y151" t="s">
        <v>2125</v>
      </c>
      <c r="Z151" s="12"/>
      <c r="AA151" s="12"/>
      <c r="AB151" s="12"/>
      <c r="AC151" t="s">
        <v>2125</v>
      </c>
      <c r="AD151" t="str">
        <f>SUBSTITUTE(Master_Reference[[#This Row],[C-Flex 4000K Eco Part Number]],"40-","xx-")</f>
        <v/>
      </c>
      <c r="AE151" t="str">
        <f>SUBSTITUTE(Master_Reference[[#This Row],[C-Flex 4000K 3W Part Number]],"40-","xx-")</f>
        <v/>
      </c>
      <c r="AF151" s="1" t="str">
        <f>_xlfn.IFNA(VLOOKUP(Master_Reference[[#This Row],[C-Flex 3000K Eco Part Number]],Lutron_CFlex_Lookup[],MATCH("Lutron Kit PN",Lutron_CFlex_Lookup[#Headers],0),FALSE),"")</f>
        <v/>
      </c>
      <c r="AG151" s="1" t="str">
        <f>_xlfn.IFNA(VLOOKUP(Master_Reference[[#This Row],[C-Flex 3500K Eco Part Number]],Lutron_CFlex_Lookup[],MATCH("Lutron Kit PN",Lutron_CFlex_Lookup[#Headers],0),FALSE),"")</f>
        <v/>
      </c>
      <c r="AH151" s="1" t="str">
        <f>_xlfn.IFNA(VLOOKUP(Master_Reference[[#This Row],[C-Flex 4000K Eco Part Number]],Lutron_CFlex_Lookup[],MATCH("Lutron Kit PN",Lutron_CFlex_Lookup[#Headers],0),FALSE),"")</f>
        <v/>
      </c>
      <c r="AI151" s="1" t="str">
        <f>_xlfn.IFNA(VLOOKUP(Master_Reference[[#This Row],[C-Flex 5000K Eco Part Number]],Lutron_CFlex_Lookup[],MATCH("Lutron Kit PN",Lutron_CFlex_Lookup[#Headers],0),FALSE),"")</f>
        <v/>
      </c>
      <c r="AJ151" s="1" t="str">
        <f>_xlfn.IFNA(VLOOKUP(Master_Reference[[#This Row],[C-Flex 3000K 3W Part Number]],Lutron_CFlex_Lookup[],MATCH("Lutron Kit PN",Lutron_CFlex_Lookup[#Headers],0),FALSE),"")</f>
        <v/>
      </c>
      <c r="AK151" s="1" t="str">
        <f>_xlfn.IFNA(VLOOKUP(Master_Reference[[#This Row],[C-Flex 3500K 3W Part Number]],Lutron_CFlex_Lookup[],MATCH("Lutron Kit PN",Lutron_CFlex_Lookup[#Headers],0),FALSE),"")</f>
        <v/>
      </c>
      <c r="AL151" s="1" t="str">
        <f>_xlfn.IFNA(VLOOKUP(Master_Reference[[#This Row],[C-Flex 4000K 3W Part Number]],Lutron_CFlex_Lookup[],MATCH("Lutron Kit PN",Lutron_CFlex_Lookup[#Headers],0),FALSE),"")</f>
        <v/>
      </c>
      <c r="AM151" s="1" t="str">
        <f>_xlfn.IFNA(VLOOKUP(Master_Reference[[#This Row],[C-Flex 5000K 3W Part Number]],Lutron_CFlex_Lookup[],MATCH("Lutron Kit PN",Lutron_CFlex_Lookup[#Headers],0),FALSE),"")</f>
        <v/>
      </c>
      <c r="AN151" s="1" t="b">
        <f>NOT(ISNA(VLOOKUP(Master_Reference[[#This Row],[Model Number]],ObsoleteModels[],1,FALSE)))</f>
        <v>0</v>
      </c>
      <c r="AO151" s="1" t="str">
        <f>IF(LEFT(Master_Reference[[#This Row],[Model Number]],1)="U",LEFT(Master_Reference[[#This Row],[Model Number]],4),LEFT(Master_Reference[[#This Row],[Model Number]],3))</f>
        <v>EC5</v>
      </c>
    </row>
    <row r="152" spans="1:41" x14ac:dyDescent="0.25">
      <c r="A152" s="2" t="s">
        <v>394</v>
      </c>
      <c r="B152" s="1" t="b">
        <v>1</v>
      </c>
      <c r="C152" s="1" t="b">
        <v>1</v>
      </c>
      <c r="F152" s="1" t="b">
        <v>1</v>
      </c>
      <c r="G152" s="1" t="str">
        <f>IF(OR(LEFT(RIGHT(Master_Reference[[#This Row],[Model Number]],3),1)="C",LEFT(RIGHT(Master_Reference[[#This Row],[Model Number]],4),1)="C"),TRUE,"")</f>
        <v/>
      </c>
      <c r="H152" s="1" t="str">
        <f>IF(LEFT(Master_Reference[[#This Row],[Model Number]],1)="U",TRUE,"")</f>
        <v/>
      </c>
      <c r="I152" s="1" t="b">
        <f>IF(Master_Reference[[#This Row],[Lamp Type]]="T4","",IF(Master_Reference[[#This Row],[Case Type]]="M","",TRUE))</f>
        <v>1</v>
      </c>
      <c r="J152" s="1" t="str">
        <f t="shared" si="3"/>
        <v>T5</v>
      </c>
      <c r="K152" s="1">
        <v>35</v>
      </c>
      <c r="L152" s="1" t="s">
        <v>220</v>
      </c>
      <c r="M152" s="1">
        <v>1</v>
      </c>
      <c r="N152" s="1" t="s">
        <v>149</v>
      </c>
      <c r="O152" s="1" t="s">
        <v>320</v>
      </c>
      <c r="R152" t="b">
        <f>IF(COUNTBLANK(Master_Reference[[#This Row],[C-Flex 3000K Eco Part Number]:[C-Flex 4000K Eco Part Number]])=3,FALSE,TRUE)</f>
        <v>0</v>
      </c>
      <c r="S152" t="b">
        <f>IF(COUNTBLANK(Master_Reference[[#This Row],[C-Flex 3000K 3W Part Number]:[C-Flex 4000K 3W Part Number]])=3,FALSE,TRUE)</f>
        <v>0</v>
      </c>
      <c r="T152" t="b">
        <f>IF(COUNTBLANK(Master_Reference[[#This Row],[Lutron 3000K Eco Part Number]:[Lutron 4000K Eco Part Number]])=3,FALSE,TRUE)</f>
        <v>0</v>
      </c>
      <c r="U152" t="b">
        <f>IF(COUNTBLANK(Master_Reference[[#This Row],[Lutron 3000K 3W Part Number]:[Lutron 4000K 3W Part Number]])=3,FALSE,TRUE)</f>
        <v>0</v>
      </c>
      <c r="V152" s="12"/>
      <c r="W152" s="12"/>
      <c r="X152" s="12"/>
      <c r="Y152" t="s">
        <v>2125</v>
      </c>
      <c r="Z152" s="12"/>
      <c r="AA152" s="12"/>
      <c r="AB152" s="12"/>
      <c r="AC152" t="s">
        <v>2125</v>
      </c>
      <c r="AD152" t="str">
        <f>SUBSTITUTE(Master_Reference[[#This Row],[C-Flex 4000K Eco Part Number]],"40-","xx-")</f>
        <v/>
      </c>
      <c r="AE152" t="str">
        <f>SUBSTITUTE(Master_Reference[[#This Row],[C-Flex 4000K 3W Part Number]],"40-","xx-")</f>
        <v/>
      </c>
      <c r="AF152" s="1" t="str">
        <f>_xlfn.IFNA(VLOOKUP(Master_Reference[[#This Row],[C-Flex 3000K Eco Part Number]],Lutron_CFlex_Lookup[],MATCH("Lutron Kit PN",Lutron_CFlex_Lookup[#Headers],0),FALSE),"")</f>
        <v/>
      </c>
      <c r="AG152" s="1" t="str">
        <f>_xlfn.IFNA(VLOOKUP(Master_Reference[[#This Row],[C-Flex 3500K Eco Part Number]],Lutron_CFlex_Lookup[],MATCH("Lutron Kit PN",Lutron_CFlex_Lookup[#Headers],0),FALSE),"")</f>
        <v/>
      </c>
      <c r="AH152" s="1" t="str">
        <f>_xlfn.IFNA(VLOOKUP(Master_Reference[[#This Row],[C-Flex 4000K Eco Part Number]],Lutron_CFlex_Lookup[],MATCH("Lutron Kit PN",Lutron_CFlex_Lookup[#Headers],0),FALSE),"")</f>
        <v/>
      </c>
      <c r="AI152" s="1" t="str">
        <f>_xlfn.IFNA(VLOOKUP(Master_Reference[[#This Row],[C-Flex 5000K Eco Part Number]],Lutron_CFlex_Lookup[],MATCH("Lutron Kit PN",Lutron_CFlex_Lookup[#Headers],0),FALSE),"")</f>
        <v/>
      </c>
      <c r="AJ152" s="1" t="str">
        <f>_xlfn.IFNA(VLOOKUP(Master_Reference[[#This Row],[C-Flex 3000K 3W Part Number]],Lutron_CFlex_Lookup[],MATCH("Lutron Kit PN",Lutron_CFlex_Lookup[#Headers],0),FALSE),"")</f>
        <v/>
      </c>
      <c r="AK152" s="1" t="str">
        <f>_xlfn.IFNA(VLOOKUP(Master_Reference[[#This Row],[C-Flex 3500K 3W Part Number]],Lutron_CFlex_Lookup[],MATCH("Lutron Kit PN",Lutron_CFlex_Lookup[#Headers],0),FALSE),"")</f>
        <v/>
      </c>
      <c r="AL152" s="1" t="str">
        <f>_xlfn.IFNA(VLOOKUP(Master_Reference[[#This Row],[C-Flex 4000K 3W Part Number]],Lutron_CFlex_Lookup[],MATCH("Lutron Kit PN",Lutron_CFlex_Lookup[#Headers],0),FALSE),"")</f>
        <v/>
      </c>
      <c r="AM152" s="1" t="str">
        <f>_xlfn.IFNA(VLOOKUP(Master_Reference[[#This Row],[C-Flex 5000K 3W Part Number]],Lutron_CFlex_Lookup[],MATCH("Lutron Kit PN",Lutron_CFlex_Lookup[#Headers],0),FALSE),"")</f>
        <v/>
      </c>
      <c r="AN152" s="1" t="b">
        <f>NOT(ISNA(VLOOKUP(Master_Reference[[#This Row],[Model Number]],ObsoleteModels[],1,FALSE)))</f>
        <v>0</v>
      </c>
      <c r="AO152" s="1" t="str">
        <f>IF(LEFT(Master_Reference[[#This Row],[Model Number]],1)="U",LEFT(Master_Reference[[#This Row],[Model Number]],4),LEFT(Master_Reference[[#This Row],[Model Number]],3))</f>
        <v>EC5</v>
      </c>
    </row>
    <row r="153" spans="1:41" x14ac:dyDescent="0.25">
      <c r="A153" s="2" t="s">
        <v>395</v>
      </c>
      <c r="B153" s="1" t="b">
        <v>1</v>
      </c>
      <c r="C153" s="1" t="b">
        <v>1</v>
      </c>
      <c r="F153" s="1" t="b">
        <v>1</v>
      </c>
      <c r="G153" s="1" t="b">
        <f>IF(OR(LEFT(RIGHT(Master_Reference[[#This Row],[Model Number]],3),1)="C",LEFT(RIGHT(Master_Reference[[#This Row],[Model Number]],4),1)="C"),TRUE,"")</f>
        <v>1</v>
      </c>
      <c r="H153" s="1" t="str">
        <f>IF(LEFT(Master_Reference[[#This Row],[Model Number]],1)="U",TRUE,"")</f>
        <v/>
      </c>
      <c r="I153" s="1" t="b">
        <f>IF(Master_Reference[[#This Row],[Lamp Type]]="T4","",IF(Master_Reference[[#This Row],[Case Type]]="M","",TRUE))</f>
        <v>1</v>
      </c>
      <c r="J153" s="1" t="str">
        <f t="shared" si="3"/>
        <v>T5</v>
      </c>
      <c r="K153" s="1">
        <v>35</v>
      </c>
      <c r="L153" s="1" t="s">
        <v>220</v>
      </c>
      <c r="M153" s="1">
        <v>1</v>
      </c>
      <c r="N153" s="1" t="s">
        <v>149</v>
      </c>
      <c r="O153" s="1" t="s">
        <v>320</v>
      </c>
      <c r="R153" t="b">
        <f>IF(COUNTBLANK(Master_Reference[[#This Row],[C-Flex 3000K Eco Part Number]:[C-Flex 4000K Eco Part Number]])=3,FALSE,TRUE)</f>
        <v>0</v>
      </c>
      <c r="S153" t="b">
        <f>IF(COUNTBLANK(Master_Reference[[#This Row],[C-Flex 3000K 3W Part Number]:[C-Flex 4000K 3W Part Number]])=3,FALSE,TRUE)</f>
        <v>0</v>
      </c>
      <c r="T153" t="b">
        <f>IF(COUNTBLANK(Master_Reference[[#This Row],[Lutron 3000K Eco Part Number]:[Lutron 4000K Eco Part Number]])=3,FALSE,TRUE)</f>
        <v>0</v>
      </c>
      <c r="U153" t="b">
        <f>IF(COUNTBLANK(Master_Reference[[#This Row],[Lutron 3000K 3W Part Number]:[Lutron 4000K 3W Part Number]])=3,FALSE,TRUE)</f>
        <v>0</v>
      </c>
      <c r="V153" s="12"/>
      <c r="W153" s="12"/>
      <c r="X153" s="12"/>
      <c r="Y153" t="s">
        <v>2125</v>
      </c>
      <c r="Z153" s="12"/>
      <c r="AA153" s="12"/>
      <c r="AB153" s="12"/>
      <c r="AC153" t="s">
        <v>2125</v>
      </c>
      <c r="AD153" t="str">
        <f>SUBSTITUTE(Master_Reference[[#This Row],[C-Flex 4000K Eco Part Number]],"40-","xx-")</f>
        <v/>
      </c>
      <c r="AE153" t="str">
        <f>SUBSTITUTE(Master_Reference[[#This Row],[C-Flex 4000K 3W Part Number]],"40-","xx-")</f>
        <v/>
      </c>
      <c r="AF153" s="1" t="str">
        <f>_xlfn.IFNA(VLOOKUP(Master_Reference[[#This Row],[C-Flex 3000K Eco Part Number]],Lutron_CFlex_Lookup[],MATCH("Lutron Kit PN",Lutron_CFlex_Lookup[#Headers],0),FALSE),"")</f>
        <v/>
      </c>
      <c r="AG153" s="1" t="str">
        <f>_xlfn.IFNA(VLOOKUP(Master_Reference[[#This Row],[C-Flex 3500K Eco Part Number]],Lutron_CFlex_Lookup[],MATCH("Lutron Kit PN",Lutron_CFlex_Lookup[#Headers],0),FALSE),"")</f>
        <v/>
      </c>
      <c r="AH153" s="1" t="str">
        <f>_xlfn.IFNA(VLOOKUP(Master_Reference[[#This Row],[C-Flex 4000K Eco Part Number]],Lutron_CFlex_Lookup[],MATCH("Lutron Kit PN",Lutron_CFlex_Lookup[#Headers],0),FALSE),"")</f>
        <v/>
      </c>
      <c r="AI153" s="1" t="str">
        <f>_xlfn.IFNA(VLOOKUP(Master_Reference[[#This Row],[C-Flex 5000K Eco Part Number]],Lutron_CFlex_Lookup[],MATCH("Lutron Kit PN",Lutron_CFlex_Lookup[#Headers],0),FALSE),"")</f>
        <v/>
      </c>
      <c r="AJ153" s="1" t="str">
        <f>_xlfn.IFNA(VLOOKUP(Master_Reference[[#This Row],[C-Flex 3000K 3W Part Number]],Lutron_CFlex_Lookup[],MATCH("Lutron Kit PN",Lutron_CFlex_Lookup[#Headers],0),FALSE),"")</f>
        <v/>
      </c>
      <c r="AK153" s="1" t="str">
        <f>_xlfn.IFNA(VLOOKUP(Master_Reference[[#This Row],[C-Flex 3500K 3W Part Number]],Lutron_CFlex_Lookup[],MATCH("Lutron Kit PN",Lutron_CFlex_Lookup[#Headers],0),FALSE),"")</f>
        <v/>
      </c>
      <c r="AL153" s="1" t="str">
        <f>_xlfn.IFNA(VLOOKUP(Master_Reference[[#This Row],[C-Flex 4000K 3W Part Number]],Lutron_CFlex_Lookup[],MATCH("Lutron Kit PN",Lutron_CFlex_Lookup[#Headers],0),FALSE),"")</f>
        <v/>
      </c>
      <c r="AM153" s="1" t="str">
        <f>_xlfn.IFNA(VLOOKUP(Master_Reference[[#This Row],[C-Flex 5000K 3W Part Number]],Lutron_CFlex_Lookup[],MATCH("Lutron Kit PN",Lutron_CFlex_Lookup[#Headers],0),FALSE),"")</f>
        <v/>
      </c>
      <c r="AN153" s="1" t="b">
        <f>NOT(ISNA(VLOOKUP(Master_Reference[[#This Row],[Model Number]],ObsoleteModels[],1,FALSE)))</f>
        <v>1</v>
      </c>
      <c r="AO153" s="1" t="str">
        <f>IF(LEFT(Master_Reference[[#This Row],[Model Number]],1)="U",LEFT(Master_Reference[[#This Row],[Model Number]],4),LEFT(Master_Reference[[#This Row],[Model Number]],3))</f>
        <v>EC5</v>
      </c>
    </row>
    <row r="154" spans="1:41" x14ac:dyDescent="0.25">
      <c r="A154" s="2" t="s">
        <v>396</v>
      </c>
      <c r="B154" s="1" t="b">
        <v>1</v>
      </c>
      <c r="C154" s="1" t="b">
        <v>1</v>
      </c>
      <c r="F154" s="1" t="b">
        <v>1</v>
      </c>
      <c r="G154" s="1" t="b">
        <f>IF(OR(LEFT(RIGHT(Master_Reference[[#This Row],[Model Number]],3),1)="C",LEFT(RIGHT(Master_Reference[[#This Row],[Model Number]],4),1)="C"),TRUE,"")</f>
        <v>1</v>
      </c>
      <c r="H154" s="1" t="str">
        <f>IF(LEFT(Master_Reference[[#This Row],[Model Number]],1)="U",TRUE,"")</f>
        <v/>
      </c>
      <c r="I154" s="1" t="b">
        <f>IF(Master_Reference[[#This Row],[Lamp Type]]="T4","",IF(Master_Reference[[#This Row],[Case Type]]="M","",TRUE))</f>
        <v>1</v>
      </c>
      <c r="J154" s="1" t="str">
        <f t="shared" si="3"/>
        <v>T5</v>
      </c>
      <c r="K154" s="1">
        <v>35</v>
      </c>
      <c r="L154" s="1" t="s">
        <v>220</v>
      </c>
      <c r="M154" s="1">
        <v>1</v>
      </c>
      <c r="N154" s="1" t="s">
        <v>149</v>
      </c>
      <c r="O154" s="1" t="s">
        <v>320</v>
      </c>
      <c r="R154" t="b">
        <f>IF(COUNTBLANK(Master_Reference[[#This Row],[C-Flex 3000K Eco Part Number]:[C-Flex 4000K Eco Part Number]])=3,FALSE,TRUE)</f>
        <v>0</v>
      </c>
      <c r="S154" t="b">
        <f>IF(COUNTBLANK(Master_Reference[[#This Row],[C-Flex 3000K 3W Part Number]:[C-Flex 4000K 3W Part Number]])=3,FALSE,TRUE)</f>
        <v>0</v>
      </c>
      <c r="T154" t="b">
        <f>IF(COUNTBLANK(Master_Reference[[#This Row],[Lutron 3000K Eco Part Number]:[Lutron 4000K Eco Part Number]])=3,FALSE,TRUE)</f>
        <v>0</v>
      </c>
      <c r="U154" t="b">
        <f>IF(COUNTBLANK(Master_Reference[[#This Row],[Lutron 3000K 3W Part Number]:[Lutron 4000K 3W Part Number]])=3,FALSE,TRUE)</f>
        <v>0</v>
      </c>
      <c r="V154" s="12"/>
      <c r="W154" s="12"/>
      <c r="X154" s="12"/>
      <c r="Y154" t="s">
        <v>2125</v>
      </c>
      <c r="Z154" s="12"/>
      <c r="AA154" s="12"/>
      <c r="AB154" s="12"/>
      <c r="AC154" t="s">
        <v>2125</v>
      </c>
      <c r="AD154" t="str">
        <f>SUBSTITUTE(Master_Reference[[#This Row],[C-Flex 4000K Eco Part Number]],"40-","xx-")</f>
        <v/>
      </c>
      <c r="AE154" t="str">
        <f>SUBSTITUTE(Master_Reference[[#This Row],[C-Flex 4000K 3W Part Number]],"40-","xx-")</f>
        <v/>
      </c>
      <c r="AF154" s="1" t="str">
        <f>_xlfn.IFNA(VLOOKUP(Master_Reference[[#This Row],[C-Flex 3000K Eco Part Number]],Lutron_CFlex_Lookup[],MATCH("Lutron Kit PN",Lutron_CFlex_Lookup[#Headers],0),FALSE),"")</f>
        <v/>
      </c>
      <c r="AG154" s="1" t="str">
        <f>_xlfn.IFNA(VLOOKUP(Master_Reference[[#This Row],[C-Flex 3500K Eco Part Number]],Lutron_CFlex_Lookup[],MATCH("Lutron Kit PN",Lutron_CFlex_Lookup[#Headers],0),FALSE),"")</f>
        <v/>
      </c>
      <c r="AH154" s="1" t="str">
        <f>_xlfn.IFNA(VLOOKUP(Master_Reference[[#This Row],[C-Flex 4000K Eco Part Number]],Lutron_CFlex_Lookup[],MATCH("Lutron Kit PN",Lutron_CFlex_Lookup[#Headers],0),FALSE),"")</f>
        <v/>
      </c>
      <c r="AI154" s="1" t="str">
        <f>_xlfn.IFNA(VLOOKUP(Master_Reference[[#This Row],[C-Flex 5000K Eco Part Number]],Lutron_CFlex_Lookup[],MATCH("Lutron Kit PN",Lutron_CFlex_Lookup[#Headers],0),FALSE),"")</f>
        <v/>
      </c>
      <c r="AJ154" s="1" t="str">
        <f>_xlfn.IFNA(VLOOKUP(Master_Reference[[#This Row],[C-Flex 3000K 3W Part Number]],Lutron_CFlex_Lookup[],MATCH("Lutron Kit PN",Lutron_CFlex_Lookup[#Headers],0),FALSE),"")</f>
        <v/>
      </c>
      <c r="AK154" s="1" t="str">
        <f>_xlfn.IFNA(VLOOKUP(Master_Reference[[#This Row],[C-Flex 3500K 3W Part Number]],Lutron_CFlex_Lookup[],MATCH("Lutron Kit PN",Lutron_CFlex_Lookup[#Headers],0),FALSE),"")</f>
        <v/>
      </c>
      <c r="AL154" s="1" t="str">
        <f>_xlfn.IFNA(VLOOKUP(Master_Reference[[#This Row],[C-Flex 4000K 3W Part Number]],Lutron_CFlex_Lookup[],MATCH("Lutron Kit PN",Lutron_CFlex_Lookup[#Headers],0),FALSE),"")</f>
        <v/>
      </c>
      <c r="AM154" s="1" t="str">
        <f>_xlfn.IFNA(VLOOKUP(Master_Reference[[#This Row],[C-Flex 5000K 3W Part Number]],Lutron_CFlex_Lookup[],MATCH("Lutron Kit PN",Lutron_CFlex_Lookup[#Headers],0),FALSE),"")</f>
        <v/>
      </c>
      <c r="AN154" s="1" t="b">
        <f>NOT(ISNA(VLOOKUP(Master_Reference[[#This Row],[Model Number]],ObsoleteModels[],1,FALSE)))</f>
        <v>1</v>
      </c>
      <c r="AO154" s="1" t="str">
        <f>IF(LEFT(Master_Reference[[#This Row],[Model Number]],1)="U",LEFT(Master_Reference[[#This Row],[Model Number]],4),LEFT(Master_Reference[[#This Row],[Model Number]],3))</f>
        <v>EC5</v>
      </c>
    </row>
    <row r="155" spans="1:41" x14ac:dyDescent="0.25">
      <c r="A155" s="2" t="s">
        <v>397</v>
      </c>
      <c r="B155" s="1" t="b">
        <v>1</v>
      </c>
      <c r="C155" s="1" t="b">
        <v>1</v>
      </c>
      <c r="F155" s="1" t="b">
        <v>1</v>
      </c>
      <c r="G155" s="1" t="b">
        <f>IF(OR(LEFT(RIGHT(Master_Reference[[#This Row],[Model Number]],3),1)="C",LEFT(RIGHT(Master_Reference[[#This Row],[Model Number]],4),1)="C"),TRUE,"")</f>
        <v>1</v>
      </c>
      <c r="H155" s="1" t="str">
        <f>IF(LEFT(Master_Reference[[#This Row],[Model Number]],1)="U",TRUE,"")</f>
        <v/>
      </c>
      <c r="I155" s="1" t="b">
        <f>IF(Master_Reference[[#This Row],[Lamp Type]]="T4","",IF(Master_Reference[[#This Row],[Case Type]]="M","",TRUE))</f>
        <v>1</v>
      </c>
      <c r="J155" s="1" t="str">
        <f t="shared" si="3"/>
        <v>T5</v>
      </c>
      <c r="K155" s="1">
        <v>35</v>
      </c>
      <c r="L155" s="1" t="s">
        <v>220</v>
      </c>
      <c r="M155" s="1">
        <v>1</v>
      </c>
      <c r="N155" s="1" t="s">
        <v>149</v>
      </c>
      <c r="O155" s="1" t="s">
        <v>320</v>
      </c>
      <c r="R155" t="b">
        <f>IF(COUNTBLANK(Master_Reference[[#This Row],[C-Flex 3000K Eco Part Number]:[C-Flex 4000K Eco Part Number]])=3,FALSE,TRUE)</f>
        <v>0</v>
      </c>
      <c r="S155" t="b">
        <f>IF(COUNTBLANK(Master_Reference[[#This Row],[C-Flex 3000K 3W Part Number]:[C-Flex 4000K 3W Part Number]])=3,FALSE,TRUE)</f>
        <v>0</v>
      </c>
      <c r="T155" t="b">
        <f>IF(COUNTBLANK(Master_Reference[[#This Row],[Lutron 3000K Eco Part Number]:[Lutron 4000K Eco Part Number]])=3,FALSE,TRUE)</f>
        <v>0</v>
      </c>
      <c r="U155" t="b">
        <f>IF(COUNTBLANK(Master_Reference[[#This Row],[Lutron 3000K 3W Part Number]:[Lutron 4000K 3W Part Number]])=3,FALSE,TRUE)</f>
        <v>0</v>
      </c>
      <c r="V155" s="12"/>
      <c r="W155" s="12"/>
      <c r="X155" s="12"/>
      <c r="Y155" t="s">
        <v>2125</v>
      </c>
      <c r="Z155" s="12"/>
      <c r="AA155" s="12"/>
      <c r="AB155" s="12"/>
      <c r="AC155" t="s">
        <v>2125</v>
      </c>
      <c r="AD155" t="str">
        <f>SUBSTITUTE(Master_Reference[[#This Row],[C-Flex 4000K Eco Part Number]],"40-","xx-")</f>
        <v/>
      </c>
      <c r="AE155" t="str">
        <f>SUBSTITUTE(Master_Reference[[#This Row],[C-Flex 4000K 3W Part Number]],"40-","xx-")</f>
        <v/>
      </c>
      <c r="AF155" s="1" t="str">
        <f>_xlfn.IFNA(VLOOKUP(Master_Reference[[#This Row],[C-Flex 3000K Eco Part Number]],Lutron_CFlex_Lookup[],MATCH("Lutron Kit PN",Lutron_CFlex_Lookup[#Headers],0),FALSE),"")</f>
        <v/>
      </c>
      <c r="AG155" s="1" t="str">
        <f>_xlfn.IFNA(VLOOKUP(Master_Reference[[#This Row],[C-Flex 3500K Eco Part Number]],Lutron_CFlex_Lookup[],MATCH("Lutron Kit PN",Lutron_CFlex_Lookup[#Headers],0),FALSE),"")</f>
        <v/>
      </c>
      <c r="AH155" s="1" t="str">
        <f>_xlfn.IFNA(VLOOKUP(Master_Reference[[#This Row],[C-Flex 4000K Eco Part Number]],Lutron_CFlex_Lookup[],MATCH("Lutron Kit PN",Lutron_CFlex_Lookup[#Headers],0),FALSE),"")</f>
        <v/>
      </c>
      <c r="AI155" s="1" t="str">
        <f>_xlfn.IFNA(VLOOKUP(Master_Reference[[#This Row],[C-Flex 5000K Eco Part Number]],Lutron_CFlex_Lookup[],MATCH("Lutron Kit PN",Lutron_CFlex_Lookup[#Headers],0),FALSE),"")</f>
        <v/>
      </c>
      <c r="AJ155" s="1" t="str">
        <f>_xlfn.IFNA(VLOOKUP(Master_Reference[[#This Row],[C-Flex 3000K 3W Part Number]],Lutron_CFlex_Lookup[],MATCH("Lutron Kit PN",Lutron_CFlex_Lookup[#Headers],0),FALSE),"")</f>
        <v/>
      </c>
      <c r="AK155" s="1" t="str">
        <f>_xlfn.IFNA(VLOOKUP(Master_Reference[[#This Row],[C-Flex 3500K 3W Part Number]],Lutron_CFlex_Lookup[],MATCH("Lutron Kit PN",Lutron_CFlex_Lookup[#Headers],0),FALSE),"")</f>
        <v/>
      </c>
      <c r="AL155" s="1" t="str">
        <f>_xlfn.IFNA(VLOOKUP(Master_Reference[[#This Row],[C-Flex 4000K 3W Part Number]],Lutron_CFlex_Lookup[],MATCH("Lutron Kit PN",Lutron_CFlex_Lookup[#Headers],0),FALSE),"")</f>
        <v/>
      </c>
      <c r="AM155" s="1" t="str">
        <f>_xlfn.IFNA(VLOOKUP(Master_Reference[[#This Row],[C-Flex 5000K 3W Part Number]],Lutron_CFlex_Lookup[],MATCH("Lutron Kit PN",Lutron_CFlex_Lookup[#Headers],0),FALSE),"")</f>
        <v/>
      </c>
      <c r="AN155" s="1" t="b">
        <f>NOT(ISNA(VLOOKUP(Master_Reference[[#This Row],[Model Number]],ObsoleteModels[],1,FALSE)))</f>
        <v>1</v>
      </c>
      <c r="AO155" s="1" t="str">
        <f>IF(LEFT(Master_Reference[[#This Row],[Model Number]],1)="U",LEFT(Master_Reference[[#This Row],[Model Number]],4),LEFT(Master_Reference[[#This Row],[Model Number]],3))</f>
        <v>EC5</v>
      </c>
    </row>
    <row r="156" spans="1:41" x14ac:dyDescent="0.25">
      <c r="A156" s="2" t="s">
        <v>398</v>
      </c>
      <c r="B156" s="1" t="b">
        <v>1</v>
      </c>
      <c r="C156" s="1" t="b">
        <v>1</v>
      </c>
      <c r="F156" s="1" t="b">
        <v>1</v>
      </c>
      <c r="G156" s="1" t="str">
        <f>IF(OR(LEFT(RIGHT(Master_Reference[[#This Row],[Model Number]],3),1)="C",LEFT(RIGHT(Master_Reference[[#This Row],[Model Number]],4),1)="C"),TRUE,"")</f>
        <v/>
      </c>
      <c r="H156" s="1" t="str">
        <f>IF(LEFT(Master_Reference[[#This Row],[Model Number]],1)="U",TRUE,"")</f>
        <v/>
      </c>
      <c r="I156" s="1" t="b">
        <f>IF(Master_Reference[[#This Row],[Lamp Type]]="T4","",IF(Master_Reference[[#This Row],[Case Type]]="M","",TRUE))</f>
        <v>1</v>
      </c>
      <c r="J156" s="1" t="str">
        <f t="shared" si="3"/>
        <v>T5</v>
      </c>
      <c r="K156" s="1">
        <v>35</v>
      </c>
      <c r="L156" s="1" t="s">
        <v>220</v>
      </c>
      <c r="M156" s="1">
        <v>1</v>
      </c>
      <c r="N156" s="1" t="s">
        <v>149</v>
      </c>
      <c r="O156" s="1" t="s">
        <v>320</v>
      </c>
      <c r="Q156" s="1" t="s">
        <v>91</v>
      </c>
      <c r="R156" t="b">
        <f>IF(COUNTBLANK(Master_Reference[[#This Row],[C-Flex 3000K Eco Part Number]:[C-Flex 4000K Eco Part Number]])=3,FALSE,TRUE)</f>
        <v>0</v>
      </c>
      <c r="S156" t="b">
        <f>IF(COUNTBLANK(Master_Reference[[#This Row],[C-Flex 3000K 3W Part Number]:[C-Flex 4000K 3W Part Number]])=3,FALSE,TRUE)</f>
        <v>0</v>
      </c>
      <c r="T156" t="b">
        <f>IF(COUNTBLANK(Master_Reference[[#This Row],[Lutron 3000K Eco Part Number]:[Lutron 4000K Eco Part Number]])=3,FALSE,TRUE)</f>
        <v>0</v>
      </c>
      <c r="U156" t="b">
        <f>IF(COUNTBLANK(Master_Reference[[#This Row],[Lutron 3000K 3W Part Number]:[Lutron 4000K 3W Part Number]])=3,FALSE,TRUE)</f>
        <v>0</v>
      </c>
      <c r="V156" s="12"/>
      <c r="W156" s="12"/>
      <c r="X156" s="12"/>
      <c r="Y156" t="s">
        <v>2125</v>
      </c>
      <c r="Z156" s="12"/>
      <c r="AA156" s="12"/>
      <c r="AB156" s="12"/>
      <c r="AC156" t="s">
        <v>2125</v>
      </c>
      <c r="AD156" t="str">
        <f>SUBSTITUTE(Master_Reference[[#This Row],[C-Flex 4000K Eco Part Number]],"40-","xx-")</f>
        <v/>
      </c>
      <c r="AE156" t="str">
        <f>SUBSTITUTE(Master_Reference[[#This Row],[C-Flex 4000K 3W Part Number]],"40-","xx-")</f>
        <v/>
      </c>
      <c r="AF156" s="1" t="str">
        <f>_xlfn.IFNA(VLOOKUP(Master_Reference[[#This Row],[C-Flex 3000K Eco Part Number]],Lutron_CFlex_Lookup[],MATCH("Lutron Kit PN",Lutron_CFlex_Lookup[#Headers],0),FALSE),"")</f>
        <v/>
      </c>
      <c r="AG156" s="1" t="str">
        <f>_xlfn.IFNA(VLOOKUP(Master_Reference[[#This Row],[C-Flex 3500K Eco Part Number]],Lutron_CFlex_Lookup[],MATCH("Lutron Kit PN",Lutron_CFlex_Lookup[#Headers],0),FALSE),"")</f>
        <v/>
      </c>
      <c r="AH156" s="1" t="str">
        <f>_xlfn.IFNA(VLOOKUP(Master_Reference[[#This Row],[C-Flex 4000K Eco Part Number]],Lutron_CFlex_Lookup[],MATCH("Lutron Kit PN",Lutron_CFlex_Lookup[#Headers],0),FALSE),"")</f>
        <v/>
      </c>
      <c r="AI156" s="1" t="str">
        <f>_xlfn.IFNA(VLOOKUP(Master_Reference[[#This Row],[C-Flex 5000K Eco Part Number]],Lutron_CFlex_Lookup[],MATCH("Lutron Kit PN",Lutron_CFlex_Lookup[#Headers],0),FALSE),"")</f>
        <v/>
      </c>
      <c r="AJ156" s="1" t="str">
        <f>_xlfn.IFNA(VLOOKUP(Master_Reference[[#This Row],[C-Flex 3000K 3W Part Number]],Lutron_CFlex_Lookup[],MATCH("Lutron Kit PN",Lutron_CFlex_Lookup[#Headers],0),FALSE),"")</f>
        <v/>
      </c>
      <c r="AK156" s="1" t="str">
        <f>_xlfn.IFNA(VLOOKUP(Master_Reference[[#This Row],[C-Flex 3500K 3W Part Number]],Lutron_CFlex_Lookup[],MATCH("Lutron Kit PN",Lutron_CFlex_Lookup[#Headers],0),FALSE),"")</f>
        <v/>
      </c>
      <c r="AL156" s="1" t="str">
        <f>_xlfn.IFNA(VLOOKUP(Master_Reference[[#This Row],[C-Flex 4000K 3W Part Number]],Lutron_CFlex_Lookup[],MATCH("Lutron Kit PN",Lutron_CFlex_Lookup[#Headers],0),FALSE),"")</f>
        <v/>
      </c>
      <c r="AM156" s="1" t="str">
        <f>_xlfn.IFNA(VLOOKUP(Master_Reference[[#This Row],[C-Flex 5000K 3W Part Number]],Lutron_CFlex_Lookup[],MATCH("Lutron Kit PN",Lutron_CFlex_Lookup[#Headers],0),FALSE),"")</f>
        <v/>
      </c>
      <c r="AN156" s="1" t="b">
        <f>NOT(ISNA(VLOOKUP(Master_Reference[[#This Row],[Model Number]],ObsoleteModels[],1,FALSE)))</f>
        <v>0</v>
      </c>
      <c r="AO156" s="1" t="str">
        <f>IF(LEFT(Master_Reference[[#This Row],[Model Number]],1)="U",LEFT(Master_Reference[[#This Row],[Model Number]],4),LEFT(Master_Reference[[#This Row],[Model Number]],3))</f>
        <v>EC5</v>
      </c>
    </row>
    <row r="157" spans="1:41" x14ac:dyDescent="0.25">
      <c r="A157" s="2" t="s">
        <v>399</v>
      </c>
      <c r="B157" s="1" t="b">
        <v>1</v>
      </c>
      <c r="C157" s="1" t="b">
        <v>1</v>
      </c>
      <c r="F157" s="1" t="b">
        <v>1</v>
      </c>
      <c r="G157" s="1" t="str">
        <f>IF(OR(LEFT(RIGHT(Master_Reference[[#This Row],[Model Number]],3),1)="C",LEFT(RIGHT(Master_Reference[[#This Row],[Model Number]],4),1)="C"),TRUE,"")</f>
        <v/>
      </c>
      <c r="H157" s="1" t="str">
        <f>IF(LEFT(Master_Reference[[#This Row],[Model Number]],1)="U",TRUE,"")</f>
        <v/>
      </c>
      <c r="I157" s="1" t="b">
        <f>IF(Master_Reference[[#This Row],[Lamp Type]]="T4","",IF(Master_Reference[[#This Row],[Case Type]]="M","",TRUE))</f>
        <v>1</v>
      </c>
      <c r="J157" s="1" t="s">
        <v>215</v>
      </c>
      <c r="K157" s="1">
        <v>36</v>
      </c>
      <c r="L157" s="1" t="s">
        <v>216</v>
      </c>
      <c r="M157" s="1">
        <v>1</v>
      </c>
      <c r="N157" s="1" t="s">
        <v>149</v>
      </c>
      <c r="O157" s="1" t="s">
        <v>320</v>
      </c>
      <c r="R157" t="b">
        <f>IF(COUNTBLANK(Master_Reference[[#This Row],[C-Flex 3000K Eco Part Number]:[C-Flex 4000K Eco Part Number]])=3,FALSE,TRUE)</f>
        <v>0</v>
      </c>
      <c r="S157" t="b">
        <f>IF(COUNTBLANK(Master_Reference[[#This Row],[C-Flex 3000K 3W Part Number]:[C-Flex 4000K 3W Part Number]])=3,FALSE,TRUE)</f>
        <v>0</v>
      </c>
      <c r="T157" t="b">
        <f>IF(COUNTBLANK(Master_Reference[[#This Row],[Lutron 3000K Eco Part Number]:[Lutron 4000K Eco Part Number]])=3,FALSE,TRUE)</f>
        <v>0</v>
      </c>
      <c r="U157" t="b">
        <f>IF(COUNTBLANK(Master_Reference[[#This Row],[Lutron 3000K 3W Part Number]:[Lutron 4000K 3W Part Number]])=3,FALSE,TRUE)</f>
        <v>0</v>
      </c>
      <c r="V157" s="12"/>
      <c r="W157" s="12"/>
      <c r="X157" s="12"/>
      <c r="Y157" t="s">
        <v>2125</v>
      </c>
      <c r="Z157" s="12"/>
      <c r="AA157" s="12"/>
      <c r="AB157" s="12"/>
      <c r="AC157" t="s">
        <v>2125</v>
      </c>
      <c r="AD157" t="str">
        <f>SUBSTITUTE(Master_Reference[[#This Row],[C-Flex 4000K Eco Part Number]],"40-","xx-")</f>
        <v/>
      </c>
      <c r="AE157" t="str">
        <f>SUBSTITUTE(Master_Reference[[#This Row],[C-Flex 4000K 3W Part Number]],"40-","xx-")</f>
        <v/>
      </c>
      <c r="AF157" s="1" t="str">
        <f>_xlfn.IFNA(VLOOKUP(Master_Reference[[#This Row],[C-Flex 3000K Eco Part Number]],Lutron_CFlex_Lookup[],MATCH("Lutron Kit PN",Lutron_CFlex_Lookup[#Headers],0),FALSE),"")</f>
        <v/>
      </c>
      <c r="AG157" s="1" t="str">
        <f>_xlfn.IFNA(VLOOKUP(Master_Reference[[#This Row],[C-Flex 3500K Eco Part Number]],Lutron_CFlex_Lookup[],MATCH("Lutron Kit PN",Lutron_CFlex_Lookup[#Headers],0),FALSE),"")</f>
        <v/>
      </c>
      <c r="AH157" s="1" t="str">
        <f>_xlfn.IFNA(VLOOKUP(Master_Reference[[#This Row],[C-Flex 4000K Eco Part Number]],Lutron_CFlex_Lookup[],MATCH("Lutron Kit PN",Lutron_CFlex_Lookup[#Headers],0),FALSE),"")</f>
        <v/>
      </c>
      <c r="AI157" s="1" t="str">
        <f>_xlfn.IFNA(VLOOKUP(Master_Reference[[#This Row],[C-Flex 5000K Eco Part Number]],Lutron_CFlex_Lookup[],MATCH("Lutron Kit PN",Lutron_CFlex_Lookup[#Headers],0),FALSE),"")</f>
        <v/>
      </c>
      <c r="AJ157" s="1" t="str">
        <f>_xlfn.IFNA(VLOOKUP(Master_Reference[[#This Row],[C-Flex 3000K 3W Part Number]],Lutron_CFlex_Lookup[],MATCH("Lutron Kit PN",Lutron_CFlex_Lookup[#Headers],0),FALSE),"")</f>
        <v/>
      </c>
      <c r="AK157" s="1" t="str">
        <f>_xlfn.IFNA(VLOOKUP(Master_Reference[[#This Row],[C-Flex 3500K 3W Part Number]],Lutron_CFlex_Lookup[],MATCH("Lutron Kit PN",Lutron_CFlex_Lookup[#Headers],0),FALSE),"")</f>
        <v/>
      </c>
      <c r="AL157" s="1" t="str">
        <f>_xlfn.IFNA(VLOOKUP(Master_Reference[[#This Row],[C-Flex 4000K 3W Part Number]],Lutron_CFlex_Lookup[],MATCH("Lutron Kit PN",Lutron_CFlex_Lookup[#Headers],0),FALSE),"")</f>
        <v/>
      </c>
      <c r="AM157" s="1" t="str">
        <f>_xlfn.IFNA(VLOOKUP(Master_Reference[[#This Row],[C-Flex 5000K 3W Part Number]],Lutron_CFlex_Lookup[],MATCH("Lutron Kit PN",Lutron_CFlex_Lookup[#Headers],0),FALSE),"")</f>
        <v/>
      </c>
      <c r="AN157" s="1" t="b">
        <f>NOT(ISNA(VLOOKUP(Master_Reference[[#This Row],[Model Number]],ObsoleteModels[],1,FALSE)))</f>
        <v>0</v>
      </c>
      <c r="AO157" s="1" t="str">
        <f>IF(LEFT(Master_Reference[[#This Row],[Model Number]],1)="U",LEFT(Master_Reference[[#This Row],[Model Number]],4),LEFT(Master_Reference[[#This Row],[Model Number]],3))</f>
        <v>EC5</v>
      </c>
    </row>
    <row r="158" spans="1:41" x14ac:dyDescent="0.25">
      <c r="A158" s="2" t="s">
        <v>400</v>
      </c>
      <c r="B158" s="1" t="b">
        <v>1</v>
      </c>
      <c r="C158" s="1" t="b">
        <v>1</v>
      </c>
      <c r="F158" s="1" t="b">
        <v>1</v>
      </c>
      <c r="G158" s="1" t="str">
        <f>IF(OR(LEFT(RIGHT(Master_Reference[[#This Row],[Model Number]],3),1)="C",LEFT(RIGHT(Master_Reference[[#This Row],[Model Number]],4),1)="C"),TRUE,"")</f>
        <v/>
      </c>
      <c r="H158" s="1" t="str">
        <f>IF(LEFT(Master_Reference[[#This Row],[Model Number]],1)="U",TRUE,"")</f>
        <v/>
      </c>
      <c r="I158" s="1" t="b">
        <f>IF(Master_Reference[[#This Row],[Lamp Type]]="T4","",IF(Master_Reference[[#This Row],[Case Type]]="M","",TRUE))</f>
        <v>1</v>
      </c>
      <c r="J158" s="1" t="s">
        <v>215</v>
      </c>
      <c r="K158" s="1">
        <v>36</v>
      </c>
      <c r="L158" s="1" t="s">
        <v>216</v>
      </c>
      <c r="M158" s="1">
        <v>2</v>
      </c>
      <c r="N158" s="1" t="s">
        <v>149</v>
      </c>
      <c r="O158" s="1" t="s">
        <v>320</v>
      </c>
      <c r="R158" t="b">
        <f>IF(COUNTBLANK(Master_Reference[[#This Row],[C-Flex 3000K Eco Part Number]:[C-Flex 4000K Eco Part Number]])=3,FALSE,TRUE)</f>
        <v>0</v>
      </c>
      <c r="S158" t="b">
        <f>IF(COUNTBLANK(Master_Reference[[#This Row],[C-Flex 3000K 3W Part Number]:[C-Flex 4000K 3W Part Number]])=3,FALSE,TRUE)</f>
        <v>0</v>
      </c>
      <c r="T158" t="b">
        <f>IF(COUNTBLANK(Master_Reference[[#This Row],[Lutron 3000K Eco Part Number]:[Lutron 4000K Eco Part Number]])=3,FALSE,TRUE)</f>
        <v>0</v>
      </c>
      <c r="U158" t="b">
        <f>IF(COUNTBLANK(Master_Reference[[#This Row],[Lutron 3000K 3W Part Number]:[Lutron 4000K 3W Part Number]])=3,FALSE,TRUE)</f>
        <v>0</v>
      </c>
      <c r="V158" s="12"/>
      <c r="W158" s="12"/>
      <c r="X158" s="12"/>
      <c r="Y158" t="s">
        <v>2125</v>
      </c>
      <c r="Z158" s="12"/>
      <c r="AA158" s="12"/>
      <c r="AB158" s="12"/>
      <c r="AC158" t="s">
        <v>2125</v>
      </c>
      <c r="AD158" t="str">
        <f>SUBSTITUTE(Master_Reference[[#This Row],[C-Flex 4000K Eco Part Number]],"40-","xx-")</f>
        <v/>
      </c>
      <c r="AE158" t="str">
        <f>SUBSTITUTE(Master_Reference[[#This Row],[C-Flex 4000K 3W Part Number]],"40-","xx-")</f>
        <v/>
      </c>
      <c r="AF158" s="1" t="str">
        <f>_xlfn.IFNA(VLOOKUP(Master_Reference[[#This Row],[C-Flex 3000K Eco Part Number]],Lutron_CFlex_Lookup[],MATCH("Lutron Kit PN",Lutron_CFlex_Lookup[#Headers],0),FALSE),"")</f>
        <v/>
      </c>
      <c r="AG158" s="1" t="str">
        <f>_xlfn.IFNA(VLOOKUP(Master_Reference[[#This Row],[C-Flex 3500K Eco Part Number]],Lutron_CFlex_Lookup[],MATCH("Lutron Kit PN",Lutron_CFlex_Lookup[#Headers],0),FALSE),"")</f>
        <v/>
      </c>
      <c r="AH158" s="1" t="str">
        <f>_xlfn.IFNA(VLOOKUP(Master_Reference[[#This Row],[C-Flex 4000K Eco Part Number]],Lutron_CFlex_Lookup[],MATCH("Lutron Kit PN",Lutron_CFlex_Lookup[#Headers],0),FALSE),"")</f>
        <v/>
      </c>
      <c r="AI158" s="1" t="str">
        <f>_xlfn.IFNA(VLOOKUP(Master_Reference[[#This Row],[C-Flex 5000K Eco Part Number]],Lutron_CFlex_Lookup[],MATCH("Lutron Kit PN",Lutron_CFlex_Lookup[#Headers],0),FALSE),"")</f>
        <v/>
      </c>
      <c r="AJ158" s="1" t="str">
        <f>_xlfn.IFNA(VLOOKUP(Master_Reference[[#This Row],[C-Flex 3000K 3W Part Number]],Lutron_CFlex_Lookup[],MATCH("Lutron Kit PN",Lutron_CFlex_Lookup[#Headers],0),FALSE),"")</f>
        <v/>
      </c>
      <c r="AK158" s="1" t="str">
        <f>_xlfn.IFNA(VLOOKUP(Master_Reference[[#This Row],[C-Flex 3500K 3W Part Number]],Lutron_CFlex_Lookup[],MATCH("Lutron Kit PN",Lutron_CFlex_Lookup[#Headers],0),FALSE),"")</f>
        <v/>
      </c>
      <c r="AL158" s="1" t="str">
        <f>_xlfn.IFNA(VLOOKUP(Master_Reference[[#This Row],[C-Flex 4000K 3W Part Number]],Lutron_CFlex_Lookup[],MATCH("Lutron Kit PN",Lutron_CFlex_Lookup[#Headers],0),FALSE),"")</f>
        <v/>
      </c>
      <c r="AM158" s="1" t="str">
        <f>_xlfn.IFNA(VLOOKUP(Master_Reference[[#This Row],[C-Flex 5000K 3W Part Number]],Lutron_CFlex_Lookup[],MATCH("Lutron Kit PN",Lutron_CFlex_Lookup[#Headers],0),FALSE),"")</f>
        <v/>
      </c>
      <c r="AN158" s="1" t="b">
        <f>NOT(ISNA(VLOOKUP(Master_Reference[[#This Row],[Model Number]],ObsoleteModels[],1,FALSE)))</f>
        <v>0</v>
      </c>
      <c r="AO158" s="1" t="str">
        <f>IF(LEFT(Master_Reference[[#This Row],[Model Number]],1)="U",LEFT(Master_Reference[[#This Row],[Model Number]],4),LEFT(Master_Reference[[#This Row],[Model Number]],3))</f>
        <v>EC5</v>
      </c>
    </row>
    <row r="159" spans="1:41" x14ac:dyDescent="0.25">
      <c r="A159" s="2" t="s">
        <v>401</v>
      </c>
      <c r="B159" s="1" t="b">
        <v>1</v>
      </c>
      <c r="C159" s="1" t="b">
        <v>1</v>
      </c>
      <c r="F159" s="1" t="b">
        <v>1</v>
      </c>
      <c r="G159" s="1" t="str">
        <f>IF(OR(LEFT(RIGHT(Master_Reference[[#This Row],[Model Number]],3),1)="C",LEFT(RIGHT(Master_Reference[[#This Row],[Model Number]],4),1)="C"),TRUE,"")</f>
        <v/>
      </c>
      <c r="H159" s="1" t="str">
        <f>IF(LEFT(Master_Reference[[#This Row],[Model Number]],1)="U",TRUE,"")</f>
        <v/>
      </c>
      <c r="I159" s="1" t="b">
        <f>IF(Master_Reference[[#This Row],[Lamp Type]]="T4","",IF(Master_Reference[[#This Row],[Case Type]]="M","",TRUE))</f>
        <v>1</v>
      </c>
      <c r="J159" s="1" t="s">
        <v>215</v>
      </c>
      <c r="K159" s="1">
        <v>36</v>
      </c>
      <c r="L159" s="1" t="s">
        <v>216</v>
      </c>
      <c r="M159" s="1">
        <v>2</v>
      </c>
      <c r="N159" s="1" t="s">
        <v>149</v>
      </c>
      <c r="O159" s="1" t="s">
        <v>320</v>
      </c>
      <c r="Q159" s="1" t="s">
        <v>91</v>
      </c>
      <c r="R159" t="b">
        <f>IF(COUNTBLANK(Master_Reference[[#This Row],[C-Flex 3000K Eco Part Number]:[C-Flex 4000K Eco Part Number]])=3,FALSE,TRUE)</f>
        <v>0</v>
      </c>
      <c r="S159" t="b">
        <f>IF(COUNTBLANK(Master_Reference[[#This Row],[C-Flex 3000K 3W Part Number]:[C-Flex 4000K 3W Part Number]])=3,FALSE,TRUE)</f>
        <v>0</v>
      </c>
      <c r="T159" t="b">
        <f>IF(COUNTBLANK(Master_Reference[[#This Row],[Lutron 3000K Eco Part Number]:[Lutron 4000K Eco Part Number]])=3,FALSE,TRUE)</f>
        <v>0</v>
      </c>
      <c r="U159" t="b">
        <f>IF(COUNTBLANK(Master_Reference[[#This Row],[Lutron 3000K 3W Part Number]:[Lutron 4000K 3W Part Number]])=3,FALSE,TRUE)</f>
        <v>0</v>
      </c>
      <c r="V159" s="12"/>
      <c r="W159" s="12"/>
      <c r="X159" s="12"/>
      <c r="Y159" t="s">
        <v>2125</v>
      </c>
      <c r="Z159" s="12"/>
      <c r="AA159" s="12"/>
      <c r="AB159" s="12"/>
      <c r="AC159" t="s">
        <v>2125</v>
      </c>
      <c r="AD159" t="str">
        <f>SUBSTITUTE(Master_Reference[[#This Row],[C-Flex 4000K Eco Part Number]],"40-","xx-")</f>
        <v/>
      </c>
      <c r="AE159" t="str">
        <f>SUBSTITUTE(Master_Reference[[#This Row],[C-Flex 4000K 3W Part Number]],"40-","xx-")</f>
        <v/>
      </c>
      <c r="AF159" s="1" t="str">
        <f>_xlfn.IFNA(VLOOKUP(Master_Reference[[#This Row],[C-Flex 3000K Eco Part Number]],Lutron_CFlex_Lookup[],MATCH("Lutron Kit PN",Lutron_CFlex_Lookup[#Headers],0),FALSE),"")</f>
        <v/>
      </c>
      <c r="AG159" s="1" t="str">
        <f>_xlfn.IFNA(VLOOKUP(Master_Reference[[#This Row],[C-Flex 3500K Eco Part Number]],Lutron_CFlex_Lookup[],MATCH("Lutron Kit PN",Lutron_CFlex_Lookup[#Headers],0),FALSE),"")</f>
        <v/>
      </c>
      <c r="AH159" s="1" t="str">
        <f>_xlfn.IFNA(VLOOKUP(Master_Reference[[#This Row],[C-Flex 4000K Eco Part Number]],Lutron_CFlex_Lookup[],MATCH("Lutron Kit PN",Lutron_CFlex_Lookup[#Headers],0),FALSE),"")</f>
        <v/>
      </c>
      <c r="AI159" s="1" t="str">
        <f>_xlfn.IFNA(VLOOKUP(Master_Reference[[#This Row],[C-Flex 5000K Eco Part Number]],Lutron_CFlex_Lookup[],MATCH("Lutron Kit PN",Lutron_CFlex_Lookup[#Headers],0),FALSE),"")</f>
        <v/>
      </c>
      <c r="AJ159" s="1" t="str">
        <f>_xlfn.IFNA(VLOOKUP(Master_Reference[[#This Row],[C-Flex 3000K 3W Part Number]],Lutron_CFlex_Lookup[],MATCH("Lutron Kit PN",Lutron_CFlex_Lookup[#Headers],0),FALSE),"")</f>
        <v/>
      </c>
      <c r="AK159" s="1" t="str">
        <f>_xlfn.IFNA(VLOOKUP(Master_Reference[[#This Row],[C-Flex 3500K 3W Part Number]],Lutron_CFlex_Lookup[],MATCH("Lutron Kit PN",Lutron_CFlex_Lookup[#Headers],0),FALSE),"")</f>
        <v/>
      </c>
      <c r="AL159" s="1" t="str">
        <f>_xlfn.IFNA(VLOOKUP(Master_Reference[[#This Row],[C-Flex 4000K 3W Part Number]],Lutron_CFlex_Lookup[],MATCH("Lutron Kit PN",Lutron_CFlex_Lookup[#Headers],0),FALSE),"")</f>
        <v/>
      </c>
      <c r="AM159" s="1" t="str">
        <f>_xlfn.IFNA(VLOOKUP(Master_Reference[[#This Row],[C-Flex 5000K 3W Part Number]],Lutron_CFlex_Lookup[],MATCH("Lutron Kit PN",Lutron_CFlex_Lookup[#Headers],0),FALSE),"")</f>
        <v/>
      </c>
      <c r="AN159" s="1" t="b">
        <f>NOT(ISNA(VLOOKUP(Master_Reference[[#This Row],[Model Number]],ObsoleteModels[],1,FALSE)))</f>
        <v>0</v>
      </c>
      <c r="AO159" s="1" t="str">
        <f>IF(LEFT(Master_Reference[[#This Row],[Model Number]],1)="U",LEFT(Master_Reference[[#This Row],[Model Number]],4),LEFT(Master_Reference[[#This Row],[Model Number]],3))</f>
        <v>EC5</v>
      </c>
    </row>
    <row r="160" spans="1:41" x14ac:dyDescent="0.25">
      <c r="A160" s="78" t="s">
        <v>402</v>
      </c>
      <c r="B160" s="1" t="b">
        <v>1</v>
      </c>
      <c r="C160" s="1" t="b">
        <v>1</v>
      </c>
      <c r="F160" s="1" t="b">
        <f>IF(LEFT(Master_Reference[[#This Row],[Model Number]],3)="EC5",TRUE,FALSE)</f>
        <v>1</v>
      </c>
      <c r="G160" s="1" t="str">
        <f>IF(OR(LEFT(RIGHT(Master_Reference[[#This Row],[Model Number]],3),1)="C",LEFT(RIGHT(Master_Reference[[#This Row],[Model Number]],4),1)="C"),TRUE,"")</f>
        <v/>
      </c>
      <c r="H160" s="1" t="str">
        <f>IF(LEFT(Master_Reference[[#This Row],[Model Number]],1)="U",TRUE,"")</f>
        <v/>
      </c>
      <c r="I160" s="1" t="b">
        <f>IF(Master_Reference[[#This Row],[Lamp Type]]="T4","",IF(Master_Reference[[#This Row],[Case Type]]="M","",TRUE))</f>
        <v>1</v>
      </c>
      <c r="J160" s="1" t="s">
        <v>297</v>
      </c>
      <c r="K160" s="1">
        <v>39</v>
      </c>
      <c r="L160" s="1" t="s">
        <v>115</v>
      </c>
      <c r="M160" s="1">
        <v>1</v>
      </c>
      <c r="N160" s="1">
        <v>120</v>
      </c>
      <c r="O160" s="1" t="s">
        <v>320</v>
      </c>
      <c r="R160" t="b">
        <f>IF(COUNTBLANK(Master_Reference[[#This Row],[C-Flex 3000K Eco Part Number]:[C-Flex 4000K Eco Part Number]])=3,FALSE,TRUE)</f>
        <v>1</v>
      </c>
      <c r="S160" t="b">
        <f>IF(COUNTBLANK(Master_Reference[[#This Row],[C-Flex 3000K 3W Part Number]:[C-Flex 4000K 3W Part Number]])=3,FALSE,TRUE)</f>
        <v>1</v>
      </c>
      <c r="T160" s="1" t="b">
        <f>IF(COUNTBLANK(Master_Reference[[#This Row],[Lutron 3000K Eco Part Number]:[Lutron 4000K Eco Part Number]])=3,FALSE,TRUE)</f>
        <v>1</v>
      </c>
      <c r="U160" s="1" t="b">
        <f>IF(COUNTBLANK(Master_Reference[[#This Row],[Lutron 3000K 3W Part Number]:[Lutron 4000K 3W Part Number]])=3,FALSE,TRUE)</f>
        <v>1</v>
      </c>
      <c r="V160" s="12" t="s">
        <v>405</v>
      </c>
      <c r="W160" s="12" t="s">
        <v>406</v>
      </c>
      <c r="X160" s="12" t="s">
        <v>407</v>
      </c>
      <c r="Y160" t="s">
        <v>1727</v>
      </c>
      <c r="Z160" s="12" t="s">
        <v>408</v>
      </c>
      <c r="AA160" s="12" t="s">
        <v>409</v>
      </c>
      <c r="AB160" s="12" t="s">
        <v>410</v>
      </c>
      <c r="AC160" t="s">
        <v>1815</v>
      </c>
      <c r="AD160" t="str">
        <f>SUBSTITUTE(Master_Reference[[#This Row],[C-Flex 4000K Eco Part Number]],"40-","xx-")</f>
        <v>RP-T5HO-3FT-1L-8xx-E1-M-G2</v>
      </c>
      <c r="AE160" t="str">
        <f>SUBSTITUTE(Master_Reference[[#This Row],[C-Flex 4000K 3W Part Number]],"40-","xx-")</f>
        <v>RP-T5HO-3FT-1L-8xx-3W-M-G2</v>
      </c>
      <c r="AF160" s="1" t="str">
        <f>_xlfn.IFNA(VLOOKUP(Master_Reference[[#This Row],[C-Flex 3000K Eco Part Number]],Lutron_CFlex_Lookup[],MATCH("Lutron Kit PN",Lutron_CFlex_Lookup[#Headers],0),FALSE),"")</f>
        <v>ELD3T5H-1M30-q</v>
      </c>
      <c r="AG160" s="1" t="str">
        <f>_xlfn.IFNA(VLOOKUP(Master_Reference[[#This Row],[C-Flex 3500K Eco Part Number]],Lutron_CFlex_Lookup[],MATCH("Lutron Kit PN",Lutron_CFlex_Lookup[#Headers],0),FALSE),"")</f>
        <v>ELD3T5H-1M35-q</v>
      </c>
      <c r="AH160" s="1" t="str">
        <f>_xlfn.IFNA(VLOOKUP(Master_Reference[[#This Row],[C-Flex 4000K Eco Part Number]],Lutron_CFlex_Lookup[],MATCH("Lutron Kit PN",Lutron_CFlex_Lookup[#Headers],0),FALSE),"")</f>
        <v>ELD3T5H-1M40-q</v>
      </c>
      <c r="AI160" s="1" t="str">
        <f>_xlfn.IFNA(VLOOKUP(Master_Reference[[#This Row],[C-Flex 5000K Eco Part Number]],Lutron_CFlex_Lookup[],MATCH("Lutron Kit PN",Lutron_CFlex_Lookup[#Headers],0),FALSE),"")</f>
        <v>ELD3T5H-1M50-q</v>
      </c>
      <c r="AJ160" s="1" t="str">
        <f>_xlfn.IFNA(VLOOKUP(Master_Reference[[#This Row],[C-Flex 3000K 3W Part Number]],Lutron_CFlex_Lookup[],MATCH("Lutron Kit PN",Lutron_CFlex_Lookup[#Headers],0),FALSE),"")</f>
        <v>3LD3T5H-1M30-q</v>
      </c>
      <c r="AK160" s="1" t="str">
        <f>_xlfn.IFNA(VLOOKUP(Master_Reference[[#This Row],[C-Flex 3500K 3W Part Number]],Lutron_CFlex_Lookup[],MATCH("Lutron Kit PN",Lutron_CFlex_Lookup[#Headers],0),FALSE),"")</f>
        <v>3LD3T5H-1M35-q</v>
      </c>
      <c r="AL160" s="1" t="str">
        <f>_xlfn.IFNA(VLOOKUP(Master_Reference[[#This Row],[C-Flex 4000K 3W Part Number]],Lutron_CFlex_Lookup[],MATCH("Lutron Kit PN",Lutron_CFlex_Lookup[#Headers],0),FALSE),"")</f>
        <v>3LD3T5H-1M40-q</v>
      </c>
      <c r="AM160" s="1" t="str">
        <f>_xlfn.IFNA(VLOOKUP(Master_Reference[[#This Row],[C-Flex 5000K 3W Part Number]],Lutron_CFlex_Lookup[],MATCH("Lutron Kit PN",Lutron_CFlex_Lookup[#Headers],0),FALSE),"")</f>
        <v>3LD3T5H-1M50-q</v>
      </c>
      <c r="AN160" s="1" t="b">
        <f>NOT(ISNA(VLOOKUP(Master_Reference[[#This Row],[Model Number]],ObsoleteModels[],1,FALSE)))</f>
        <v>1</v>
      </c>
      <c r="AO160" s="1" t="str">
        <f>IF(LEFT(Master_Reference[[#This Row],[Model Number]],1)="U",LEFT(Master_Reference[[#This Row],[Model Number]],4),LEFT(Master_Reference[[#This Row],[Model Number]],3))</f>
        <v>EC5</v>
      </c>
    </row>
    <row r="161" spans="1:41" x14ac:dyDescent="0.25">
      <c r="A161" s="78" t="s">
        <v>403</v>
      </c>
      <c r="B161" s="1" t="b">
        <v>1</v>
      </c>
      <c r="C161" s="1" t="b">
        <v>1</v>
      </c>
      <c r="F161" s="1" t="b">
        <f>IF(LEFT(Master_Reference[[#This Row],[Model Number]],3)="EC5",TRUE,FALSE)</f>
        <v>1</v>
      </c>
      <c r="G161" s="1" t="str">
        <f>IF(OR(LEFT(RIGHT(Master_Reference[[#This Row],[Model Number]],3),1)="C",LEFT(RIGHT(Master_Reference[[#This Row],[Model Number]],4),1)="C"),TRUE,"")</f>
        <v/>
      </c>
      <c r="H161" s="1" t="str">
        <f>IF(LEFT(Master_Reference[[#This Row],[Model Number]],1)="U",TRUE,"")</f>
        <v/>
      </c>
      <c r="I161" s="1" t="b">
        <f>IF(Master_Reference[[#This Row],[Lamp Type]]="T4","",IF(Master_Reference[[#This Row],[Case Type]]="M","",TRUE))</f>
        <v>1</v>
      </c>
      <c r="J161" s="1" t="s">
        <v>297</v>
      </c>
      <c r="K161" s="1">
        <v>39</v>
      </c>
      <c r="L161" s="1" t="s">
        <v>115</v>
      </c>
      <c r="M161" s="1">
        <v>2</v>
      </c>
      <c r="N161" s="1">
        <v>120</v>
      </c>
      <c r="O161" s="1" t="s">
        <v>320</v>
      </c>
      <c r="R161" t="b">
        <f>IF(COUNTBLANK(Master_Reference[[#This Row],[C-Flex 3000K Eco Part Number]:[C-Flex 4000K Eco Part Number]])=3,FALSE,TRUE)</f>
        <v>1</v>
      </c>
      <c r="S161" t="b">
        <f>IF(COUNTBLANK(Master_Reference[[#This Row],[C-Flex 3000K 3W Part Number]:[C-Flex 4000K 3W Part Number]])=3,FALSE,TRUE)</f>
        <v>1</v>
      </c>
      <c r="T161" s="1" t="b">
        <f>IF(COUNTBLANK(Master_Reference[[#This Row],[Lutron 3000K Eco Part Number]:[Lutron 4000K Eco Part Number]])=3,FALSE,TRUE)</f>
        <v>1</v>
      </c>
      <c r="U161" s="1" t="b">
        <f>IF(COUNTBLANK(Master_Reference[[#This Row],[Lutron 3000K 3W Part Number]:[Lutron 4000K 3W Part Number]])=3,FALSE,TRUE)</f>
        <v>1</v>
      </c>
      <c r="V161" s="12" t="s">
        <v>412</v>
      </c>
      <c r="W161" s="12" t="s">
        <v>413</v>
      </c>
      <c r="X161" s="12" t="s">
        <v>414</v>
      </c>
      <c r="Y161" t="s">
        <v>1728</v>
      </c>
      <c r="Z161" s="12" t="s">
        <v>415</v>
      </c>
      <c r="AA161" s="12" t="s">
        <v>416</v>
      </c>
      <c r="AB161" s="12" t="s">
        <v>417</v>
      </c>
      <c r="AC161" t="s">
        <v>1816</v>
      </c>
      <c r="AD161" t="str">
        <f>SUBSTITUTE(Master_Reference[[#This Row],[C-Flex 4000K Eco Part Number]],"40-","xx-")</f>
        <v>RP-T5HO-3FT-2L-8xx-E1-M-G2</v>
      </c>
      <c r="AE161" t="str">
        <f>SUBSTITUTE(Master_Reference[[#This Row],[C-Flex 4000K 3W Part Number]],"40-","xx-")</f>
        <v>RP-T5HO-3FT-2L-8xx-3W-M-G2</v>
      </c>
      <c r="AF161" s="1" t="str">
        <f>_xlfn.IFNA(VLOOKUP(Master_Reference[[#This Row],[C-Flex 3000K Eco Part Number]],Lutron_CFlex_Lookup[],MATCH("Lutron Kit PN",Lutron_CFlex_Lookup[#Headers],0),FALSE),"")</f>
        <v>ELD3T5H-2M30-q</v>
      </c>
      <c r="AG161" s="1" t="str">
        <f>_xlfn.IFNA(VLOOKUP(Master_Reference[[#This Row],[C-Flex 3500K Eco Part Number]],Lutron_CFlex_Lookup[],MATCH("Lutron Kit PN",Lutron_CFlex_Lookup[#Headers],0),FALSE),"")</f>
        <v>ELD3T5H-2M35-q</v>
      </c>
      <c r="AH161" s="1" t="str">
        <f>_xlfn.IFNA(VLOOKUP(Master_Reference[[#This Row],[C-Flex 4000K Eco Part Number]],Lutron_CFlex_Lookup[],MATCH("Lutron Kit PN",Lutron_CFlex_Lookup[#Headers],0),FALSE),"")</f>
        <v>ELD3T5H-2M40-q</v>
      </c>
      <c r="AI161" s="1" t="str">
        <f>_xlfn.IFNA(VLOOKUP(Master_Reference[[#This Row],[C-Flex 5000K Eco Part Number]],Lutron_CFlex_Lookup[],MATCH("Lutron Kit PN",Lutron_CFlex_Lookup[#Headers],0),FALSE),"")</f>
        <v>ELD3T5H-2M50-q</v>
      </c>
      <c r="AJ161" s="1" t="str">
        <f>_xlfn.IFNA(VLOOKUP(Master_Reference[[#This Row],[C-Flex 3000K 3W Part Number]],Lutron_CFlex_Lookup[],MATCH("Lutron Kit PN",Lutron_CFlex_Lookup[#Headers],0),FALSE),"")</f>
        <v>3LD3T5H-2M30-q</v>
      </c>
      <c r="AK161" s="1" t="str">
        <f>_xlfn.IFNA(VLOOKUP(Master_Reference[[#This Row],[C-Flex 3500K 3W Part Number]],Lutron_CFlex_Lookup[],MATCH("Lutron Kit PN",Lutron_CFlex_Lookup[#Headers],0),FALSE),"")</f>
        <v>3LD3T5H-2M35-q</v>
      </c>
      <c r="AL161" s="1" t="str">
        <f>_xlfn.IFNA(VLOOKUP(Master_Reference[[#This Row],[C-Flex 4000K 3W Part Number]],Lutron_CFlex_Lookup[],MATCH("Lutron Kit PN",Lutron_CFlex_Lookup[#Headers],0),FALSE),"")</f>
        <v>3LD3T5H-2M40-q</v>
      </c>
      <c r="AM161" s="1" t="str">
        <f>_xlfn.IFNA(VLOOKUP(Master_Reference[[#This Row],[C-Flex 5000K 3W Part Number]],Lutron_CFlex_Lookup[],MATCH("Lutron Kit PN",Lutron_CFlex_Lookup[#Headers],0),FALSE),"")</f>
        <v>3LD3T5H-2M50-q</v>
      </c>
      <c r="AN161" s="1" t="b">
        <f>NOT(ISNA(VLOOKUP(Master_Reference[[#This Row],[Model Number]],ObsoleteModels[],1,FALSE)))</f>
        <v>1</v>
      </c>
      <c r="AO161" s="1" t="str">
        <f>IF(LEFT(Master_Reference[[#This Row],[Model Number]],1)="U",LEFT(Master_Reference[[#This Row],[Model Number]],4),LEFT(Master_Reference[[#This Row],[Model Number]],3))</f>
        <v>EC5</v>
      </c>
    </row>
    <row r="162" spans="1:41" x14ac:dyDescent="0.25">
      <c r="A162" s="2" t="s">
        <v>404</v>
      </c>
      <c r="B162" s="1" t="b">
        <v>1</v>
      </c>
      <c r="C162" s="1" t="b">
        <v>1</v>
      </c>
      <c r="F162" s="1" t="b">
        <v>1</v>
      </c>
      <c r="G162" s="1" t="str">
        <f>IF(OR(LEFT(RIGHT(Master_Reference[[#This Row],[Model Number]],3),1)="C",LEFT(RIGHT(Master_Reference[[#This Row],[Model Number]],4),1)="C"),TRUE,"")</f>
        <v/>
      </c>
      <c r="H162" s="1" t="str">
        <f>IF(LEFT(Master_Reference[[#This Row],[Model Number]],1)="U",TRUE,"")</f>
        <v/>
      </c>
      <c r="I162" s="1" t="b">
        <f>IF(Master_Reference[[#This Row],[Lamp Type]]="T4","",IF(Master_Reference[[#This Row],[Case Type]]="M","",TRUE))</f>
        <v>1</v>
      </c>
      <c r="J162" s="1" t="s">
        <v>297</v>
      </c>
      <c r="K162" s="1">
        <v>39</v>
      </c>
      <c r="L162" s="1" t="s">
        <v>115</v>
      </c>
      <c r="M162" s="1">
        <v>1</v>
      </c>
      <c r="N162" s="1">
        <v>277</v>
      </c>
      <c r="O162" s="1" t="s">
        <v>320</v>
      </c>
      <c r="R162" t="b">
        <f>IF(COUNTBLANK(Master_Reference[[#This Row],[C-Flex 3000K Eco Part Number]:[C-Flex 4000K Eco Part Number]])=3,FALSE,TRUE)</f>
        <v>1</v>
      </c>
      <c r="S162" t="b">
        <f>IF(COUNTBLANK(Master_Reference[[#This Row],[C-Flex 3000K 3W Part Number]:[C-Flex 4000K 3W Part Number]])=3,FALSE,TRUE)</f>
        <v>1</v>
      </c>
      <c r="T162" t="b">
        <f>IF(COUNTBLANK(Master_Reference[[#This Row],[Lutron 3000K Eco Part Number]:[Lutron 4000K Eco Part Number]])=3,FALSE,TRUE)</f>
        <v>1</v>
      </c>
      <c r="U162" t="b">
        <f>IF(COUNTBLANK(Master_Reference[[#This Row],[Lutron 3000K 3W Part Number]:[Lutron 4000K 3W Part Number]])=3,FALSE,TRUE)</f>
        <v>1</v>
      </c>
      <c r="V162" s="12" t="s">
        <v>405</v>
      </c>
      <c r="W162" s="12" t="s">
        <v>406</v>
      </c>
      <c r="X162" s="12" t="s">
        <v>407</v>
      </c>
      <c r="Y162" t="s">
        <v>1727</v>
      </c>
      <c r="Z162" s="12" t="s">
        <v>408</v>
      </c>
      <c r="AA162" s="12" t="s">
        <v>409</v>
      </c>
      <c r="AB162" s="12" t="s">
        <v>410</v>
      </c>
      <c r="AC162" t="s">
        <v>1815</v>
      </c>
      <c r="AD162" t="str">
        <f>SUBSTITUTE(Master_Reference[[#This Row],[C-Flex 4000K Eco Part Number]],"40-","xx-")</f>
        <v>RP-T5HO-3FT-1L-8xx-E1-M-G2</v>
      </c>
      <c r="AE162" t="str">
        <f>SUBSTITUTE(Master_Reference[[#This Row],[C-Flex 4000K 3W Part Number]],"40-","xx-")</f>
        <v>RP-T5HO-3FT-1L-8xx-3W-M-G2</v>
      </c>
      <c r="AF162" s="1" t="str">
        <f>_xlfn.IFNA(VLOOKUP(Master_Reference[[#This Row],[C-Flex 3000K Eco Part Number]],Lutron_CFlex_Lookup[],MATCH("Lutron Kit PN",Lutron_CFlex_Lookup[#Headers],0),FALSE),"")</f>
        <v>ELD3T5H-1M30-q</v>
      </c>
      <c r="AG162" s="1" t="str">
        <f>_xlfn.IFNA(VLOOKUP(Master_Reference[[#This Row],[C-Flex 3500K Eco Part Number]],Lutron_CFlex_Lookup[],MATCH("Lutron Kit PN",Lutron_CFlex_Lookup[#Headers],0),FALSE),"")</f>
        <v>ELD3T5H-1M35-q</v>
      </c>
      <c r="AH162" s="1" t="str">
        <f>_xlfn.IFNA(VLOOKUP(Master_Reference[[#This Row],[C-Flex 4000K Eco Part Number]],Lutron_CFlex_Lookup[],MATCH("Lutron Kit PN",Lutron_CFlex_Lookup[#Headers],0),FALSE),"")</f>
        <v>ELD3T5H-1M40-q</v>
      </c>
      <c r="AI162" s="1" t="str">
        <f>_xlfn.IFNA(VLOOKUP(Master_Reference[[#This Row],[C-Flex 5000K Eco Part Number]],Lutron_CFlex_Lookup[],MATCH("Lutron Kit PN",Lutron_CFlex_Lookup[#Headers],0),FALSE),"")</f>
        <v>ELD3T5H-1M50-q</v>
      </c>
      <c r="AJ162" s="1" t="str">
        <f>_xlfn.IFNA(VLOOKUP(Master_Reference[[#This Row],[C-Flex 3000K 3W Part Number]],Lutron_CFlex_Lookup[],MATCH("Lutron Kit PN",Lutron_CFlex_Lookup[#Headers],0),FALSE),"")</f>
        <v>3LD3T5H-1M30-q</v>
      </c>
      <c r="AK162" s="1" t="str">
        <f>_xlfn.IFNA(VLOOKUP(Master_Reference[[#This Row],[C-Flex 3500K 3W Part Number]],Lutron_CFlex_Lookup[],MATCH("Lutron Kit PN",Lutron_CFlex_Lookup[#Headers],0),FALSE),"")</f>
        <v>3LD3T5H-1M35-q</v>
      </c>
      <c r="AL162" s="1" t="str">
        <f>_xlfn.IFNA(VLOOKUP(Master_Reference[[#This Row],[C-Flex 4000K 3W Part Number]],Lutron_CFlex_Lookup[],MATCH("Lutron Kit PN",Lutron_CFlex_Lookup[#Headers],0),FALSE),"")</f>
        <v>3LD3T5H-1M40-q</v>
      </c>
      <c r="AM162" s="1" t="str">
        <f>_xlfn.IFNA(VLOOKUP(Master_Reference[[#This Row],[C-Flex 5000K 3W Part Number]],Lutron_CFlex_Lookup[],MATCH("Lutron Kit PN",Lutron_CFlex_Lookup[#Headers],0),FALSE),"")</f>
        <v>3LD3T5H-1M50-q</v>
      </c>
      <c r="AN162" s="1" t="b">
        <f>NOT(ISNA(VLOOKUP(Master_Reference[[#This Row],[Model Number]],ObsoleteModels[],1,FALSE)))</f>
        <v>1</v>
      </c>
      <c r="AO162" s="1" t="str">
        <f>IF(LEFT(Master_Reference[[#This Row],[Model Number]],1)="U",LEFT(Master_Reference[[#This Row],[Model Number]],4),LEFT(Master_Reference[[#This Row],[Model Number]],3))</f>
        <v>EC5</v>
      </c>
    </row>
    <row r="163" spans="1:41" x14ac:dyDescent="0.25">
      <c r="A163" s="2" t="s">
        <v>411</v>
      </c>
      <c r="B163" s="1" t="b">
        <v>1</v>
      </c>
      <c r="C163" s="1" t="b">
        <v>1</v>
      </c>
      <c r="F163" s="1" t="b">
        <v>1</v>
      </c>
      <c r="G163" s="1" t="str">
        <f>IF(OR(LEFT(RIGHT(Master_Reference[[#This Row],[Model Number]],3),1)="C",LEFT(RIGHT(Master_Reference[[#This Row],[Model Number]],4),1)="C"),TRUE,"")</f>
        <v/>
      </c>
      <c r="H163" s="1" t="str">
        <f>IF(LEFT(Master_Reference[[#This Row],[Model Number]],1)="U",TRUE,"")</f>
        <v/>
      </c>
      <c r="I163" s="1" t="b">
        <f>IF(Master_Reference[[#This Row],[Lamp Type]]="T4","",IF(Master_Reference[[#This Row],[Case Type]]="M","",TRUE))</f>
        <v>1</v>
      </c>
      <c r="J163" s="1" t="s">
        <v>297</v>
      </c>
      <c r="K163" s="1">
        <v>39</v>
      </c>
      <c r="L163" s="1" t="s">
        <v>115</v>
      </c>
      <c r="M163" s="1">
        <v>2</v>
      </c>
      <c r="N163" s="1">
        <v>277</v>
      </c>
      <c r="O163" s="1" t="s">
        <v>320</v>
      </c>
      <c r="R163" t="b">
        <f>IF(COUNTBLANK(Master_Reference[[#This Row],[C-Flex 3000K Eco Part Number]:[C-Flex 4000K Eco Part Number]])=3,FALSE,TRUE)</f>
        <v>1</v>
      </c>
      <c r="S163" t="b">
        <f>IF(COUNTBLANK(Master_Reference[[#This Row],[C-Flex 3000K 3W Part Number]:[C-Flex 4000K 3W Part Number]])=3,FALSE,TRUE)</f>
        <v>1</v>
      </c>
      <c r="T163" t="b">
        <f>IF(COUNTBLANK(Master_Reference[[#This Row],[Lutron 3000K Eco Part Number]:[Lutron 4000K Eco Part Number]])=3,FALSE,TRUE)</f>
        <v>1</v>
      </c>
      <c r="U163" t="b">
        <f>IF(COUNTBLANK(Master_Reference[[#This Row],[Lutron 3000K 3W Part Number]:[Lutron 4000K 3W Part Number]])=3,FALSE,TRUE)</f>
        <v>1</v>
      </c>
      <c r="V163" s="12" t="s">
        <v>412</v>
      </c>
      <c r="W163" s="12" t="s">
        <v>413</v>
      </c>
      <c r="X163" s="12" t="s">
        <v>414</v>
      </c>
      <c r="Y163" t="s">
        <v>1728</v>
      </c>
      <c r="Z163" s="12" t="s">
        <v>415</v>
      </c>
      <c r="AA163" s="12" t="s">
        <v>416</v>
      </c>
      <c r="AB163" s="12" t="s">
        <v>417</v>
      </c>
      <c r="AC163" t="s">
        <v>1816</v>
      </c>
      <c r="AD163" t="str">
        <f>SUBSTITUTE(Master_Reference[[#This Row],[C-Flex 4000K Eco Part Number]],"40-","xx-")</f>
        <v>RP-T5HO-3FT-2L-8xx-E1-M-G2</v>
      </c>
      <c r="AE163" t="str">
        <f>SUBSTITUTE(Master_Reference[[#This Row],[C-Flex 4000K 3W Part Number]],"40-","xx-")</f>
        <v>RP-T5HO-3FT-2L-8xx-3W-M-G2</v>
      </c>
      <c r="AF163" s="1" t="str">
        <f>_xlfn.IFNA(VLOOKUP(Master_Reference[[#This Row],[C-Flex 3000K Eco Part Number]],Lutron_CFlex_Lookup[],MATCH("Lutron Kit PN",Lutron_CFlex_Lookup[#Headers],0),FALSE),"")</f>
        <v>ELD3T5H-2M30-q</v>
      </c>
      <c r="AG163" s="1" t="str">
        <f>_xlfn.IFNA(VLOOKUP(Master_Reference[[#This Row],[C-Flex 3500K Eco Part Number]],Lutron_CFlex_Lookup[],MATCH("Lutron Kit PN",Lutron_CFlex_Lookup[#Headers],0),FALSE),"")</f>
        <v>ELD3T5H-2M35-q</v>
      </c>
      <c r="AH163" s="1" t="str">
        <f>_xlfn.IFNA(VLOOKUP(Master_Reference[[#This Row],[C-Flex 4000K Eco Part Number]],Lutron_CFlex_Lookup[],MATCH("Lutron Kit PN",Lutron_CFlex_Lookup[#Headers],0),FALSE),"")</f>
        <v>ELD3T5H-2M40-q</v>
      </c>
      <c r="AI163" s="1" t="str">
        <f>_xlfn.IFNA(VLOOKUP(Master_Reference[[#This Row],[C-Flex 5000K Eco Part Number]],Lutron_CFlex_Lookup[],MATCH("Lutron Kit PN",Lutron_CFlex_Lookup[#Headers],0),FALSE),"")</f>
        <v>ELD3T5H-2M50-q</v>
      </c>
      <c r="AJ163" s="1" t="str">
        <f>_xlfn.IFNA(VLOOKUP(Master_Reference[[#This Row],[C-Flex 3000K 3W Part Number]],Lutron_CFlex_Lookup[],MATCH("Lutron Kit PN",Lutron_CFlex_Lookup[#Headers],0),FALSE),"")</f>
        <v>3LD3T5H-2M30-q</v>
      </c>
      <c r="AK163" s="1" t="str">
        <f>_xlfn.IFNA(VLOOKUP(Master_Reference[[#This Row],[C-Flex 3500K 3W Part Number]],Lutron_CFlex_Lookup[],MATCH("Lutron Kit PN",Lutron_CFlex_Lookup[#Headers],0),FALSE),"")</f>
        <v>3LD3T5H-2M35-q</v>
      </c>
      <c r="AL163" s="1" t="str">
        <f>_xlfn.IFNA(VLOOKUP(Master_Reference[[#This Row],[C-Flex 4000K 3W Part Number]],Lutron_CFlex_Lookup[],MATCH("Lutron Kit PN",Lutron_CFlex_Lookup[#Headers],0),FALSE),"")</f>
        <v>3LD3T5H-2M40-q</v>
      </c>
      <c r="AM163" s="1" t="str">
        <f>_xlfn.IFNA(VLOOKUP(Master_Reference[[#This Row],[C-Flex 5000K 3W Part Number]],Lutron_CFlex_Lookup[],MATCH("Lutron Kit PN",Lutron_CFlex_Lookup[#Headers],0),FALSE),"")</f>
        <v>3LD3T5H-2M50-q</v>
      </c>
      <c r="AN163" s="1" t="b">
        <f>NOT(ISNA(VLOOKUP(Master_Reference[[#This Row],[Model Number]],ObsoleteModels[],1,FALSE)))</f>
        <v>1</v>
      </c>
      <c r="AO163" s="1" t="str">
        <f>IF(LEFT(Master_Reference[[#This Row],[Model Number]],1)="U",LEFT(Master_Reference[[#This Row],[Model Number]],4),LEFT(Master_Reference[[#This Row],[Model Number]],3))</f>
        <v>EC5</v>
      </c>
    </row>
    <row r="164" spans="1:41" x14ac:dyDescent="0.25">
      <c r="A164" s="2" t="s">
        <v>418</v>
      </c>
      <c r="B164" s="1" t="b">
        <v>1</v>
      </c>
      <c r="C164" s="1" t="b">
        <v>1</v>
      </c>
      <c r="F164" s="1" t="b">
        <v>1</v>
      </c>
      <c r="G164" s="1" t="str">
        <f>IF(OR(LEFT(RIGHT(Master_Reference[[#This Row],[Model Number]],3),1)="C",LEFT(RIGHT(Master_Reference[[#This Row],[Model Number]],4),1)="C"),TRUE,"")</f>
        <v/>
      </c>
      <c r="H164" s="1" t="str">
        <f>IF(LEFT(Master_Reference[[#This Row],[Model Number]],1)="U",TRUE,"")</f>
        <v/>
      </c>
      <c r="I164" s="1" t="b">
        <f>IF(Master_Reference[[#This Row],[Lamp Type]]="T4","",IF(Master_Reference[[#This Row],[Case Type]]="M","",TRUE))</f>
        <v>1</v>
      </c>
      <c r="J164" s="1" t="s">
        <v>297</v>
      </c>
      <c r="K164" s="1">
        <v>39</v>
      </c>
      <c r="L164" s="1" t="s">
        <v>115</v>
      </c>
      <c r="M164" s="1">
        <v>1</v>
      </c>
      <c r="N164" s="1" t="s">
        <v>149</v>
      </c>
      <c r="O164" s="1" t="s">
        <v>320</v>
      </c>
      <c r="R164" t="b">
        <f>IF(COUNTBLANK(Master_Reference[[#This Row],[C-Flex 3000K Eco Part Number]:[C-Flex 4000K Eco Part Number]])=3,FALSE,TRUE)</f>
        <v>1</v>
      </c>
      <c r="S164" t="b">
        <f>IF(COUNTBLANK(Master_Reference[[#This Row],[C-Flex 3000K 3W Part Number]:[C-Flex 4000K 3W Part Number]])=3,FALSE,TRUE)</f>
        <v>1</v>
      </c>
      <c r="T164" t="b">
        <f>IF(COUNTBLANK(Master_Reference[[#This Row],[Lutron 3000K Eco Part Number]:[Lutron 4000K Eco Part Number]])=3,FALSE,TRUE)</f>
        <v>1</v>
      </c>
      <c r="U164" t="b">
        <f>IF(COUNTBLANK(Master_Reference[[#This Row],[Lutron 3000K 3W Part Number]:[Lutron 4000K 3W Part Number]])=3,FALSE,TRUE)</f>
        <v>1</v>
      </c>
      <c r="V164" s="12" t="s">
        <v>405</v>
      </c>
      <c r="W164" s="12" t="s">
        <v>406</v>
      </c>
      <c r="X164" s="12" t="s">
        <v>407</v>
      </c>
      <c r="Y164" t="s">
        <v>1727</v>
      </c>
      <c r="Z164" s="12" t="s">
        <v>408</v>
      </c>
      <c r="AA164" s="12" t="s">
        <v>409</v>
      </c>
      <c r="AB164" s="12" t="s">
        <v>410</v>
      </c>
      <c r="AC164" t="s">
        <v>1815</v>
      </c>
      <c r="AD164" t="str">
        <f>SUBSTITUTE(Master_Reference[[#This Row],[C-Flex 4000K Eco Part Number]],"40-","xx-")</f>
        <v>RP-T5HO-3FT-1L-8xx-E1-M-G2</v>
      </c>
      <c r="AE164" t="str">
        <f>SUBSTITUTE(Master_Reference[[#This Row],[C-Flex 4000K 3W Part Number]],"40-","xx-")</f>
        <v>RP-T5HO-3FT-1L-8xx-3W-M-G2</v>
      </c>
      <c r="AF164" s="1" t="str">
        <f>_xlfn.IFNA(VLOOKUP(Master_Reference[[#This Row],[C-Flex 3000K Eco Part Number]],Lutron_CFlex_Lookup[],MATCH("Lutron Kit PN",Lutron_CFlex_Lookup[#Headers],0),FALSE),"")</f>
        <v>ELD3T5H-1M30-q</v>
      </c>
      <c r="AG164" s="1" t="str">
        <f>_xlfn.IFNA(VLOOKUP(Master_Reference[[#This Row],[C-Flex 3500K Eco Part Number]],Lutron_CFlex_Lookup[],MATCH("Lutron Kit PN",Lutron_CFlex_Lookup[#Headers],0),FALSE),"")</f>
        <v>ELD3T5H-1M35-q</v>
      </c>
      <c r="AH164" s="1" t="str">
        <f>_xlfn.IFNA(VLOOKUP(Master_Reference[[#This Row],[C-Flex 4000K Eco Part Number]],Lutron_CFlex_Lookup[],MATCH("Lutron Kit PN",Lutron_CFlex_Lookup[#Headers],0),FALSE),"")</f>
        <v>ELD3T5H-1M40-q</v>
      </c>
      <c r="AI164" s="1" t="str">
        <f>_xlfn.IFNA(VLOOKUP(Master_Reference[[#This Row],[C-Flex 5000K Eco Part Number]],Lutron_CFlex_Lookup[],MATCH("Lutron Kit PN",Lutron_CFlex_Lookup[#Headers],0),FALSE),"")</f>
        <v>ELD3T5H-1M50-q</v>
      </c>
      <c r="AJ164" s="1" t="str">
        <f>_xlfn.IFNA(VLOOKUP(Master_Reference[[#This Row],[C-Flex 3000K 3W Part Number]],Lutron_CFlex_Lookup[],MATCH("Lutron Kit PN",Lutron_CFlex_Lookup[#Headers],0),FALSE),"")</f>
        <v>3LD3T5H-1M30-q</v>
      </c>
      <c r="AK164" s="1" t="str">
        <f>_xlfn.IFNA(VLOOKUP(Master_Reference[[#This Row],[C-Flex 3500K 3W Part Number]],Lutron_CFlex_Lookup[],MATCH("Lutron Kit PN",Lutron_CFlex_Lookup[#Headers],0),FALSE),"")</f>
        <v>3LD3T5H-1M35-q</v>
      </c>
      <c r="AL164" s="1" t="str">
        <f>_xlfn.IFNA(VLOOKUP(Master_Reference[[#This Row],[C-Flex 4000K 3W Part Number]],Lutron_CFlex_Lookup[],MATCH("Lutron Kit PN",Lutron_CFlex_Lookup[#Headers],0),FALSE),"")</f>
        <v>3LD3T5H-1M40-q</v>
      </c>
      <c r="AM164" s="1" t="str">
        <f>_xlfn.IFNA(VLOOKUP(Master_Reference[[#This Row],[C-Flex 5000K 3W Part Number]],Lutron_CFlex_Lookup[],MATCH("Lutron Kit PN",Lutron_CFlex_Lookup[#Headers],0),FALSE),"")</f>
        <v>3LD3T5H-1M50-q</v>
      </c>
      <c r="AN164" s="1" t="b">
        <f>NOT(ISNA(VLOOKUP(Master_Reference[[#This Row],[Model Number]],ObsoleteModels[],1,FALSE)))</f>
        <v>0</v>
      </c>
      <c r="AO164" s="1" t="str">
        <f>IF(LEFT(Master_Reference[[#This Row],[Model Number]],1)="U",LEFT(Master_Reference[[#This Row],[Model Number]],4),LEFT(Master_Reference[[#This Row],[Model Number]],3))</f>
        <v>EC5</v>
      </c>
    </row>
    <row r="165" spans="1:41" x14ac:dyDescent="0.25">
      <c r="A165" s="2" t="s">
        <v>419</v>
      </c>
      <c r="B165" s="1" t="b">
        <v>1</v>
      </c>
      <c r="C165" s="1" t="b">
        <v>1</v>
      </c>
      <c r="F165" s="1" t="b">
        <v>1</v>
      </c>
      <c r="G165" s="1" t="str">
        <f>IF(OR(LEFT(RIGHT(Master_Reference[[#This Row],[Model Number]],3),1)="C",LEFT(RIGHT(Master_Reference[[#This Row],[Model Number]],4),1)="C"),TRUE,"")</f>
        <v/>
      </c>
      <c r="H165" s="1" t="str">
        <f>IF(LEFT(Master_Reference[[#This Row],[Model Number]],1)="U",TRUE,"")</f>
        <v/>
      </c>
      <c r="I165" s="1" t="b">
        <f>IF(Master_Reference[[#This Row],[Lamp Type]]="T4","",IF(Master_Reference[[#This Row],[Case Type]]="M","",TRUE))</f>
        <v>1</v>
      </c>
      <c r="J165" s="1" t="s">
        <v>297</v>
      </c>
      <c r="K165" s="1">
        <v>39</v>
      </c>
      <c r="L165" s="1" t="s">
        <v>115</v>
      </c>
      <c r="M165" s="1">
        <v>1</v>
      </c>
      <c r="N165" s="1" t="s">
        <v>149</v>
      </c>
      <c r="O165" s="1" t="s">
        <v>320</v>
      </c>
      <c r="Q165" s="1" t="s">
        <v>91</v>
      </c>
      <c r="R165" t="b">
        <f>IF(COUNTBLANK(Master_Reference[[#This Row],[C-Flex 3000K Eco Part Number]:[C-Flex 4000K Eco Part Number]])=3,FALSE,TRUE)</f>
        <v>0</v>
      </c>
      <c r="S165" t="b">
        <f>IF(COUNTBLANK(Master_Reference[[#This Row],[C-Flex 3000K 3W Part Number]:[C-Flex 4000K 3W Part Number]])=3,FALSE,TRUE)</f>
        <v>0</v>
      </c>
      <c r="T165" t="b">
        <f>IF(COUNTBLANK(Master_Reference[[#This Row],[Lutron 3000K Eco Part Number]:[Lutron 4000K Eco Part Number]])=3,FALSE,TRUE)</f>
        <v>0</v>
      </c>
      <c r="U165" t="b">
        <f>IF(COUNTBLANK(Master_Reference[[#This Row],[Lutron 3000K 3W Part Number]:[Lutron 4000K 3W Part Number]])=3,FALSE,TRUE)</f>
        <v>0</v>
      </c>
      <c r="V165" s="12"/>
      <c r="W165" s="12"/>
      <c r="X165" s="12"/>
      <c r="Y165" t="s">
        <v>2125</v>
      </c>
      <c r="Z165" s="12"/>
      <c r="AA165" s="12"/>
      <c r="AB165" s="12"/>
      <c r="AC165" t="s">
        <v>2125</v>
      </c>
      <c r="AD165" t="str">
        <f>SUBSTITUTE(Master_Reference[[#This Row],[C-Flex 4000K Eco Part Number]],"40-","xx-")</f>
        <v/>
      </c>
      <c r="AE165" t="str">
        <f>SUBSTITUTE(Master_Reference[[#This Row],[C-Flex 4000K 3W Part Number]],"40-","xx-")</f>
        <v/>
      </c>
      <c r="AF165" s="1" t="str">
        <f>_xlfn.IFNA(VLOOKUP(Master_Reference[[#This Row],[C-Flex 3000K Eco Part Number]],Lutron_CFlex_Lookup[],MATCH("Lutron Kit PN",Lutron_CFlex_Lookup[#Headers],0),FALSE),"")</f>
        <v/>
      </c>
      <c r="AG165" s="1" t="str">
        <f>_xlfn.IFNA(VLOOKUP(Master_Reference[[#This Row],[C-Flex 3500K Eco Part Number]],Lutron_CFlex_Lookup[],MATCH("Lutron Kit PN",Lutron_CFlex_Lookup[#Headers],0),FALSE),"")</f>
        <v/>
      </c>
      <c r="AH165" s="1" t="str">
        <f>_xlfn.IFNA(VLOOKUP(Master_Reference[[#This Row],[C-Flex 4000K Eco Part Number]],Lutron_CFlex_Lookup[],MATCH("Lutron Kit PN",Lutron_CFlex_Lookup[#Headers],0),FALSE),"")</f>
        <v/>
      </c>
      <c r="AI165" s="1" t="str">
        <f>_xlfn.IFNA(VLOOKUP(Master_Reference[[#This Row],[C-Flex 5000K Eco Part Number]],Lutron_CFlex_Lookup[],MATCH("Lutron Kit PN",Lutron_CFlex_Lookup[#Headers],0),FALSE),"")</f>
        <v/>
      </c>
      <c r="AJ165" s="1" t="str">
        <f>_xlfn.IFNA(VLOOKUP(Master_Reference[[#This Row],[C-Flex 3000K 3W Part Number]],Lutron_CFlex_Lookup[],MATCH("Lutron Kit PN",Lutron_CFlex_Lookup[#Headers],0),FALSE),"")</f>
        <v/>
      </c>
      <c r="AK165" s="1" t="str">
        <f>_xlfn.IFNA(VLOOKUP(Master_Reference[[#This Row],[C-Flex 3500K 3W Part Number]],Lutron_CFlex_Lookup[],MATCH("Lutron Kit PN",Lutron_CFlex_Lookup[#Headers],0),FALSE),"")</f>
        <v/>
      </c>
      <c r="AL165" s="1" t="str">
        <f>_xlfn.IFNA(VLOOKUP(Master_Reference[[#This Row],[C-Flex 4000K 3W Part Number]],Lutron_CFlex_Lookup[],MATCH("Lutron Kit PN",Lutron_CFlex_Lookup[#Headers],0),FALSE),"")</f>
        <v/>
      </c>
      <c r="AM165" s="1" t="str">
        <f>_xlfn.IFNA(VLOOKUP(Master_Reference[[#This Row],[C-Flex 5000K 3W Part Number]],Lutron_CFlex_Lookup[],MATCH("Lutron Kit PN",Lutron_CFlex_Lookup[#Headers],0),FALSE),"")</f>
        <v/>
      </c>
      <c r="AN165" s="1" t="b">
        <f>NOT(ISNA(VLOOKUP(Master_Reference[[#This Row],[Model Number]],ObsoleteModels[],1,FALSE)))</f>
        <v>0</v>
      </c>
      <c r="AO165" s="1" t="str">
        <f>IF(LEFT(Master_Reference[[#This Row],[Model Number]],1)="U",LEFT(Master_Reference[[#This Row],[Model Number]],4),LEFT(Master_Reference[[#This Row],[Model Number]],3))</f>
        <v>EC5</v>
      </c>
    </row>
    <row r="166" spans="1:41" x14ac:dyDescent="0.25">
      <c r="A166" s="2" t="s">
        <v>420</v>
      </c>
      <c r="B166" s="1" t="b">
        <v>1</v>
      </c>
      <c r="C166" s="1" t="b">
        <v>1</v>
      </c>
      <c r="F166" s="1" t="b">
        <v>1</v>
      </c>
      <c r="G166" s="1" t="str">
        <f>IF(OR(LEFT(RIGHT(Master_Reference[[#This Row],[Model Number]],3),1)="C",LEFT(RIGHT(Master_Reference[[#This Row],[Model Number]],4),1)="C"),TRUE,"")</f>
        <v/>
      </c>
      <c r="H166" s="1" t="str">
        <f>IF(LEFT(Master_Reference[[#This Row],[Model Number]],1)="U",TRUE,"")</f>
        <v/>
      </c>
      <c r="I166" s="1" t="b">
        <f>IF(Master_Reference[[#This Row],[Lamp Type]]="T4","",IF(Master_Reference[[#This Row],[Case Type]]="M","",TRUE))</f>
        <v>1</v>
      </c>
      <c r="J166" s="1" t="s">
        <v>297</v>
      </c>
      <c r="K166" s="1">
        <v>39</v>
      </c>
      <c r="L166" s="1" t="s">
        <v>115</v>
      </c>
      <c r="M166" s="1">
        <v>2</v>
      </c>
      <c r="N166" s="1" t="s">
        <v>149</v>
      </c>
      <c r="O166" s="1" t="s">
        <v>320</v>
      </c>
      <c r="R166" t="b">
        <f>IF(COUNTBLANK(Master_Reference[[#This Row],[C-Flex 3000K Eco Part Number]:[C-Flex 4000K Eco Part Number]])=3,FALSE,TRUE)</f>
        <v>1</v>
      </c>
      <c r="S166" t="b">
        <f>IF(COUNTBLANK(Master_Reference[[#This Row],[C-Flex 3000K 3W Part Number]:[C-Flex 4000K 3W Part Number]])=3,FALSE,TRUE)</f>
        <v>1</v>
      </c>
      <c r="T166" t="b">
        <f>IF(COUNTBLANK(Master_Reference[[#This Row],[Lutron 3000K Eco Part Number]:[Lutron 4000K Eco Part Number]])=3,FALSE,TRUE)</f>
        <v>1</v>
      </c>
      <c r="U166" t="b">
        <f>IF(COUNTBLANK(Master_Reference[[#This Row],[Lutron 3000K 3W Part Number]:[Lutron 4000K 3W Part Number]])=3,FALSE,TRUE)</f>
        <v>1</v>
      </c>
      <c r="V166" s="12" t="s">
        <v>412</v>
      </c>
      <c r="W166" s="12" t="s">
        <v>413</v>
      </c>
      <c r="X166" s="12" t="s">
        <v>414</v>
      </c>
      <c r="Y166" t="s">
        <v>1728</v>
      </c>
      <c r="Z166" s="12" t="s">
        <v>415</v>
      </c>
      <c r="AA166" s="12" t="s">
        <v>416</v>
      </c>
      <c r="AB166" s="12" t="s">
        <v>417</v>
      </c>
      <c r="AC166" t="s">
        <v>1816</v>
      </c>
      <c r="AD166" t="str">
        <f>SUBSTITUTE(Master_Reference[[#This Row],[C-Flex 4000K Eco Part Number]],"40-","xx-")</f>
        <v>RP-T5HO-3FT-2L-8xx-E1-M-G2</v>
      </c>
      <c r="AE166" t="str">
        <f>SUBSTITUTE(Master_Reference[[#This Row],[C-Flex 4000K 3W Part Number]],"40-","xx-")</f>
        <v>RP-T5HO-3FT-2L-8xx-3W-M-G2</v>
      </c>
      <c r="AF166" s="1" t="str">
        <f>_xlfn.IFNA(VLOOKUP(Master_Reference[[#This Row],[C-Flex 3000K Eco Part Number]],Lutron_CFlex_Lookup[],MATCH("Lutron Kit PN",Lutron_CFlex_Lookup[#Headers],0),FALSE),"")</f>
        <v>ELD3T5H-2M30-q</v>
      </c>
      <c r="AG166" s="1" t="str">
        <f>_xlfn.IFNA(VLOOKUP(Master_Reference[[#This Row],[C-Flex 3500K Eco Part Number]],Lutron_CFlex_Lookup[],MATCH("Lutron Kit PN",Lutron_CFlex_Lookup[#Headers],0),FALSE),"")</f>
        <v>ELD3T5H-2M35-q</v>
      </c>
      <c r="AH166" s="1" t="str">
        <f>_xlfn.IFNA(VLOOKUP(Master_Reference[[#This Row],[C-Flex 4000K Eco Part Number]],Lutron_CFlex_Lookup[],MATCH("Lutron Kit PN",Lutron_CFlex_Lookup[#Headers],0),FALSE),"")</f>
        <v>ELD3T5H-2M40-q</v>
      </c>
      <c r="AI166" s="1" t="str">
        <f>_xlfn.IFNA(VLOOKUP(Master_Reference[[#This Row],[C-Flex 5000K Eco Part Number]],Lutron_CFlex_Lookup[],MATCH("Lutron Kit PN",Lutron_CFlex_Lookup[#Headers],0),FALSE),"")</f>
        <v>ELD3T5H-2M50-q</v>
      </c>
      <c r="AJ166" s="1" t="str">
        <f>_xlfn.IFNA(VLOOKUP(Master_Reference[[#This Row],[C-Flex 3000K 3W Part Number]],Lutron_CFlex_Lookup[],MATCH("Lutron Kit PN",Lutron_CFlex_Lookup[#Headers],0),FALSE),"")</f>
        <v>3LD3T5H-2M30-q</v>
      </c>
      <c r="AK166" s="1" t="str">
        <f>_xlfn.IFNA(VLOOKUP(Master_Reference[[#This Row],[C-Flex 3500K 3W Part Number]],Lutron_CFlex_Lookup[],MATCH("Lutron Kit PN",Lutron_CFlex_Lookup[#Headers],0),FALSE),"")</f>
        <v>3LD3T5H-2M35-q</v>
      </c>
      <c r="AL166" s="1" t="str">
        <f>_xlfn.IFNA(VLOOKUP(Master_Reference[[#This Row],[C-Flex 4000K 3W Part Number]],Lutron_CFlex_Lookup[],MATCH("Lutron Kit PN",Lutron_CFlex_Lookup[#Headers],0),FALSE),"")</f>
        <v>3LD3T5H-2M40-q</v>
      </c>
      <c r="AM166" s="1" t="str">
        <f>_xlfn.IFNA(VLOOKUP(Master_Reference[[#This Row],[C-Flex 5000K 3W Part Number]],Lutron_CFlex_Lookup[],MATCH("Lutron Kit PN",Lutron_CFlex_Lookup[#Headers],0),FALSE),"")</f>
        <v>3LD3T5H-2M50-q</v>
      </c>
      <c r="AN166" s="1" t="b">
        <f>NOT(ISNA(VLOOKUP(Master_Reference[[#This Row],[Model Number]],ObsoleteModels[],1,FALSE)))</f>
        <v>0</v>
      </c>
      <c r="AO166" s="1" t="str">
        <f>IF(LEFT(Master_Reference[[#This Row],[Model Number]],1)="U",LEFT(Master_Reference[[#This Row],[Model Number]],4),LEFT(Master_Reference[[#This Row],[Model Number]],3))</f>
        <v>EC5</v>
      </c>
    </row>
    <row r="167" spans="1:41" x14ac:dyDescent="0.25">
      <c r="A167" s="2" t="s">
        <v>421</v>
      </c>
      <c r="B167" s="1" t="b">
        <v>1</v>
      </c>
      <c r="C167" s="1" t="b">
        <v>1</v>
      </c>
      <c r="F167" s="1" t="b">
        <v>1</v>
      </c>
      <c r="G167" s="1" t="b">
        <f>IF(OR(LEFT(RIGHT(Master_Reference[[#This Row],[Model Number]],3),1)="C",LEFT(RIGHT(Master_Reference[[#This Row],[Model Number]],4),1)="C"),TRUE,"")</f>
        <v>1</v>
      </c>
      <c r="H167" s="1" t="str">
        <f>IF(LEFT(Master_Reference[[#This Row],[Model Number]],1)="U",TRUE,"")</f>
        <v/>
      </c>
      <c r="I167" s="1" t="b">
        <f>IF(Master_Reference[[#This Row],[Lamp Type]]="T4","",IF(Master_Reference[[#This Row],[Case Type]]="M","",TRUE))</f>
        <v>1</v>
      </c>
      <c r="J167" s="1" t="s">
        <v>297</v>
      </c>
      <c r="K167" s="1">
        <v>39</v>
      </c>
      <c r="L167" s="1" t="s">
        <v>115</v>
      </c>
      <c r="M167" s="1">
        <v>2</v>
      </c>
      <c r="N167" s="1" t="s">
        <v>149</v>
      </c>
      <c r="O167" s="1" t="s">
        <v>320</v>
      </c>
      <c r="R167" t="b">
        <f>IF(COUNTBLANK(Master_Reference[[#This Row],[C-Flex 3000K Eco Part Number]:[C-Flex 4000K Eco Part Number]])=3,FALSE,TRUE)</f>
        <v>1</v>
      </c>
      <c r="S167" t="b">
        <f>IF(COUNTBLANK(Master_Reference[[#This Row],[C-Flex 3000K 3W Part Number]:[C-Flex 4000K 3W Part Number]])=3,FALSE,TRUE)</f>
        <v>1</v>
      </c>
      <c r="T167" t="b">
        <f>IF(COUNTBLANK(Master_Reference[[#This Row],[Lutron 3000K Eco Part Number]:[Lutron 4000K Eco Part Number]])=3,FALSE,TRUE)</f>
        <v>1</v>
      </c>
      <c r="U167" t="b">
        <f>IF(COUNTBLANK(Master_Reference[[#This Row],[Lutron 3000K 3W Part Number]:[Lutron 4000K 3W Part Number]])=3,FALSE,TRUE)</f>
        <v>1</v>
      </c>
      <c r="V167" s="12" t="s">
        <v>412</v>
      </c>
      <c r="W167" s="12" t="s">
        <v>413</v>
      </c>
      <c r="X167" s="12" t="s">
        <v>414</v>
      </c>
      <c r="Y167" t="s">
        <v>1728</v>
      </c>
      <c r="Z167" s="12" t="s">
        <v>415</v>
      </c>
      <c r="AA167" s="12" t="s">
        <v>416</v>
      </c>
      <c r="AB167" s="12" t="s">
        <v>417</v>
      </c>
      <c r="AC167" t="s">
        <v>1816</v>
      </c>
      <c r="AD167" t="str">
        <f>SUBSTITUTE(Master_Reference[[#This Row],[C-Flex 4000K Eco Part Number]],"40-","xx-")</f>
        <v>RP-T5HO-3FT-2L-8xx-E1-M-G2</v>
      </c>
      <c r="AE167" t="str">
        <f>SUBSTITUTE(Master_Reference[[#This Row],[C-Flex 4000K 3W Part Number]],"40-","xx-")</f>
        <v>RP-T5HO-3FT-2L-8xx-3W-M-G2</v>
      </c>
      <c r="AF167" s="1" t="str">
        <f>_xlfn.IFNA(VLOOKUP(Master_Reference[[#This Row],[C-Flex 3000K Eco Part Number]],Lutron_CFlex_Lookup[],MATCH("Lutron Kit PN",Lutron_CFlex_Lookup[#Headers],0),FALSE),"")</f>
        <v>ELD3T5H-2M30-q</v>
      </c>
      <c r="AG167" s="1" t="str">
        <f>_xlfn.IFNA(VLOOKUP(Master_Reference[[#This Row],[C-Flex 3500K Eco Part Number]],Lutron_CFlex_Lookup[],MATCH("Lutron Kit PN",Lutron_CFlex_Lookup[#Headers],0),FALSE),"")</f>
        <v>ELD3T5H-2M35-q</v>
      </c>
      <c r="AH167" s="1" t="str">
        <f>_xlfn.IFNA(VLOOKUP(Master_Reference[[#This Row],[C-Flex 4000K Eco Part Number]],Lutron_CFlex_Lookup[],MATCH("Lutron Kit PN",Lutron_CFlex_Lookup[#Headers],0),FALSE),"")</f>
        <v>ELD3T5H-2M40-q</v>
      </c>
      <c r="AI167" s="1" t="str">
        <f>_xlfn.IFNA(VLOOKUP(Master_Reference[[#This Row],[C-Flex 5000K Eco Part Number]],Lutron_CFlex_Lookup[],MATCH("Lutron Kit PN",Lutron_CFlex_Lookup[#Headers],0),FALSE),"")</f>
        <v>ELD3T5H-2M50-q</v>
      </c>
      <c r="AJ167" s="1" t="str">
        <f>_xlfn.IFNA(VLOOKUP(Master_Reference[[#This Row],[C-Flex 3000K 3W Part Number]],Lutron_CFlex_Lookup[],MATCH("Lutron Kit PN",Lutron_CFlex_Lookup[#Headers],0),FALSE),"")</f>
        <v>3LD3T5H-2M30-q</v>
      </c>
      <c r="AK167" s="1" t="str">
        <f>_xlfn.IFNA(VLOOKUP(Master_Reference[[#This Row],[C-Flex 3500K 3W Part Number]],Lutron_CFlex_Lookup[],MATCH("Lutron Kit PN",Lutron_CFlex_Lookup[#Headers],0),FALSE),"")</f>
        <v>3LD3T5H-2M35-q</v>
      </c>
      <c r="AL167" s="1" t="str">
        <f>_xlfn.IFNA(VLOOKUP(Master_Reference[[#This Row],[C-Flex 4000K 3W Part Number]],Lutron_CFlex_Lookup[],MATCH("Lutron Kit PN",Lutron_CFlex_Lookup[#Headers],0),FALSE),"")</f>
        <v>3LD3T5H-2M40-q</v>
      </c>
      <c r="AM167" s="1" t="str">
        <f>_xlfn.IFNA(VLOOKUP(Master_Reference[[#This Row],[C-Flex 5000K 3W Part Number]],Lutron_CFlex_Lookup[],MATCH("Lutron Kit PN",Lutron_CFlex_Lookup[#Headers],0),FALSE),"")</f>
        <v>3LD3T5H-2M50-q</v>
      </c>
      <c r="AN167" s="1" t="b">
        <f>NOT(ISNA(VLOOKUP(Master_Reference[[#This Row],[Model Number]],ObsoleteModels[],1,FALSE)))</f>
        <v>1</v>
      </c>
      <c r="AO167" s="1" t="str">
        <f>IF(LEFT(Master_Reference[[#This Row],[Model Number]],1)="U",LEFT(Master_Reference[[#This Row],[Model Number]],4),LEFT(Master_Reference[[#This Row],[Model Number]],3))</f>
        <v>EC5</v>
      </c>
    </row>
    <row r="168" spans="1:41" x14ac:dyDescent="0.25">
      <c r="A168" s="2" t="s">
        <v>422</v>
      </c>
      <c r="B168" s="1" t="b">
        <v>1</v>
      </c>
      <c r="C168" s="1" t="b">
        <v>1</v>
      </c>
      <c r="F168" s="1" t="b">
        <v>1</v>
      </c>
      <c r="G168" s="1" t="str">
        <f>IF(OR(LEFT(RIGHT(Master_Reference[[#This Row],[Model Number]],3),1)="C",LEFT(RIGHT(Master_Reference[[#This Row],[Model Number]],4),1)="C"),TRUE,"")</f>
        <v/>
      </c>
      <c r="H168" s="1" t="str">
        <f>IF(LEFT(Master_Reference[[#This Row],[Model Number]],1)="U",TRUE,"")</f>
        <v/>
      </c>
      <c r="I168" s="1" t="b">
        <f>IF(Master_Reference[[#This Row],[Lamp Type]]="T4","",IF(Master_Reference[[#This Row],[Case Type]]="M","",TRUE))</f>
        <v>1</v>
      </c>
      <c r="J168" s="1" t="s">
        <v>297</v>
      </c>
      <c r="K168" s="1">
        <v>39</v>
      </c>
      <c r="L168" s="1" t="s">
        <v>115</v>
      </c>
      <c r="M168" s="1">
        <v>2</v>
      </c>
      <c r="N168" s="1" t="s">
        <v>149</v>
      </c>
      <c r="O168" s="1" t="s">
        <v>320</v>
      </c>
      <c r="Q168" s="1" t="s">
        <v>91</v>
      </c>
      <c r="R168" t="b">
        <f>IF(COUNTBLANK(Master_Reference[[#This Row],[C-Flex 3000K Eco Part Number]:[C-Flex 4000K Eco Part Number]])=3,FALSE,TRUE)</f>
        <v>0</v>
      </c>
      <c r="S168" t="b">
        <f>IF(COUNTBLANK(Master_Reference[[#This Row],[C-Flex 3000K 3W Part Number]:[C-Flex 4000K 3W Part Number]])=3,FALSE,TRUE)</f>
        <v>0</v>
      </c>
      <c r="T168" t="b">
        <f>IF(COUNTBLANK(Master_Reference[[#This Row],[Lutron 3000K Eco Part Number]:[Lutron 4000K Eco Part Number]])=3,FALSE,TRUE)</f>
        <v>0</v>
      </c>
      <c r="U168" t="b">
        <f>IF(COUNTBLANK(Master_Reference[[#This Row],[Lutron 3000K 3W Part Number]:[Lutron 4000K 3W Part Number]])=3,FALSE,TRUE)</f>
        <v>0</v>
      </c>
      <c r="V168" s="12"/>
      <c r="W168" s="12"/>
      <c r="X168" s="12"/>
      <c r="Y168" t="s">
        <v>2125</v>
      </c>
      <c r="Z168" s="12"/>
      <c r="AA168" s="12"/>
      <c r="AB168" s="12"/>
      <c r="AC168" t="s">
        <v>2125</v>
      </c>
      <c r="AD168" t="str">
        <f>SUBSTITUTE(Master_Reference[[#This Row],[C-Flex 4000K Eco Part Number]],"40-","xx-")</f>
        <v/>
      </c>
      <c r="AE168" t="str">
        <f>SUBSTITUTE(Master_Reference[[#This Row],[C-Flex 4000K 3W Part Number]],"40-","xx-")</f>
        <v/>
      </c>
      <c r="AF168" s="1" t="str">
        <f>_xlfn.IFNA(VLOOKUP(Master_Reference[[#This Row],[C-Flex 3000K Eco Part Number]],Lutron_CFlex_Lookup[],MATCH("Lutron Kit PN",Lutron_CFlex_Lookup[#Headers],0),FALSE),"")</f>
        <v/>
      </c>
      <c r="AG168" s="1" t="str">
        <f>_xlfn.IFNA(VLOOKUP(Master_Reference[[#This Row],[C-Flex 3500K Eco Part Number]],Lutron_CFlex_Lookup[],MATCH("Lutron Kit PN",Lutron_CFlex_Lookup[#Headers],0),FALSE),"")</f>
        <v/>
      </c>
      <c r="AH168" s="1" t="str">
        <f>_xlfn.IFNA(VLOOKUP(Master_Reference[[#This Row],[C-Flex 4000K Eco Part Number]],Lutron_CFlex_Lookup[],MATCH("Lutron Kit PN",Lutron_CFlex_Lookup[#Headers],0),FALSE),"")</f>
        <v/>
      </c>
      <c r="AI168" s="1" t="str">
        <f>_xlfn.IFNA(VLOOKUP(Master_Reference[[#This Row],[C-Flex 5000K Eco Part Number]],Lutron_CFlex_Lookup[],MATCH("Lutron Kit PN",Lutron_CFlex_Lookup[#Headers],0),FALSE),"")</f>
        <v/>
      </c>
      <c r="AJ168" s="1" t="str">
        <f>_xlfn.IFNA(VLOOKUP(Master_Reference[[#This Row],[C-Flex 3000K 3W Part Number]],Lutron_CFlex_Lookup[],MATCH("Lutron Kit PN",Lutron_CFlex_Lookup[#Headers],0),FALSE),"")</f>
        <v/>
      </c>
      <c r="AK168" s="1" t="str">
        <f>_xlfn.IFNA(VLOOKUP(Master_Reference[[#This Row],[C-Flex 3500K 3W Part Number]],Lutron_CFlex_Lookup[],MATCH("Lutron Kit PN",Lutron_CFlex_Lookup[#Headers],0),FALSE),"")</f>
        <v/>
      </c>
      <c r="AL168" s="1" t="str">
        <f>_xlfn.IFNA(VLOOKUP(Master_Reference[[#This Row],[C-Flex 4000K 3W Part Number]],Lutron_CFlex_Lookup[],MATCH("Lutron Kit PN",Lutron_CFlex_Lookup[#Headers],0),FALSE),"")</f>
        <v/>
      </c>
      <c r="AM168" s="1" t="str">
        <f>_xlfn.IFNA(VLOOKUP(Master_Reference[[#This Row],[C-Flex 5000K 3W Part Number]],Lutron_CFlex_Lookup[],MATCH("Lutron Kit PN",Lutron_CFlex_Lookup[#Headers],0),FALSE),"")</f>
        <v/>
      </c>
      <c r="AN168" s="1" t="b">
        <f>NOT(ISNA(VLOOKUP(Master_Reference[[#This Row],[Model Number]],ObsoleteModels[],1,FALSE)))</f>
        <v>0</v>
      </c>
      <c r="AO168" s="1" t="str">
        <f>IF(LEFT(Master_Reference[[#This Row],[Model Number]],1)="U",LEFT(Master_Reference[[#This Row],[Model Number]],4),LEFT(Master_Reference[[#This Row],[Model Number]],3))</f>
        <v>EC5</v>
      </c>
    </row>
    <row r="169" spans="1:41" x14ac:dyDescent="0.25">
      <c r="A169" s="2" t="s">
        <v>423</v>
      </c>
      <c r="B169" s="1" t="b">
        <v>1</v>
      </c>
      <c r="C169" s="1" t="b">
        <v>1</v>
      </c>
      <c r="F169" s="1" t="b">
        <v>1</v>
      </c>
      <c r="G169" s="1" t="str">
        <f>IF(OR(LEFT(RIGHT(Master_Reference[[#This Row],[Model Number]],3),1)="C",LEFT(RIGHT(Master_Reference[[#This Row],[Model Number]],4),1)="C"),TRUE,"")</f>
        <v/>
      </c>
      <c r="H169" s="1" t="str">
        <f>IF(LEFT(Master_Reference[[#This Row],[Model Number]],1)="U",TRUE,"")</f>
        <v/>
      </c>
      <c r="I169" s="1" t="b">
        <f>IF(Master_Reference[[#This Row],[Lamp Type]]="T4","",IF(Master_Reference[[#This Row],[Case Type]]="M","",TRUE))</f>
        <v>1</v>
      </c>
      <c r="J169" s="1" t="s">
        <v>215</v>
      </c>
      <c r="K169" s="1">
        <v>40</v>
      </c>
      <c r="L169" s="1" t="s">
        <v>225</v>
      </c>
      <c r="M169" s="1">
        <v>3</v>
      </c>
      <c r="N169" s="1" t="s">
        <v>149</v>
      </c>
      <c r="O169" s="1" t="s">
        <v>217</v>
      </c>
      <c r="R169" t="b">
        <f>IF(COUNTBLANK(Master_Reference[[#This Row],[C-Flex 3000K Eco Part Number]:[C-Flex 4000K Eco Part Number]])=3,FALSE,TRUE)</f>
        <v>1</v>
      </c>
      <c r="S169" t="b">
        <f>IF(COUNTBLANK(Master_Reference[[#This Row],[C-Flex 3000K 3W Part Number]:[C-Flex 4000K 3W Part Number]])=3,FALSE,TRUE)</f>
        <v>0</v>
      </c>
      <c r="T169" t="b">
        <f>IF(COUNTBLANK(Master_Reference[[#This Row],[Lutron 3000K Eco Part Number]:[Lutron 4000K Eco Part Number]])=3,FALSE,TRUE)</f>
        <v>1</v>
      </c>
      <c r="U169" t="b">
        <f>IF(COUNTBLANK(Master_Reference[[#This Row],[Lutron 3000K 3W Part Number]:[Lutron 4000K 3W Part Number]])=3,FALSE,TRUE)</f>
        <v>0</v>
      </c>
      <c r="V169" s="12" t="s">
        <v>424</v>
      </c>
      <c r="W169" s="12" t="s">
        <v>425</v>
      </c>
      <c r="X169" s="12" t="s">
        <v>426</v>
      </c>
      <c r="Y169" t="s">
        <v>1714</v>
      </c>
      <c r="Z169" s="12"/>
      <c r="AA169" s="12"/>
      <c r="AB169" s="12"/>
      <c r="AC169" t="s">
        <v>2125</v>
      </c>
      <c r="AD169" t="str">
        <f>SUBSTITUTE(Master_Reference[[#This Row],[C-Flex 4000K Eco Part Number]],"40-","xx-")</f>
        <v>RP-PLL-7.5K-3L-8xx-E1-M-G2</v>
      </c>
      <c r="AE169" t="str">
        <f>SUBSTITUTE(Master_Reference[[#This Row],[C-Flex 4000K 3W Part Number]],"40-","xx-")</f>
        <v/>
      </c>
      <c r="AF169" s="1" t="str">
        <f>_xlfn.IFNA(VLOOKUP(Master_Reference[[#This Row],[C-Flex 3000K Eco Part Number]],Lutron_CFlex_Lookup[],MATCH("Lutron Kit PN",Lutron_CFlex_Lookup[#Headers],0),FALSE),"")</f>
        <v>ELD-TT-3M30-q</v>
      </c>
      <c r="AG169" s="1" t="str">
        <f>_xlfn.IFNA(VLOOKUP(Master_Reference[[#This Row],[C-Flex 3500K Eco Part Number]],Lutron_CFlex_Lookup[],MATCH("Lutron Kit PN",Lutron_CFlex_Lookup[#Headers],0),FALSE),"")</f>
        <v>ELD-TT-3M35-q</v>
      </c>
      <c r="AH169" s="1" t="str">
        <f>_xlfn.IFNA(VLOOKUP(Master_Reference[[#This Row],[C-Flex 4000K Eco Part Number]],Lutron_CFlex_Lookup[],MATCH("Lutron Kit PN",Lutron_CFlex_Lookup[#Headers],0),FALSE),"")</f>
        <v>ELD-TT-3M40-q</v>
      </c>
      <c r="AI169" s="1" t="str">
        <f>_xlfn.IFNA(VLOOKUP(Master_Reference[[#This Row],[C-Flex 5000K Eco Part Number]],Lutron_CFlex_Lookup[],MATCH("Lutron Kit PN",Lutron_CFlex_Lookup[#Headers],0),FALSE),"")</f>
        <v>ELD-TT-3M50-q</v>
      </c>
      <c r="AJ169" s="1" t="str">
        <f>_xlfn.IFNA(VLOOKUP(Master_Reference[[#This Row],[C-Flex 3000K 3W Part Number]],Lutron_CFlex_Lookup[],MATCH("Lutron Kit PN",Lutron_CFlex_Lookup[#Headers],0),FALSE),"")</f>
        <v/>
      </c>
      <c r="AK169" s="1" t="str">
        <f>_xlfn.IFNA(VLOOKUP(Master_Reference[[#This Row],[C-Flex 3500K 3W Part Number]],Lutron_CFlex_Lookup[],MATCH("Lutron Kit PN",Lutron_CFlex_Lookup[#Headers],0),FALSE),"")</f>
        <v/>
      </c>
      <c r="AL169" s="1" t="str">
        <f>_xlfn.IFNA(VLOOKUP(Master_Reference[[#This Row],[C-Flex 4000K 3W Part Number]],Lutron_CFlex_Lookup[],MATCH("Lutron Kit PN",Lutron_CFlex_Lookup[#Headers],0),FALSE),"")</f>
        <v/>
      </c>
      <c r="AM169" s="1" t="str">
        <f>_xlfn.IFNA(VLOOKUP(Master_Reference[[#This Row],[C-Flex 5000K 3W Part Number]],Lutron_CFlex_Lookup[],MATCH("Lutron Kit PN",Lutron_CFlex_Lookup[#Headers],0),FALSE),"")</f>
        <v/>
      </c>
      <c r="AN169" s="1" t="b">
        <f>NOT(ISNA(VLOOKUP(Master_Reference[[#This Row],[Model Number]],ObsoleteModels[],1,FALSE)))</f>
        <v>0</v>
      </c>
      <c r="AO169" s="1" t="str">
        <f>IF(LEFT(Master_Reference[[#This Row],[Model Number]],1)="U",LEFT(Master_Reference[[#This Row],[Model Number]],4),LEFT(Master_Reference[[#This Row],[Model Number]],3))</f>
        <v>EC5</v>
      </c>
    </row>
    <row r="170" spans="1:41" x14ac:dyDescent="0.25">
      <c r="A170" s="2" t="s">
        <v>427</v>
      </c>
      <c r="B170" s="1" t="b">
        <v>1</v>
      </c>
      <c r="C170" s="1" t="b">
        <v>1</v>
      </c>
      <c r="F170" s="1" t="b">
        <v>1</v>
      </c>
      <c r="G170" s="1" t="str">
        <f>IF(OR(LEFT(RIGHT(Master_Reference[[#This Row],[Model Number]],3),1)="C",LEFT(RIGHT(Master_Reference[[#This Row],[Model Number]],4),1)="C"),TRUE,"")</f>
        <v/>
      </c>
      <c r="H170" s="1" t="str">
        <f>IF(LEFT(Master_Reference[[#This Row],[Model Number]],1)="U",TRUE,"")</f>
        <v/>
      </c>
      <c r="I170" s="1" t="b">
        <f>IF(Master_Reference[[#This Row],[Lamp Type]]="T4","",IF(Master_Reference[[#This Row],[Case Type]]="M","",TRUE))</f>
        <v>1</v>
      </c>
      <c r="J170" s="1" t="s">
        <v>215</v>
      </c>
      <c r="K170" s="1">
        <v>40</v>
      </c>
      <c r="L170" s="1" t="s">
        <v>225</v>
      </c>
      <c r="M170" s="1">
        <v>1</v>
      </c>
      <c r="N170" s="1" t="s">
        <v>149</v>
      </c>
      <c r="O170" s="1" t="s">
        <v>320</v>
      </c>
      <c r="R170" t="b">
        <f>IF(COUNTBLANK(Master_Reference[[#This Row],[C-Flex 3000K Eco Part Number]:[C-Flex 4000K Eco Part Number]])=3,FALSE,TRUE)</f>
        <v>1</v>
      </c>
      <c r="S170" t="b">
        <f>IF(COUNTBLANK(Master_Reference[[#This Row],[C-Flex 3000K 3W Part Number]:[C-Flex 4000K 3W Part Number]])=3,FALSE,TRUE)</f>
        <v>1</v>
      </c>
      <c r="T170" t="b">
        <f>IF(COUNTBLANK(Master_Reference[[#This Row],[Lutron 3000K Eco Part Number]:[Lutron 4000K Eco Part Number]])=3,FALSE,TRUE)</f>
        <v>1</v>
      </c>
      <c r="U170" t="b">
        <f>IF(COUNTBLANK(Master_Reference[[#This Row],[Lutron 3000K 3W Part Number]:[Lutron 4000K 3W Part Number]])=3,FALSE,TRUE)</f>
        <v>1</v>
      </c>
      <c r="V170" s="12" t="s">
        <v>226</v>
      </c>
      <c r="W170" s="12" t="s">
        <v>227</v>
      </c>
      <c r="X170" s="12" t="s">
        <v>228</v>
      </c>
      <c r="Y170" t="s">
        <v>1712</v>
      </c>
      <c r="Z170" s="12" t="s">
        <v>229</v>
      </c>
      <c r="AA170" s="12" t="s">
        <v>230</v>
      </c>
      <c r="AB170" s="12" t="s">
        <v>231</v>
      </c>
      <c r="AC170" t="s">
        <v>1801</v>
      </c>
      <c r="AD170" t="str">
        <f>SUBSTITUTE(Master_Reference[[#This Row],[C-Flex 4000K Eco Part Number]],"40-","xx-")</f>
        <v>RP-PLL-2.5K-1L-8xx-E1-M-G2</v>
      </c>
      <c r="AE170" t="str">
        <f>SUBSTITUTE(Master_Reference[[#This Row],[C-Flex 4000K 3W Part Number]],"40-","xx-")</f>
        <v>RP-PLL-2.5K-1L-8xx-3W-M-G2</v>
      </c>
      <c r="AF170" s="1" t="str">
        <f>_xlfn.IFNA(VLOOKUP(Master_Reference[[#This Row],[C-Flex 3000K Eco Part Number]],Lutron_CFlex_Lookup[],MATCH("Lutron Kit PN",Lutron_CFlex_Lookup[#Headers],0),FALSE),"")</f>
        <v>ELD-TT-1M30-q</v>
      </c>
      <c r="AG170" s="1" t="str">
        <f>_xlfn.IFNA(VLOOKUP(Master_Reference[[#This Row],[C-Flex 3500K Eco Part Number]],Lutron_CFlex_Lookup[],MATCH("Lutron Kit PN",Lutron_CFlex_Lookup[#Headers],0),FALSE),"")</f>
        <v>ELD-TT-1M35-q</v>
      </c>
      <c r="AH170" s="1" t="str">
        <f>_xlfn.IFNA(VLOOKUP(Master_Reference[[#This Row],[C-Flex 4000K Eco Part Number]],Lutron_CFlex_Lookup[],MATCH("Lutron Kit PN",Lutron_CFlex_Lookup[#Headers],0),FALSE),"")</f>
        <v>ELD-TT-1M40-q</v>
      </c>
      <c r="AI170" s="1" t="str">
        <f>_xlfn.IFNA(VLOOKUP(Master_Reference[[#This Row],[C-Flex 5000K Eco Part Number]],Lutron_CFlex_Lookup[],MATCH("Lutron Kit PN",Lutron_CFlex_Lookup[#Headers],0),FALSE),"")</f>
        <v>ELD-TT-1M50-q</v>
      </c>
      <c r="AJ170" s="1" t="str">
        <f>_xlfn.IFNA(VLOOKUP(Master_Reference[[#This Row],[C-Flex 3000K 3W Part Number]],Lutron_CFlex_Lookup[],MATCH("Lutron Kit PN",Lutron_CFlex_Lookup[#Headers],0),FALSE),"")</f>
        <v>3LD-TT-1M30-q</v>
      </c>
      <c r="AK170" s="1" t="str">
        <f>_xlfn.IFNA(VLOOKUP(Master_Reference[[#This Row],[C-Flex 3500K 3W Part Number]],Lutron_CFlex_Lookup[],MATCH("Lutron Kit PN",Lutron_CFlex_Lookup[#Headers],0),FALSE),"")</f>
        <v>3LD-TT-1M35-q</v>
      </c>
      <c r="AL170" s="1" t="str">
        <f>_xlfn.IFNA(VLOOKUP(Master_Reference[[#This Row],[C-Flex 4000K 3W Part Number]],Lutron_CFlex_Lookup[],MATCH("Lutron Kit PN",Lutron_CFlex_Lookup[#Headers],0),FALSE),"")</f>
        <v>3LD-TT-1M40-q</v>
      </c>
      <c r="AM170" s="1" t="str">
        <f>_xlfn.IFNA(VLOOKUP(Master_Reference[[#This Row],[C-Flex 5000K 3W Part Number]],Lutron_CFlex_Lookup[],MATCH("Lutron Kit PN",Lutron_CFlex_Lookup[#Headers],0),FALSE),"")</f>
        <v>3LD-TT-1M50-q</v>
      </c>
      <c r="AN170" s="1" t="b">
        <f>NOT(ISNA(VLOOKUP(Master_Reference[[#This Row],[Model Number]],ObsoleteModels[],1,FALSE)))</f>
        <v>0</v>
      </c>
      <c r="AO170" s="1" t="str">
        <f>IF(LEFT(Master_Reference[[#This Row],[Model Number]],1)="U",LEFT(Master_Reference[[#This Row],[Model Number]],4),LEFT(Master_Reference[[#This Row],[Model Number]],3))</f>
        <v>EC5</v>
      </c>
    </row>
    <row r="171" spans="1:41" x14ac:dyDescent="0.25">
      <c r="A171" s="2" t="s">
        <v>428</v>
      </c>
      <c r="B171" s="1" t="b">
        <v>1</v>
      </c>
      <c r="C171" s="1" t="b">
        <v>1</v>
      </c>
      <c r="F171" s="1" t="b">
        <v>1</v>
      </c>
      <c r="G171" s="1" t="b">
        <f>IF(OR(LEFT(RIGHT(Master_Reference[[#This Row],[Model Number]],3),1)="C",LEFT(RIGHT(Master_Reference[[#This Row],[Model Number]],4),1)="C"),TRUE,"")</f>
        <v>1</v>
      </c>
      <c r="H171" s="1" t="str">
        <f>IF(LEFT(Master_Reference[[#This Row],[Model Number]],1)="U",TRUE,"")</f>
        <v/>
      </c>
      <c r="I171" s="1" t="b">
        <f>IF(Master_Reference[[#This Row],[Lamp Type]]="T4","",IF(Master_Reference[[#This Row],[Case Type]]="M","",TRUE))</f>
        <v>1</v>
      </c>
      <c r="J171" s="1" t="s">
        <v>215</v>
      </c>
      <c r="K171" s="1">
        <v>40</v>
      </c>
      <c r="L171" s="1" t="s">
        <v>225</v>
      </c>
      <c r="M171" s="1">
        <v>1</v>
      </c>
      <c r="N171" s="1" t="s">
        <v>149</v>
      </c>
      <c r="O171" s="1" t="s">
        <v>320</v>
      </c>
      <c r="R171" t="b">
        <f>IF(COUNTBLANK(Master_Reference[[#This Row],[C-Flex 3000K Eco Part Number]:[C-Flex 4000K Eco Part Number]])=3,FALSE,TRUE)</f>
        <v>1</v>
      </c>
      <c r="S171" t="b">
        <f>IF(COUNTBLANK(Master_Reference[[#This Row],[C-Flex 3000K 3W Part Number]:[C-Flex 4000K 3W Part Number]])=3,FALSE,TRUE)</f>
        <v>1</v>
      </c>
      <c r="T171" t="b">
        <f>IF(COUNTBLANK(Master_Reference[[#This Row],[Lutron 3000K Eco Part Number]:[Lutron 4000K Eco Part Number]])=3,FALSE,TRUE)</f>
        <v>1</v>
      </c>
      <c r="U171" t="b">
        <f>IF(COUNTBLANK(Master_Reference[[#This Row],[Lutron 3000K 3W Part Number]:[Lutron 4000K 3W Part Number]])=3,FALSE,TRUE)</f>
        <v>1</v>
      </c>
      <c r="V171" s="12" t="s">
        <v>226</v>
      </c>
      <c r="W171" s="12" t="s">
        <v>227</v>
      </c>
      <c r="X171" s="12" t="s">
        <v>228</v>
      </c>
      <c r="Y171" t="s">
        <v>1712</v>
      </c>
      <c r="Z171" s="12" t="s">
        <v>229</v>
      </c>
      <c r="AA171" s="12" t="s">
        <v>230</v>
      </c>
      <c r="AB171" s="12" t="s">
        <v>231</v>
      </c>
      <c r="AC171" t="s">
        <v>1801</v>
      </c>
      <c r="AD171" t="str">
        <f>SUBSTITUTE(Master_Reference[[#This Row],[C-Flex 4000K Eco Part Number]],"40-","xx-")</f>
        <v>RP-PLL-2.5K-1L-8xx-E1-M-G2</v>
      </c>
      <c r="AE171" t="str">
        <f>SUBSTITUTE(Master_Reference[[#This Row],[C-Flex 4000K 3W Part Number]],"40-","xx-")</f>
        <v>RP-PLL-2.5K-1L-8xx-3W-M-G2</v>
      </c>
      <c r="AF171" s="1" t="str">
        <f>_xlfn.IFNA(VLOOKUP(Master_Reference[[#This Row],[C-Flex 3000K Eco Part Number]],Lutron_CFlex_Lookup[],MATCH("Lutron Kit PN",Lutron_CFlex_Lookup[#Headers],0),FALSE),"")</f>
        <v>ELD-TT-1M30-q</v>
      </c>
      <c r="AG171" s="1" t="str">
        <f>_xlfn.IFNA(VLOOKUP(Master_Reference[[#This Row],[C-Flex 3500K Eco Part Number]],Lutron_CFlex_Lookup[],MATCH("Lutron Kit PN",Lutron_CFlex_Lookup[#Headers],0),FALSE),"")</f>
        <v>ELD-TT-1M35-q</v>
      </c>
      <c r="AH171" s="1" t="str">
        <f>_xlfn.IFNA(VLOOKUP(Master_Reference[[#This Row],[C-Flex 4000K Eco Part Number]],Lutron_CFlex_Lookup[],MATCH("Lutron Kit PN",Lutron_CFlex_Lookup[#Headers],0),FALSE),"")</f>
        <v>ELD-TT-1M40-q</v>
      </c>
      <c r="AI171" s="1" t="str">
        <f>_xlfn.IFNA(VLOOKUP(Master_Reference[[#This Row],[C-Flex 5000K Eco Part Number]],Lutron_CFlex_Lookup[],MATCH("Lutron Kit PN",Lutron_CFlex_Lookup[#Headers],0),FALSE),"")</f>
        <v>ELD-TT-1M50-q</v>
      </c>
      <c r="AJ171" s="1" t="str">
        <f>_xlfn.IFNA(VLOOKUP(Master_Reference[[#This Row],[C-Flex 3000K 3W Part Number]],Lutron_CFlex_Lookup[],MATCH("Lutron Kit PN",Lutron_CFlex_Lookup[#Headers],0),FALSE),"")</f>
        <v>3LD-TT-1M30-q</v>
      </c>
      <c r="AK171" s="1" t="str">
        <f>_xlfn.IFNA(VLOOKUP(Master_Reference[[#This Row],[C-Flex 3500K 3W Part Number]],Lutron_CFlex_Lookup[],MATCH("Lutron Kit PN",Lutron_CFlex_Lookup[#Headers],0),FALSE),"")</f>
        <v>3LD-TT-1M35-q</v>
      </c>
      <c r="AL171" s="1" t="str">
        <f>_xlfn.IFNA(VLOOKUP(Master_Reference[[#This Row],[C-Flex 4000K 3W Part Number]],Lutron_CFlex_Lookup[],MATCH("Lutron Kit PN",Lutron_CFlex_Lookup[#Headers],0),FALSE),"")</f>
        <v>3LD-TT-1M40-q</v>
      </c>
      <c r="AM171" s="1" t="str">
        <f>_xlfn.IFNA(VLOOKUP(Master_Reference[[#This Row],[C-Flex 5000K 3W Part Number]],Lutron_CFlex_Lookup[],MATCH("Lutron Kit PN",Lutron_CFlex_Lookup[#Headers],0),FALSE),"")</f>
        <v>3LD-TT-1M50-q</v>
      </c>
      <c r="AN171" s="1" t="b">
        <f>NOT(ISNA(VLOOKUP(Master_Reference[[#This Row],[Model Number]],ObsoleteModels[],1,FALSE)))</f>
        <v>1</v>
      </c>
      <c r="AO171" s="1" t="str">
        <f>IF(LEFT(Master_Reference[[#This Row],[Model Number]],1)="U",LEFT(Master_Reference[[#This Row],[Model Number]],4),LEFT(Master_Reference[[#This Row],[Model Number]],3))</f>
        <v>EC5</v>
      </c>
    </row>
    <row r="172" spans="1:41" x14ac:dyDescent="0.25">
      <c r="A172" s="2" t="s">
        <v>429</v>
      </c>
      <c r="B172" s="1" t="b">
        <v>1</v>
      </c>
      <c r="C172" s="1" t="b">
        <v>1</v>
      </c>
      <c r="F172" s="1" t="b">
        <v>1</v>
      </c>
      <c r="G172" s="1" t="str">
        <f>IF(OR(LEFT(RIGHT(Master_Reference[[#This Row],[Model Number]],3),1)="C",LEFT(RIGHT(Master_Reference[[#This Row],[Model Number]],4),1)="C"),TRUE,"")</f>
        <v/>
      </c>
      <c r="H172" s="1" t="str">
        <f>IF(LEFT(Master_Reference[[#This Row],[Model Number]],1)="U",TRUE,"")</f>
        <v/>
      </c>
      <c r="I172" s="1" t="b">
        <f>IF(Master_Reference[[#This Row],[Lamp Type]]="T4","",IF(Master_Reference[[#This Row],[Case Type]]="M","",TRUE))</f>
        <v>1</v>
      </c>
      <c r="J172" s="1" t="s">
        <v>215</v>
      </c>
      <c r="K172" s="1">
        <v>40</v>
      </c>
      <c r="L172" s="1" t="s">
        <v>225</v>
      </c>
      <c r="M172" s="1">
        <v>1</v>
      </c>
      <c r="N172" s="1" t="s">
        <v>149</v>
      </c>
      <c r="O172" s="1" t="s">
        <v>320</v>
      </c>
      <c r="Q172" s="1" t="s">
        <v>91</v>
      </c>
      <c r="R172" t="b">
        <f>IF(COUNTBLANK(Master_Reference[[#This Row],[C-Flex 3000K Eco Part Number]:[C-Flex 4000K Eco Part Number]])=3,FALSE,TRUE)</f>
        <v>0</v>
      </c>
      <c r="S172" t="b">
        <f>IF(COUNTBLANK(Master_Reference[[#This Row],[C-Flex 3000K 3W Part Number]:[C-Flex 4000K 3W Part Number]])=3,FALSE,TRUE)</f>
        <v>0</v>
      </c>
      <c r="T172" t="b">
        <f>IF(COUNTBLANK(Master_Reference[[#This Row],[Lutron 3000K Eco Part Number]:[Lutron 4000K Eco Part Number]])=3,FALSE,TRUE)</f>
        <v>0</v>
      </c>
      <c r="U172" t="b">
        <f>IF(COUNTBLANK(Master_Reference[[#This Row],[Lutron 3000K 3W Part Number]:[Lutron 4000K 3W Part Number]])=3,FALSE,TRUE)</f>
        <v>0</v>
      </c>
      <c r="V172" s="12"/>
      <c r="W172" s="12"/>
      <c r="X172" s="12"/>
      <c r="Y172" t="s">
        <v>2125</v>
      </c>
      <c r="Z172" s="12"/>
      <c r="AA172" s="12"/>
      <c r="AB172" s="12"/>
      <c r="AC172" t="s">
        <v>2125</v>
      </c>
      <c r="AD172" t="str">
        <f>SUBSTITUTE(Master_Reference[[#This Row],[C-Flex 4000K Eco Part Number]],"40-","xx-")</f>
        <v/>
      </c>
      <c r="AE172" t="str">
        <f>SUBSTITUTE(Master_Reference[[#This Row],[C-Flex 4000K 3W Part Number]],"40-","xx-")</f>
        <v/>
      </c>
      <c r="AF172" s="1" t="str">
        <f>_xlfn.IFNA(VLOOKUP(Master_Reference[[#This Row],[C-Flex 3000K Eco Part Number]],Lutron_CFlex_Lookup[],MATCH("Lutron Kit PN",Lutron_CFlex_Lookup[#Headers],0),FALSE),"")</f>
        <v/>
      </c>
      <c r="AG172" s="1" t="str">
        <f>_xlfn.IFNA(VLOOKUP(Master_Reference[[#This Row],[C-Flex 3500K Eco Part Number]],Lutron_CFlex_Lookup[],MATCH("Lutron Kit PN",Lutron_CFlex_Lookup[#Headers],0),FALSE),"")</f>
        <v/>
      </c>
      <c r="AH172" s="1" t="str">
        <f>_xlfn.IFNA(VLOOKUP(Master_Reference[[#This Row],[C-Flex 4000K Eco Part Number]],Lutron_CFlex_Lookup[],MATCH("Lutron Kit PN",Lutron_CFlex_Lookup[#Headers],0),FALSE),"")</f>
        <v/>
      </c>
      <c r="AI172" s="1" t="str">
        <f>_xlfn.IFNA(VLOOKUP(Master_Reference[[#This Row],[C-Flex 5000K Eco Part Number]],Lutron_CFlex_Lookup[],MATCH("Lutron Kit PN",Lutron_CFlex_Lookup[#Headers],0),FALSE),"")</f>
        <v/>
      </c>
      <c r="AJ172" s="1" t="str">
        <f>_xlfn.IFNA(VLOOKUP(Master_Reference[[#This Row],[C-Flex 3000K 3W Part Number]],Lutron_CFlex_Lookup[],MATCH("Lutron Kit PN",Lutron_CFlex_Lookup[#Headers],0),FALSE),"")</f>
        <v/>
      </c>
      <c r="AK172" s="1" t="str">
        <f>_xlfn.IFNA(VLOOKUP(Master_Reference[[#This Row],[C-Flex 3500K 3W Part Number]],Lutron_CFlex_Lookup[],MATCH("Lutron Kit PN",Lutron_CFlex_Lookup[#Headers],0),FALSE),"")</f>
        <v/>
      </c>
      <c r="AL172" s="1" t="str">
        <f>_xlfn.IFNA(VLOOKUP(Master_Reference[[#This Row],[C-Flex 4000K 3W Part Number]],Lutron_CFlex_Lookup[],MATCH("Lutron Kit PN",Lutron_CFlex_Lookup[#Headers],0),FALSE),"")</f>
        <v/>
      </c>
      <c r="AM172" s="1" t="str">
        <f>_xlfn.IFNA(VLOOKUP(Master_Reference[[#This Row],[C-Flex 5000K 3W Part Number]],Lutron_CFlex_Lookup[],MATCH("Lutron Kit PN",Lutron_CFlex_Lookup[#Headers],0),FALSE),"")</f>
        <v/>
      </c>
      <c r="AN172" s="1" t="b">
        <f>NOT(ISNA(VLOOKUP(Master_Reference[[#This Row],[Model Number]],ObsoleteModels[],1,FALSE)))</f>
        <v>0</v>
      </c>
      <c r="AO172" s="1" t="str">
        <f>IF(LEFT(Master_Reference[[#This Row],[Model Number]],1)="U",LEFT(Master_Reference[[#This Row],[Model Number]],4),LEFT(Master_Reference[[#This Row],[Model Number]],3))</f>
        <v>EC5</v>
      </c>
    </row>
    <row r="173" spans="1:41" x14ac:dyDescent="0.25">
      <c r="A173" s="2" t="s">
        <v>430</v>
      </c>
      <c r="B173" s="1" t="b">
        <v>1</v>
      </c>
      <c r="C173" s="1" t="b">
        <v>1</v>
      </c>
      <c r="F173" s="1" t="b">
        <v>1</v>
      </c>
      <c r="G173" s="1" t="str">
        <f>IF(OR(LEFT(RIGHT(Master_Reference[[#This Row],[Model Number]],3),1)="C",LEFT(RIGHT(Master_Reference[[#This Row],[Model Number]],4),1)="C"),TRUE,"")</f>
        <v/>
      </c>
      <c r="H173" s="1" t="str">
        <f>IF(LEFT(Master_Reference[[#This Row],[Model Number]],1)="U",TRUE,"")</f>
        <v/>
      </c>
      <c r="I173" s="1" t="b">
        <f>IF(Master_Reference[[#This Row],[Lamp Type]]="T4","",IF(Master_Reference[[#This Row],[Case Type]]="M","",TRUE))</f>
        <v>1</v>
      </c>
      <c r="J173" s="1" t="s">
        <v>215</v>
      </c>
      <c r="K173" s="1">
        <v>40</v>
      </c>
      <c r="L173" s="1" t="s">
        <v>225</v>
      </c>
      <c r="M173" s="1">
        <v>2</v>
      </c>
      <c r="N173" s="1" t="s">
        <v>149</v>
      </c>
      <c r="O173" s="1" t="s">
        <v>320</v>
      </c>
      <c r="R173" t="b">
        <f>IF(COUNTBLANK(Master_Reference[[#This Row],[C-Flex 3000K Eco Part Number]:[C-Flex 4000K Eco Part Number]])=3,FALSE,TRUE)</f>
        <v>1</v>
      </c>
      <c r="S173" t="b">
        <f>IF(COUNTBLANK(Master_Reference[[#This Row],[C-Flex 3000K 3W Part Number]:[C-Flex 4000K 3W Part Number]])=3,FALSE,TRUE)</f>
        <v>1</v>
      </c>
      <c r="T173" t="b">
        <f>IF(COUNTBLANK(Master_Reference[[#This Row],[Lutron 3000K Eco Part Number]:[Lutron 4000K Eco Part Number]])=3,FALSE,TRUE)</f>
        <v>1</v>
      </c>
      <c r="U173" t="b">
        <f>IF(COUNTBLANK(Master_Reference[[#This Row],[Lutron 3000K 3W Part Number]:[Lutron 4000K 3W Part Number]])=3,FALSE,TRUE)</f>
        <v>1</v>
      </c>
      <c r="V173" s="12" t="s">
        <v>233</v>
      </c>
      <c r="W173" s="12" t="s">
        <v>234</v>
      </c>
      <c r="X173" s="12" t="s">
        <v>235</v>
      </c>
      <c r="Y173" t="s">
        <v>1713</v>
      </c>
      <c r="Z173" s="12" t="s">
        <v>236</v>
      </c>
      <c r="AA173" s="12" t="s">
        <v>237</v>
      </c>
      <c r="AB173" s="12" t="s">
        <v>238</v>
      </c>
      <c r="AC173" t="s">
        <v>1802</v>
      </c>
      <c r="AD173" t="str">
        <f>SUBSTITUTE(Master_Reference[[#This Row],[C-Flex 4000K Eco Part Number]],"40-","xx-")</f>
        <v>RP-PLL-5.0K-2L-8xx-E1-M-G2</v>
      </c>
      <c r="AE173" t="str">
        <f>SUBSTITUTE(Master_Reference[[#This Row],[C-Flex 4000K 3W Part Number]],"40-","xx-")</f>
        <v>RP-PLL-5.0K-2L-8xx-3W-M-G2</v>
      </c>
      <c r="AF173" s="1" t="str">
        <f>_xlfn.IFNA(VLOOKUP(Master_Reference[[#This Row],[C-Flex 3000K Eco Part Number]],Lutron_CFlex_Lookup[],MATCH("Lutron Kit PN",Lutron_CFlex_Lookup[#Headers],0),FALSE),"")</f>
        <v>ELD-TT-2M30-q</v>
      </c>
      <c r="AG173" s="1" t="str">
        <f>_xlfn.IFNA(VLOOKUP(Master_Reference[[#This Row],[C-Flex 3500K Eco Part Number]],Lutron_CFlex_Lookup[],MATCH("Lutron Kit PN",Lutron_CFlex_Lookup[#Headers],0),FALSE),"")</f>
        <v>ELD-TT-2M35-q</v>
      </c>
      <c r="AH173" s="1" t="str">
        <f>_xlfn.IFNA(VLOOKUP(Master_Reference[[#This Row],[C-Flex 4000K Eco Part Number]],Lutron_CFlex_Lookup[],MATCH("Lutron Kit PN",Lutron_CFlex_Lookup[#Headers],0),FALSE),"")</f>
        <v>ELD-TT-2M40-q</v>
      </c>
      <c r="AI173" s="1" t="str">
        <f>_xlfn.IFNA(VLOOKUP(Master_Reference[[#This Row],[C-Flex 5000K Eco Part Number]],Lutron_CFlex_Lookup[],MATCH("Lutron Kit PN",Lutron_CFlex_Lookup[#Headers],0),FALSE),"")</f>
        <v>ELD-TT-2M50-q</v>
      </c>
      <c r="AJ173" s="1" t="str">
        <f>_xlfn.IFNA(VLOOKUP(Master_Reference[[#This Row],[C-Flex 3000K 3W Part Number]],Lutron_CFlex_Lookup[],MATCH("Lutron Kit PN",Lutron_CFlex_Lookup[#Headers],0),FALSE),"")</f>
        <v>3LD-TT-2M30-q</v>
      </c>
      <c r="AK173" s="1" t="str">
        <f>_xlfn.IFNA(VLOOKUP(Master_Reference[[#This Row],[C-Flex 3500K 3W Part Number]],Lutron_CFlex_Lookup[],MATCH("Lutron Kit PN",Lutron_CFlex_Lookup[#Headers],0),FALSE),"")</f>
        <v>3LD-TT-2M35-q</v>
      </c>
      <c r="AL173" s="1" t="str">
        <f>_xlfn.IFNA(VLOOKUP(Master_Reference[[#This Row],[C-Flex 4000K 3W Part Number]],Lutron_CFlex_Lookup[],MATCH("Lutron Kit PN",Lutron_CFlex_Lookup[#Headers],0),FALSE),"")</f>
        <v>3LD-TT-2M40-q</v>
      </c>
      <c r="AM173" s="1" t="str">
        <f>_xlfn.IFNA(VLOOKUP(Master_Reference[[#This Row],[C-Flex 5000K 3W Part Number]],Lutron_CFlex_Lookup[],MATCH("Lutron Kit PN",Lutron_CFlex_Lookup[#Headers],0),FALSE),"")</f>
        <v>3LD-TT-2M50-q</v>
      </c>
      <c r="AN173" s="1" t="b">
        <f>NOT(ISNA(VLOOKUP(Master_Reference[[#This Row],[Model Number]],ObsoleteModels[],1,FALSE)))</f>
        <v>0</v>
      </c>
      <c r="AO173" s="1" t="str">
        <f>IF(LEFT(Master_Reference[[#This Row],[Model Number]],1)="U",LEFT(Master_Reference[[#This Row],[Model Number]],4),LEFT(Master_Reference[[#This Row],[Model Number]],3))</f>
        <v>EC5</v>
      </c>
    </row>
    <row r="174" spans="1:41" x14ac:dyDescent="0.25">
      <c r="A174" s="2" t="s">
        <v>431</v>
      </c>
      <c r="B174" s="1" t="b">
        <v>1</v>
      </c>
      <c r="C174" s="1" t="b">
        <v>1</v>
      </c>
      <c r="F174" s="1" t="b">
        <v>1</v>
      </c>
      <c r="G174" s="1" t="b">
        <f>IF(OR(LEFT(RIGHT(Master_Reference[[#This Row],[Model Number]],3),1)="C",LEFT(RIGHT(Master_Reference[[#This Row],[Model Number]],4),1)="C"),TRUE,"")</f>
        <v>1</v>
      </c>
      <c r="H174" s="1" t="str">
        <f>IF(LEFT(Master_Reference[[#This Row],[Model Number]],1)="U",TRUE,"")</f>
        <v/>
      </c>
      <c r="I174" s="1" t="b">
        <f>IF(Master_Reference[[#This Row],[Lamp Type]]="T4","",IF(Master_Reference[[#This Row],[Case Type]]="M","",TRUE))</f>
        <v>1</v>
      </c>
      <c r="J174" s="1" t="s">
        <v>215</v>
      </c>
      <c r="K174" s="1">
        <v>40</v>
      </c>
      <c r="L174" s="1" t="s">
        <v>225</v>
      </c>
      <c r="M174" s="1">
        <v>2</v>
      </c>
      <c r="N174" s="1" t="s">
        <v>149</v>
      </c>
      <c r="O174" s="1" t="s">
        <v>320</v>
      </c>
      <c r="R174" t="b">
        <f>IF(COUNTBLANK(Master_Reference[[#This Row],[C-Flex 3000K Eco Part Number]:[C-Flex 4000K Eco Part Number]])=3,FALSE,TRUE)</f>
        <v>1</v>
      </c>
      <c r="S174" t="b">
        <f>IF(COUNTBLANK(Master_Reference[[#This Row],[C-Flex 3000K 3W Part Number]:[C-Flex 4000K 3W Part Number]])=3,FALSE,TRUE)</f>
        <v>1</v>
      </c>
      <c r="T174" t="b">
        <f>IF(COUNTBLANK(Master_Reference[[#This Row],[Lutron 3000K Eco Part Number]:[Lutron 4000K Eco Part Number]])=3,FALSE,TRUE)</f>
        <v>1</v>
      </c>
      <c r="U174" t="b">
        <f>IF(COUNTBLANK(Master_Reference[[#This Row],[Lutron 3000K 3W Part Number]:[Lutron 4000K 3W Part Number]])=3,FALSE,TRUE)</f>
        <v>1</v>
      </c>
      <c r="V174" s="12" t="s">
        <v>233</v>
      </c>
      <c r="W174" s="12" t="s">
        <v>234</v>
      </c>
      <c r="X174" s="12" t="s">
        <v>235</v>
      </c>
      <c r="Y174" t="s">
        <v>1713</v>
      </c>
      <c r="Z174" s="12" t="s">
        <v>236</v>
      </c>
      <c r="AA174" s="12" t="s">
        <v>237</v>
      </c>
      <c r="AB174" s="12" t="s">
        <v>238</v>
      </c>
      <c r="AC174" t="s">
        <v>1802</v>
      </c>
      <c r="AD174" t="str">
        <f>SUBSTITUTE(Master_Reference[[#This Row],[C-Flex 4000K Eco Part Number]],"40-","xx-")</f>
        <v>RP-PLL-5.0K-2L-8xx-E1-M-G2</v>
      </c>
      <c r="AE174" t="str">
        <f>SUBSTITUTE(Master_Reference[[#This Row],[C-Flex 4000K 3W Part Number]],"40-","xx-")</f>
        <v>RP-PLL-5.0K-2L-8xx-3W-M-G2</v>
      </c>
      <c r="AF174" s="1" t="str">
        <f>_xlfn.IFNA(VLOOKUP(Master_Reference[[#This Row],[C-Flex 3000K Eco Part Number]],Lutron_CFlex_Lookup[],MATCH("Lutron Kit PN",Lutron_CFlex_Lookup[#Headers],0),FALSE),"")</f>
        <v>ELD-TT-2M30-q</v>
      </c>
      <c r="AG174" s="1" t="str">
        <f>_xlfn.IFNA(VLOOKUP(Master_Reference[[#This Row],[C-Flex 3500K Eco Part Number]],Lutron_CFlex_Lookup[],MATCH("Lutron Kit PN",Lutron_CFlex_Lookup[#Headers],0),FALSE),"")</f>
        <v>ELD-TT-2M35-q</v>
      </c>
      <c r="AH174" s="1" t="str">
        <f>_xlfn.IFNA(VLOOKUP(Master_Reference[[#This Row],[C-Flex 4000K Eco Part Number]],Lutron_CFlex_Lookup[],MATCH("Lutron Kit PN",Lutron_CFlex_Lookup[#Headers],0),FALSE),"")</f>
        <v>ELD-TT-2M40-q</v>
      </c>
      <c r="AI174" s="1" t="str">
        <f>_xlfn.IFNA(VLOOKUP(Master_Reference[[#This Row],[C-Flex 5000K Eco Part Number]],Lutron_CFlex_Lookup[],MATCH("Lutron Kit PN",Lutron_CFlex_Lookup[#Headers],0),FALSE),"")</f>
        <v>ELD-TT-2M50-q</v>
      </c>
      <c r="AJ174" s="1" t="str">
        <f>_xlfn.IFNA(VLOOKUP(Master_Reference[[#This Row],[C-Flex 3000K 3W Part Number]],Lutron_CFlex_Lookup[],MATCH("Lutron Kit PN",Lutron_CFlex_Lookup[#Headers],0),FALSE),"")</f>
        <v>3LD-TT-2M30-q</v>
      </c>
      <c r="AK174" s="1" t="str">
        <f>_xlfn.IFNA(VLOOKUP(Master_Reference[[#This Row],[C-Flex 3500K 3W Part Number]],Lutron_CFlex_Lookup[],MATCH("Lutron Kit PN",Lutron_CFlex_Lookup[#Headers],0),FALSE),"")</f>
        <v>3LD-TT-2M35-q</v>
      </c>
      <c r="AL174" s="1" t="str">
        <f>_xlfn.IFNA(VLOOKUP(Master_Reference[[#This Row],[C-Flex 4000K 3W Part Number]],Lutron_CFlex_Lookup[],MATCH("Lutron Kit PN",Lutron_CFlex_Lookup[#Headers],0),FALSE),"")</f>
        <v>3LD-TT-2M40-q</v>
      </c>
      <c r="AM174" s="1" t="str">
        <f>_xlfn.IFNA(VLOOKUP(Master_Reference[[#This Row],[C-Flex 5000K 3W Part Number]],Lutron_CFlex_Lookup[],MATCH("Lutron Kit PN",Lutron_CFlex_Lookup[#Headers],0),FALSE),"")</f>
        <v>3LD-TT-2M50-q</v>
      </c>
      <c r="AN174" s="1" t="b">
        <f>NOT(ISNA(VLOOKUP(Master_Reference[[#This Row],[Model Number]],ObsoleteModels[],1,FALSE)))</f>
        <v>1</v>
      </c>
      <c r="AO174" s="1" t="str">
        <f>IF(LEFT(Master_Reference[[#This Row],[Model Number]],1)="U",LEFT(Master_Reference[[#This Row],[Model Number]],4),LEFT(Master_Reference[[#This Row],[Model Number]],3))</f>
        <v>EC5</v>
      </c>
    </row>
    <row r="175" spans="1:41" x14ac:dyDescent="0.25">
      <c r="A175" s="2" t="s">
        <v>432</v>
      </c>
      <c r="B175" s="1" t="b">
        <v>1</v>
      </c>
      <c r="C175" s="1" t="b">
        <v>1</v>
      </c>
      <c r="F175" s="1" t="b">
        <v>1</v>
      </c>
      <c r="G175" s="1" t="b">
        <f>IF(OR(LEFT(RIGHT(Master_Reference[[#This Row],[Model Number]],3),1)="C",LEFT(RIGHT(Master_Reference[[#This Row],[Model Number]],4),1)="C"),TRUE,"")</f>
        <v>1</v>
      </c>
      <c r="H175" s="1" t="str">
        <f>IF(LEFT(Master_Reference[[#This Row],[Model Number]],1)="U",TRUE,"")</f>
        <v/>
      </c>
      <c r="I175" s="1" t="b">
        <f>IF(Master_Reference[[#This Row],[Lamp Type]]="T4","",IF(Master_Reference[[#This Row],[Case Type]]="M","",TRUE))</f>
        <v>1</v>
      </c>
      <c r="J175" s="1" t="s">
        <v>215</v>
      </c>
      <c r="K175" s="1">
        <v>40</v>
      </c>
      <c r="L175" s="1" t="s">
        <v>225</v>
      </c>
      <c r="M175" s="1">
        <v>2</v>
      </c>
      <c r="N175" s="1" t="s">
        <v>149</v>
      </c>
      <c r="O175" s="1" t="s">
        <v>320</v>
      </c>
      <c r="R175" t="b">
        <f>IF(COUNTBLANK(Master_Reference[[#This Row],[C-Flex 3000K Eco Part Number]:[C-Flex 4000K Eco Part Number]])=3,FALSE,TRUE)</f>
        <v>1</v>
      </c>
      <c r="S175" t="b">
        <f>IF(COUNTBLANK(Master_Reference[[#This Row],[C-Flex 3000K 3W Part Number]:[C-Flex 4000K 3W Part Number]])=3,FALSE,TRUE)</f>
        <v>1</v>
      </c>
      <c r="T175" t="b">
        <f>IF(COUNTBLANK(Master_Reference[[#This Row],[Lutron 3000K Eco Part Number]:[Lutron 4000K Eco Part Number]])=3,FALSE,TRUE)</f>
        <v>1</v>
      </c>
      <c r="U175" t="b">
        <f>IF(COUNTBLANK(Master_Reference[[#This Row],[Lutron 3000K 3W Part Number]:[Lutron 4000K 3W Part Number]])=3,FALSE,TRUE)</f>
        <v>1</v>
      </c>
      <c r="V175" s="12" t="s">
        <v>233</v>
      </c>
      <c r="W175" s="12" t="s">
        <v>234</v>
      </c>
      <c r="X175" s="12" t="s">
        <v>235</v>
      </c>
      <c r="Y175" t="s">
        <v>1713</v>
      </c>
      <c r="Z175" s="12" t="s">
        <v>236</v>
      </c>
      <c r="AA175" s="12" t="s">
        <v>237</v>
      </c>
      <c r="AB175" s="12" t="s">
        <v>238</v>
      </c>
      <c r="AC175" t="s">
        <v>1802</v>
      </c>
      <c r="AD175" t="str">
        <f>SUBSTITUTE(Master_Reference[[#This Row],[C-Flex 4000K Eco Part Number]],"40-","xx-")</f>
        <v>RP-PLL-5.0K-2L-8xx-E1-M-G2</v>
      </c>
      <c r="AE175" t="str">
        <f>SUBSTITUTE(Master_Reference[[#This Row],[C-Flex 4000K 3W Part Number]],"40-","xx-")</f>
        <v>RP-PLL-5.0K-2L-8xx-3W-M-G2</v>
      </c>
      <c r="AF175" s="1" t="str">
        <f>_xlfn.IFNA(VLOOKUP(Master_Reference[[#This Row],[C-Flex 3000K Eco Part Number]],Lutron_CFlex_Lookup[],MATCH("Lutron Kit PN",Lutron_CFlex_Lookup[#Headers],0),FALSE),"")</f>
        <v>ELD-TT-2M30-q</v>
      </c>
      <c r="AG175" s="1" t="str">
        <f>_xlfn.IFNA(VLOOKUP(Master_Reference[[#This Row],[C-Flex 3500K Eco Part Number]],Lutron_CFlex_Lookup[],MATCH("Lutron Kit PN",Lutron_CFlex_Lookup[#Headers],0),FALSE),"")</f>
        <v>ELD-TT-2M35-q</v>
      </c>
      <c r="AH175" s="1" t="str">
        <f>_xlfn.IFNA(VLOOKUP(Master_Reference[[#This Row],[C-Flex 4000K Eco Part Number]],Lutron_CFlex_Lookup[],MATCH("Lutron Kit PN",Lutron_CFlex_Lookup[#Headers],0),FALSE),"")</f>
        <v>ELD-TT-2M40-q</v>
      </c>
      <c r="AI175" s="1" t="str">
        <f>_xlfn.IFNA(VLOOKUP(Master_Reference[[#This Row],[C-Flex 5000K Eco Part Number]],Lutron_CFlex_Lookup[],MATCH("Lutron Kit PN",Lutron_CFlex_Lookup[#Headers],0),FALSE),"")</f>
        <v>ELD-TT-2M50-q</v>
      </c>
      <c r="AJ175" s="1" t="str">
        <f>_xlfn.IFNA(VLOOKUP(Master_Reference[[#This Row],[C-Flex 3000K 3W Part Number]],Lutron_CFlex_Lookup[],MATCH("Lutron Kit PN",Lutron_CFlex_Lookup[#Headers],0),FALSE),"")</f>
        <v>3LD-TT-2M30-q</v>
      </c>
      <c r="AK175" s="1" t="str">
        <f>_xlfn.IFNA(VLOOKUP(Master_Reference[[#This Row],[C-Flex 3500K 3W Part Number]],Lutron_CFlex_Lookup[],MATCH("Lutron Kit PN",Lutron_CFlex_Lookup[#Headers],0),FALSE),"")</f>
        <v>3LD-TT-2M35-q</v>
      </c>
      <c r="AL175" s="1" t="str">
        <f>_xlfn.IFNA(VLOOKUP(Master_Reference[[#This Row],[C-Flex 4000K 3W Part Number]],Lutron_CFlex_Lookup[],MATCH("Lutron Kit PN",Lutron_CFlex_Lookup[#Headers],0),FALSE),"")</f>
        <v>3LD-TT-2M40-q</v>
      </c>
      <c r="AM175" s="1" t="str">
        <f>_xlfn.IFNA(VLOOKUP(Master_Reference[[#This Row],[C-Flex 5000K 3W Part Number]],Lutron_CFlex_Lookup[],MATCH("Lutron Kit PN",Lutron_CFlex_Lookup[#Headers],0),FALSE),"")</f>
        <v>3LD-TT-2M50-q</v>
      </c>
      <c r="AN175" s="1" t="b">
        <f>NOT(ISNA(VLOOKUP(Master_Reference[[#This Row],[Model Number]],ObsoleteModels[],1,FALSE)))</f>
        <v>1</v>
      </c>
      <c r="AO175" s="1" t="str">
        <f>IF(LEFT(Master_Reference[[#This Row],[Model Number]],1)="U",LEFT(Master_Reference[[#This Row],[Model Number]],4),LEFT(Master_Reference[[#This Row],[Model Number]],3))</f>
        <v>EC5</v>
      </c>
    </row>
    <row r="176" spans="1:41" x14ac:dyDescent="0.25">
      <c r="A176" s="2" t="s">
        <v>433</v>
      </c>
      <c r="B176" s="1" t="b">
        <v>1</v>
      </c>
      <c r="C176" s="1" t="b">
        <v>1</v>
      </c>
      <c r="F176" s="1" t="b">
        <v>1</v>
      </c>
      <c r="G176" s="1" t="b">
        <f>IF(OR(LEFT(RIGHT(Master_Reference[[#This Row],[Model Number]],3),1)="C",LEFT(RIGHT(Master_Reference[[#This Row],[Model Number]],4),1)="C"),TRUE,"")</f>
        <v>1</v>
      </c>
      <c r="H176" s="1" t="str">
        <f>IF(LEFT(Master_Reference[[#This Row],[Model Number]],1)="U",TRUE,"")</f>
        <v/>
      </c>
      <c r="I176" s="1" t="b">
        <f>IF(Master_Reference[[#This Row],[Lamp Type]]="T4","",IF(Master_Reference[[#This Row],[Case Type]]="M","",TRUE))</f>
        <v>1</v>
      </c>
      <c r="J176" s="1" t="s">
        <v>215</v>
      </c>
      <c r="K176" s="1">
        <v>40</v>
      </c>
      <c r="L176" s="1" t="s">
        <v>225</v>
      </c>
      <c r="M176" s="1">
        <v>2</v>
      </c>
      <c r="N176" s="1" t="s">
        <v>149</v>
      </c>
      <c r="O176" s="1" t="s">
        <v>320</v>
      </c>
      <c r="R176" t="b">
        <f>IF(COUNTBLANK(Master_Reference[[#This Row],[C-Flex 3000K Eco Part Number]:[C-Flex 4000K Eco Part Number]])=3,FALSE,TRUE)</f>
        <v>1</v>
      </c>
      <c r="S176" t="b">
        <f>IF(COUNTBLANK(Master_Reference[[#This Row],[C-Flex 3000K 3W Part Number]:[C-Flex 4000K 3W Part Number]])=3,FALSE,TRUE)</f>
        <v>1</v>
      </c>
      <c r="T176" t="b">
        <f>IF(COUNTBLANK(Master_Reference[[#This Row],[Lutron 3000K Eco Part Number]:[Lutron 4000K Eco Part Number]])=3,FALSE,TRUE)</f>
        <v>1</v>
      </c>
      <c r="U176" t="b">
        <f>IF(COUNTBLANK(Master_Reference[[#This Row],[Lutron 3000K 3W Part Number]:[Lutron 4000K 3W Part Number]])=3,FALSE,TRUE)</f>
        <v>1</v>
      </c>
      <c r="V176" s="12" t="s">
        <v>233</v>
      </c>
      <c r="W176" s="12" t="s">
        <v>234</v>
      </c>
      <c r="X176" s="12" t="s">
        <v>235</v>
      </c>
      <c r="Y176" t="s">
        <v>1713</v>
      </c>
      <c r="Z176" s="12" t="s">
        <v>236</v>
      </c>
      <c r="AA176" s="12" t="s">
        <v>237</v>
      </c>
      <c r="AB176" s="12" t="s">
        <v>238</v>
      </c>
      <c r="AC176" t="s">
        <v>1802</v>
      </c>
      <c r="AD176" t="str">
        <f>SUBSTITUTE(Master_Reference[[#This Row],[C-Flex 4000K Eco Part Number]],"40-","xx-")</f>
        <v>RP-PLL-5.0K-2L-8xx-E1-M-G2</v>
      </c>
      <c r="AE176" t="str">
        <f>SUBSTITUTE(Master_Reference[[#This Row],[C-Flex 4000K 3W Part Number]],"40-","xx-")</f>
        <v>RP-PLL-5.0K-2L-8xx-3W-M-G2</v>
      </c>
      <c r="AF176" s="1" t="str">
        <f>_xlfn.IFNA(VLOOKUP(Master_Reference[[#This Row],[C-Flex 3000K Eco Part Number]],Lutron_CFlex_Lookup[],MATCH("Lutron Kit PN",Lutron_CFlex_Lookup[#Headers],0),FALSE),"")</f>
        <v>ELD-TT-2M30-q</v>
      </c>
      <c r="AG176" s="1" t="str">
        <f>_xlfn.IFNA(VLOOKUP(Master_Reference[[#This Row],[C-Flex 3500K Eco Part Number]],Lutron_CFlex_Lookup[],MATCH("Lutron Kit PN",Lutron_CFlex_Lookup[#Headers],0),FALSE),"")</f>
        <v>ELD-TT-2M35-q</v>
      </c>
      <c r="AH176" s="1" t="str">
        <f>_xlfn.IFNA(VLOOKUP(Master_Reference[[#This Row],[C-Flex 4000K Eco Part Number]],Lutron_CFlex_Lookup[],MATCH("Lutron Kit PN",Lutron_CFlex_Lookup[#Headers],0),FALSE),"")</f>
        <v>ELD-TT-2M40-q</v>
      </c>
      <c r="AI176" s="1" t="str">
        <f>_xlfn.IFNA(VLOOKUP(Master_Reference[[#This Row],[C-Flex 5000K Eco Part Number]],Lutron_CFlex_Lookup[],MATCH("Lutron Kit PN",Lutron_CFlex_Lookup[#Headers],0),FALSE),"")</f>
        <v>ELD-TT-2M50-q</v>
      </c>
      <c r="AJ176" s="1" t="str">
        <f>_xlfn.IFNA(VLOOKUP(Master_Reference[[#This Row],[C-Flex 3000K 3W Part Number]],Lutron_CFlex_Lookup[],MATCH("Lutron Kit PN",Lutron_CFlex_Lookup[#Headers],0),FALSE),"")</f>
        <v>3LD-TT-2M30-q</v>
      </c>
      <c r="AK176" s="1" t="str">
        <f>_xlfn.IFNA(VLOOKUP(Master_Reference[[#This Row],[C-Flex 3500K 3W Part Number]],Lutron_CFlex_Lookup[],MATCH("Lutron Kit PN",Lutron_CFlex_Lookup[#Headers],0),FALSE),"")</f>
        <v>3LD-TT-2M35-q</v>
      </c>
      <c r="AL176" s="1" t="str">
        <f>_xlfn.IFNA(VLOOKUP(Master_Reference[[#This Row],[C-Flex 4000K 3W Part Number]],Lutron_CFlex_Lookup[],MATCH("Lutron Kit PN",Lutron_CFlex_Lookup[#Headers],0),FALSE),"")</f>
        <v>3LD-TT-2M40-q</v>
      </c>
      <c r="AM176" s="1" t="str">
        <f>_xlfn.IFNA(VLOOKUP(Master_Reference[[#This Row],[C-Flex 5000K 3W Part Number]],Lutron_CFlex_Lookup[],MATCH("Lutron Kit PN",Lutron_CFlex_Lookup[#Headers],0),FALSE),"")</f>
        <v>3LD-TT-2M50-q</v>
      </c>
      <c r="AN176" s="1" t="b">
        <f>NOT(ISNA(VLOOKUP(Master_Reference[[#This Row],[Model Number]],ObsoleteModels[],1,FALSE)))</f>
        <v>1</v>
      </c>
      <c r="AO176" s="1" t="str">
        <f>IF(LEFT(Master_Reference[[#This Row],[Model Number]],1)="U",LEFT(Master_Reference[[#This Row],[Model Number]],4),LEFT(Master_Reference[[#This Row],[Model Number]],3))</f>
        <v>EC5</v>
      </c>
    </row>
    <row r="177" spans="1:41" x14ac:dyDescent="0.25">
      <c r="A177" s="2" t="s">
        <v>434</v>
      </c>
      <c r="B177" s="1" t="b">
        <v>1</v>
      </c>
      <c r="C177" s="1" t="b">
        <v>1</v>
      </c>
      <c r="F177" s="1" t="b">
        <v>1</v>
      </c>
      <c r="G177" s="1" t="str">
        <f>IF(OR(LEFT(RIGHT(Master_Reference[[#This Row],[Model Number]],3),1)="C",LEFT(RIGHT(Master_Reference[[#This Row],[Model Number]],4),1)="C"),TRUE,"")</f>
        <v/>
      </c>
      <c r="H177" s="1" t="str">
        <f>IF(LEFT(Master_Reference[[#This Row],[Model Number]],1)="U",TRUE,"")</f>
        <v/>
      </c>
      <c r="I177" s="1" t="b">
        <f>IF(Master_Reference[[#This Row],[Lamp Type]]="T4","",IF(Master_Reference[[#This Row],[Case Type]]="M","",TRUE))</f>
        <v>1</v>
      </c>
      <c r="J177" s="1" t="s">
        <v>215</v>
      </c>
      <c r="K177" s="1">
        <v>40</v>
      </c>
      <c r="L177" s="1" t="s">
        <v>225</v>
      </c>
      <c r="M177" s="1">
        <v>2</v>
      </c>
      <c r="N177" s="1" t="s">
        <v>149</v>
      </c>
      <c r="O177" s="1" t="s">
        <v>320</v>
      </c>
      <c r="Q177" s="1" t="s">
        <v>91</v>
      </c>
      <c r="R177" t="b">
        <f>IF(COUNTBLANK(Master_Reference[[#This Row],[C-Flex 3000K Eco Part Number]:[C-Flex 4000K Eco Part Number]])=3,FALSE,TRUE)</f>
        <v>0</v>
      </c>
      <c r="S177" t="b">
        <f>IF(COUNTBLANK(Master_Reference[[#This Row],[C-Flex 3000K 3W Part Number]:[C-Flex 4000K 3W Part Number]])=3,FALSE,TRUE)</f>
        <v>0</v>
      </c>
      <c r="T177" t="b">
        <f>IF(COUNTBLANK(Master_Reference[[#This Row],[Lutron 3000K Eco Part Number]:[Lutron 4000K Eco Part Number]])=3,FALSE,TRUE)</f>
        <v>0</v>
      </c>
      <c r="U177" t="b">
        <f>IF(COUNTBLANK(Master_Reference[[#This Row],[Lutron 3000K 3W Part Number]:[Lutron 4000K 3W Part Number]])=3,FALSE,TRUE)</f>
        <v>0</v>
      </c>
      <c r="V177" s="12"/>
      <c r="W177" s="12"/>
      <c r="X177" s="12"/>
      <c r="Y177" t="s">
        <v>2125</v>
      </c>
      <c r="Z177" s="12"/>
      <c r="AA177" s="12"/>
      <c r="AB177" s="12"/>
      <c r="AC177" t="s">
        <v>2125</v>
      </c>
      <c r="AD177" t="str">
        <f>SUBSTITUTE(Master_Reference[[#This Row],[C-Flex 4000K Eco Part Number]],"40-","xx-")</f>
        <v/>
      </c>
      <c r="AE177" t="str">
        <f>SUBSTITUTE(Master_Reference[[#This Row],[C-Flex 4000K 3W Part Number]],"40-","xx-")</f>
        <v/>
      </c>
      <c r="AF177" s="1" t="str">
        <f>_xlfn.IFNA(VLOOKUP(Master_Reference[[#This Row],[C-Flex 3000K Eco Part Number]],Lutron_CFlex_Lookup[],MATCH("Lutron Kit PN",Lutron_CFlex_Lookup[#Headers],0),FALSE),"")</f>
        <v/>
      </c>
      <c r="AG177" s="1" t="str">
        <f>_xlfn.IFNA(VLOOKUP(Master_Reference[[#This Row],[C-Flex 3500K Eco Part Number]],Lutron_CFlex_Lookup[],MATCH("Lutron Kit PN",Lutron_CFlex_Lookup[#Headers],0),FALSE),"")</f>
        <v/>
      </c>
      <c r="AH177" s="1" t="str">
        <f>_xlfn.IFNA(VLOOKUP(Master_Reference[[#This Row],[C-Flex 4000K Eco Part Number]],Lutron_CFlex_Lookup[],MATCH("Lutron Kit PN",Lutron_CFlex_Lookup[#Headers],0),FALSE),"")</f>
        <v/>
      </c>
      <c r="AI177" s="1" t="str">
        <f>_xlfn.IFNA(VLOOKUP(Master_Reference[[#This Row],[C-Flex 5000K Eco Part Number]],Lutron_CFlex_Lookup[],MATCH("Lutron Kit PN",Lutron_CFlex_Lookup[#Headers],0),FALSE),"")</f>
        <v/>
      </c>
      <c r="AJ177" s="1" t="str">
        <f>_xlfn.IFNA(VLOOKUP(Master_Reference[[#This Row],[C-Flex 3000K 3W Part Number]],Lutron_CFlex_Lookup[],MATCH("Lutron Kit PN",Lutron_CFlex_Lookup[#Headers],0),FALSE),"")</f>
        <v/>
      </c>
      <c r="AK177" s="1" t="str">
        <f>_xlfn.IFNA(VLOOKUP(Master_Reference[[#This Row],[C-Flex 3500K 3W Part Number]],Lutron_CFlex_Lookup[],MATCH("Lutron Kit PN",Lutron_CFlex_Lookup[#Headers],0),FALSE),"")</f>
        <v/>
      </c>
      <c r="AL177" s="1" t="str">
        <f>_xlfn.IFNA(VLOOKUP(Master_Reference[[#This Row],[C-Flex 4000K 3W Part Number]],Lutron_CFlex_Lookup[],MATCH("Lutron Kit PN",Lutron_CFlex_Lookup[#Headers],0),FALSE),"")</f>
        <v/>
      </c>
      <c r="AM177" s="1" t="str">
        <f>_xlfn.IFNA(VLOOKUP(Master_Reference[[#This Row],[C-Flex 5000K 3W Part Number]],Lutron_CFlex_Lookup[],MATCH("Lutron Kit PN",Lutron_CFlex_Lookup[#Headers],0),FALSE),"")</f>
        <v/>
      </c>
      <c r="AN177" s="1" t="b">
        <f>NOT(ISNA(VLOOKUP(Master_Reference[[#This Row],[Model Number]],ObsoleteModels[],1,FALSE)))</f>
        <v>0</v>
      </c>
      <c r="AO177" s="1" t="str">
        <f>IF(LEFT(Master_Reference[[#This Row],[Model Number]],1)="U",LEFT(Master_Reference[[#This Row],[Model Number]],4),LEFT(Master_Reference[[#This Row],[Model Number]],3))</f>
        <v>EC5</v>
      </c>
    </row>
    <row r="178" spans="1:41" x14ac:dyDescent="0.25">
      <c r="A178" s="2" t="s">
        <v>435</v>
      </c>
      <c r="B178" s="1" t="b">
        <v>1</v>
      </c>
      <c r="C178" s="1" t="b">
        <v>1</v>
      </c>
      <c r="F178" s="1" t="b">
        <v>1</v>
      </c>
      <c r="G178" s="1" t="b">
        <v>1</v>
      </c>
      <c r="H178" s="1" t="str">
        <f>IF(LEFT(Master_Reference[[#This Row],[Model Number]],1)="U",TRUE,"")</f>
        <v/>
      </c>
      <c r="I178" s="1" t="b">
        <f>IF(Master_Reference[[#This Row],[Lamp Type]]="T4","",IF(Master_Reference[[#This Row],[Case Type]]="M","",TRUE))</f>
        <v>1</v>
      </c>
      <c r="J178" s="1" t="s">
        <v>215</v>
      </c>
      <c r="K178" s="1">
        <v>40</v>
      </c>
      <c r="L178" s="1" t="s">
        <v>225</v>
      </c>
      <c r="M178" s="1">
        <v>1</v>
      </c>
      <c r="N178" s="1" t="s">
        <v>149</v>
      </c>
      <c r="O178" s="1" t="s">
        <v>320</v>
      </c>
      <c r="R178" t="b">
        <f>IF(COUNTBLANK(Master_Reference[[#This Row],[C-Flex 3000K Eco Part Number]:[C-Flex 4000K Eco Part Number]])=3,FALSE,TRUE)</f>
        <v>1</v>
      </c>
      <c r="S178" t="b">
        <f>IF(COUNTBLANK(Master_Reference[[#This Row],[C-Flex 3000K 3W Part Number]:[C-Flex 4000K 3W Part Number]])=3,FALSE,TRUE)</f>
        <v>1</v>
      </c>
      <c r="T178" t="b">
        <f>IF(COUNTBLANK(Master_Reference[[#This Row],[Lutron 3000K Eco Part Number]:[Lutron 4000K Eco Part Number]])=3,FALSE,TRUE)</f>
        <v>1</v>
      </c>
      <c r="U178" t="b">
        <f>IF(COUNTBLANK(Master_Reference[[#This Row],[Lutron 3000K 3W Part Number]:[Lutron 4000K 3W Part Number]])=3,FALSE,TRUE)</f>
        <v>1</v>
      </c>
      <c r="V178" s="12" t="s">
        <v>226</v>
      </c>
      <c r="W178" s="12" t="s">
        <v>227</v>
      </c>
      <c r="X178" s="12" t="s">
        <v>228</v>
      </c>
      <c r="Y178" t="s">
        <v>1712</v>
      </c>
      <c r="Z178" s="12" t="s">
        <v>229</v>
      </c>
      <c r="AA178" s="12" t="s">
        <v>230</v>
      </c>
      <c r="AB178" s="12" t="s">
        <v>231</v>
      </c>
      <c r="AC178" t="s">
        <v>1801</v>
      </c>
      <c r="AD178" t="str">
        <f>SUBSTITUTE(Master_Reference[[#This Row],[C-Flex 4000K Eco Part Number]],"40-","xx-")</f>
        <v>RP-PLL-2.5K-1L-8xx-E1-M-G2</v>
      </c>
      <c r="AE178" t="str">
        <f>SUBSTITUTE(Master_Reference[[#This Row],[C-Flex 4000K 3W Part Number]],"40-","xx-")</f>
        <v>RP-PLL-2.5K-1L-8xx-3W-M-G2</v>
      </c>
      <c r="AF178" s="1" t="str">
        <f>_xlfn.IFNA(VLOOKUP(Master_Reference[[#This Row],[C-Flex 3000K Eco Part Number]],Lutron_CFlex_Lookup[],MATCH("Lutron Kit PN",Lutron_CFlex_Lookup[#Headers],0),FALSE),"")</f>
        <v>ELD-TT-1M30-q</v>
      </c>
      <c r="AG178" s="1" t="str">
        <f>_xlfn.IFNA(VLOOKUP(Master_Reference[[#This Row],[C-Flex 3500K Eco Part Number]],Lutron_CFlex_Lookup[],MATCH("Lutron Kit PN",Lutron_CFlex_Lookup[#Headers],0),FALSE),"")</f>
        <v>ELD-TT-1M35-q</v>
      </c>
      <c r="AH178" s="1" t="str">
        <f>_xlfn.IFNA(VLOOKUP(Master_Reference[[#This Row],[C-Flex 4000K Eco Part Number]],Lutron_CFlex_Lookup[],MATCH("Lutron Kit PN",Lutron_CFlex_Lookup[#Headers],0),FALSE),"")</f>
        <v>ELD-TT-1M40-q</v>
      </c>
      <c r="AI178" s="1" t="str">
        <f>_xlfn.IFNA(VLOOKUP(Master_Reference[[#This Row],[C-Flex 5000K Eco Part Number]],Lutron_CFlex_Lookup[],MATCH("Lutron Kit PN",Lutron_CFlex_Lookup[#Headers],0),FALSE),"")</f>
        <v>ELD-TT-1M50-q</v>
      </c>
      <c r="AJ178" s="1" t="str">
        <f>_xlfn.IFNA(VLOOKUP(Master_Reference[[#This Row],[C-Flex 3000K 3W Part Number]],Lutron_CFlex_Lookup[],MATCH("Lutron Kit PN",Lutron_CFlex_Lookup[#Headers],0),FALSE),"")</f>
        <v>3LD-TT-1M30-q</v>
      </c>
      <c r="AK178" s="1" t="str">
        <f>_xlfn.IFNA(VLOOKUP(Master_Reference[[#This Row],[C-Flex 3500K 3W Part Number]],Lutron_CFlex_Lookup[],MATCH("Lutron Kit PN",Lutron_CFlex_Lookup[#Headers],0),FALSE),"")</f>
        <v>3LD-TT-1M35-q</v>
      </c>
      <c r="AL178" s="1" t="str">
        <f>_xlfn.IFNA(VLOOKUP(Master_Reference[[#This Row],[C-Flex 4000K 3W Part Number]],Lutron_CFlex_Lookup[],MATCH("Lutron Kit PN",Lutron_CFlex_Lookup[#Headers],0),FALSE),"")</f>
        <v>3LD-TT-1M40-q</v>
      </c>
      <c r="AM178" s="1" t="str">
        <f>_xlfn.IFNA(VLOOKUP(Master_Reference[[#This Row],[C-Flex 5000K 3W Part Number]],Lutron_CFlex_Lookup[],MATCH("Lutron Kit PN",Lutron_CFlex_Lookup[#Headers],0),FALSE),"")</f>
        <v>3LD-TT-1M50-q</v>
      </c>
      <c r="AN178" s="1" t="b">
        <f>NOT(ISNA(VLOOKUP(Master_Reference[[#This Row],[Model Number]],ObsoleteModels[],1,FALSE)))</f>
        <v>0</v>
      </c>
      <c r="AO178" s="1" t="str">
        <f>IF(LEFT(Master_Reference[[#This Row],[Model Number]],1)="U",LEFT(Master_Reference[[#This Row],[Model Number]],4),LEFT(Master_Reference[[#This Row],[Model Number]],3))</f>
        <v>EC5</v>
      </c>
    </row>
    <row r="179" spans="1:41" x14ac:dyDescent="0.25">
      <c r="A179" s="2" t="s">
        <v>436</v>
      </c>
      <c r="B179" s="1" t="b">
        <v>1</v>
      </c>
      <c r="C179" s="1" t="b">
        <v>1</v>
      </c>
      <c r="F179" s="1" t="b">
        <v>1</v>
      </c>
      <c r="G179" s="1" t="b">
        <v>1</v>
      </c>
      <c r="H179" s="1" t="str">
        <f>IF(LEFT(Master_Reference[[#This Row],[Model Number]],1)="U",TRUE,"")</f>
        <v/>
      </c>
      <c r="I179" s="1" t="b">
        <f>IF(Master_Reference[[#This Row],[Lamp Type]]="T4","",IF(Master_Reference[[#This Row],[Case Type]]="M","",TRUE))</f>
        <v>1</v>
      </c>
      <c r="J179" s="1" t="s">
        <v>215</v>
      </c>
      <c r="K179" s="1">
        <v>40</v>
      </c>
      <c r="L179" s="1" t="s">
        <v>225</v>
      </c>
      <c r="M179" s="1">
        <v>2</v>
      </c>
      <c r="N179" s="1" t="s">
        <v>149</v>
      </c>
      <c r="O179" s="1" t="s">
        <v>320</v>
      </c>
      <c r="R179" t="b">
        <f>IF(COUNTBLANK(Master_Reference[[#This Row],[C-Flex 3000K Eco Part Number]:[C-Flex 4000K Eco Part Number]])=3,FALSE,TRUE)</f>
        <v>1</v>
      </c>
      <c r="S179" t="b">
        <f>IF(COUNTBLANK(Master_Reference[[#This Row],[C-Flex 3000K 3W Part Number]:[C-Flex 4000K 3W Part Number]])=3,FALSE,TRUE)</f>
        <v>1</v>
      </c>
      <c r="T179" t="b">
        <f>IF(COUNTBLANK(Master_Reference[[#This Row],[Lutron 3000K Eco Part Number]:[Lutron 4000K Eco Part Number]])=3,FALSE,TRUE)</f>
        <v>1</v>
      </c>
      <c r="U179" t="b">
        <f>IF(COUNTBLANK(Master_Reference[[#This Row],[Lutron 3000K 3W Part Number]:[Lutron 4000K 3W Part Number]])=3,FALSE,TRUE)</f>
        <v>1</v>
      </c>
      <c r="V179" s="12" t="s">
        <v>233</v>
      </c>
      <c r="W179" s="12" t="s">
        <v>234</v>
      </c>
      <c r="X179" s="12" t="s">
        <v>235</v>
      </c>
      <c r="Y179" t="s">
        <v>1713</v>
      </c>
      <c r="Z179" s="12" t="s">
        <v>236</v>
      </c>
      <c r="AA179" s="12" t="s">
        <v>237</v>
      </c>
      <c r="AB179" s="12" t="s">
        <v>238</v>
      </c>
      <c r="AC179" t="s">
        <v>1802</v>
      </c>
      <c r="AD179" t="str">
        <f>SUBSTITUTE(Master_Reference[[#This Row],[C-Flex 4000K Eco Part Number]],"40-","xx-")</f>
        <v>RP-PLL-5.0K-2L-8xx-E1-M-G2</v>
      </c>
      <c r="AE179" t="str">
        <f>SUBSTITUTE(Master_Reference[[#This Row],[C-Flex 4000K 3W Part Number]],"40-","xx-")</f>
        <v>RP-PLL-5.0K-2L-8xx-3W-M-G2</v>
      </c>
      <c r="AF179" s="1" t="str">
        <f>_xlfn.IFNA(VLOOKUP(Master_Reference[[#This Row],[C-Flex 3000K Eco Part Number]],Lutron_CFlex_Lookup[],MATCH("Lutron Kit PN",Lutron_CFlex_Lookup[#Headers],0),FALSE),"")</f>
        <v>ELD-TT-2M30-q</v>
      </c>
      <c r="AG179" s="1" t="str">
        <f>_xlfn.IFNA(VLOOKUP(Master_Reference[[#This Row],[C-Flex 3500K Eco Part Number]],Lutron_CFlex_Lookup[],MATCH("Lutron Kit PN",Lutron_CFlex_Lookup[#Headers],0),FALSE),"")</f>
        <v>ELD-TT-2M35-q</v>
      </c>
      <c r="AH179" s="1" t="str">
        <f>_xlfn.IFNA(VLOOKUP(Master_Reference[[#This Row],[C-Flex 4000K Eco Part Number]],Lutron_CFlex_Lookup[],MATCH("Lutron Kit PN",Lutron_CFlex_Lookup[#Headers],0),FALSE),"")</f>
        <v>ELD-TT-2M40-q</v>
      </c>
      <c r="AI179" s="1" t="str">
        <f>_xlfn.IFNA(VLOOKUP(Master_Reference[[#This Row],[C-Flex 5000K Eco Part Number]],Lutron_CFlex_Lookup[],MATCH("Lutron Kit PN",Lutron_CFlex_Lookup[#Headers],0),FALSE),"")</f>
        <v>ELD-TT-2M50-q</v>
      </c>
      <c r="AJ179" s="1" t="str">
        <f>_xlfn.IFNA(VLOOKUP(Master_Reference[[#This Row],[C-Flex 3000K 3W Part Number]],Lutron_CFlex_Lookup[],MATCH("Lutron Kit PN",Lutron_CFlex_Lookup[#Headers],0),FALSE),"")</f>
        <v>3LD-TT-2M30-q</v>
      </c>
      <c r="AK179" s="1" t="str">
        <f>_xlfn.IFNA(VLOOKUP(Master_Reference[[#This Row],[C-Flex 3500K 3W Part Number]],Lutron_CFlex_Lookup[],MATCH("Lutron Kit PN",Lutron_CFlex_Lookup[#Headers],0),FALSE),"")</f>
        <v>3LD-TT-2M35-q</v>
      </c>
      <c r="AL179" s="1" t="str">
        <f>_xlfn.IFNA(VLOOKUP(Master_Reference[[#This Row],[C-Flex 4000K 3W Part Number]],Lutron_CFlex_Lookup[],MATCH("Lutron Kit PN",Lutron_CFlex_Lookup[#Headers],0),FALSE),"")</f>
        <v>3LD-TT-2M40-q</v>
      </c>
      <c r="AM179" s="1" t="str">
        <f>_xlfn.IFNA(VLOOKUP(Master_Reference[[#This Row],[C-Flex 5000K 3W Part Number]],Lutron_CFlex_Lookup[],MATCH("Lutron Kit PN",Lutron_CFlex_Lookup[#Headers],0),FALSE),"")</f>
        <v>3LD-TT-2M50-q</v>
      </c>
      <c r="AN179" s="1" t="b">
        <f>NOT(ISNA(VLOOKUP(Master_Reference[[#This Row],[Model Number]],ObsoleteModels[],1,FALSE)))</f>
        <v>0</v>
      </c>
      <c r="AO179" s="1" t="str">
        <f>IF(LEFT(Master_Reference[[#This Row],[Model Number]],1)="U",LEFT(Master_Reference[[#This Row],[Model Number]],4),LEFT(Master_Reference[[#This Row],[Model Number]],3))</f>
        <v>EC5</v>
      </c>
    </row>
    <row r="180" spans="1:41" x14ac:dyDescent="0.25">
      <c r="A180" s="2" t="s">
        <v>437</v>
      </c>
      <c r="B180" s="1" t="b">
        <v>1</v>
      </c>
      <c r="C180" s="1" t="b">
        <v>1</v>
      </c>
      <c r="F180" s="1" t="b">
        <v>1</v>
      </c>
      <c r="G180" s="1" t="str">
        <f>IF(OR(LEFT(RIGHT(Master_Reference[[#This Row],[Model Number]],3),1)="C",LEFT(RIGHT(Master_Reference[[#This Row],[Model Number]],4),1)="C"),TRUE,"")</f>
        <v/>
      </c>
      <c r="H180" s="1" t="str">
        <f>IF(LEFT(Master_Reference[[#This Row],[Model Number]],1)="U",TRUE,"")</f>
        <v/>
      </c>
      <c r="I180" s="1" t="b">
        <f>IF(Master_Reference[[#This Row],[Lamp Type]]="T4","",IF(Master_Reference[[#This Row],[Case Type]]="M","",TRUE))</f>
        <v>1</v>
      </c>
      <c r="J180" s="1" t="s">
        <v>215</v>
      </c>
      <c r="K180" s="1">
        <v>50</v>
      </c>
      <c r="L180" s="1" t="s">
        <v>225</v>
      </c>
      <c r="M180" s="1">
        <v>1</v>
      </c>
      <c r="N180" s="1" t="s">
        <v>149</v>
      </c>
      <c r="O180" s="1" t="s">
        <v>320</v>
      </c>
      <c r="R180" t="b">
        <f>IF(COUNTBLANK(Master_Reference[[#This Row],[C-Flex 3000K Eco Part Number]:[C-Flex 4000K Eco Part Number]])=3,FALSE,TRUE)</f>
        <v>1</v>
      </c>
      <c r="S180" t="b">
        <f>IF(COUNTBLANK(Master_Reference[[#This Row],[C-Flex 3000K 3W Part Number]:[C-Flex 4000K 3W Part Number]])=3,FALSE,TRUE)</f>
        <v>1</v>
      </c>
      <c r="T180" t="b">
        <f>IF(COUNTBLANK(Master_Reference[[#This Row],[Lutron 3000K Eco Part Number]:[Lutron 4000K Eco Part Number]])=3,FALSE,TRUE)</f>
        <v>1</v>
      </c>
      <c r="U180" t="b">
        <f>IF(COUNTBLANK(Master_Reference[[#This Row],[Lutron 3000K 3W Part Number]:[Lutron 4000K 3W Part Number]])=3,FALSE,TRUE)</f>
        <v>1</v>
      </c>
      <c r="V180" s="12" t="s">
        <v>226</v>
      </c>
      <c r="W180" s="12" t="s">
        <v>227</v>
      </c>
      <c r="X180" s="12" t="s">
        <v>228</v>
      </c>
      <c r="Y180" t="s">
        <v>1712</v>
      </c>
      <c r="Z180" s="12" t="s">
        <v>229</v>
      </c>
      <c r="AA180" s="12" t="s">
        <v>230</v>
      </c>
      <c r="AB180" s="12" t="s">
        <v>231</v>
      </c>
      <c r="AC180" t="s">
        <v>1801</v>
      </c>
      <c r="AD180" t="str">
        <f>SUBSTITUTE(Master_Reference[[#This Row],[C-Flex 4000K Eco Part Number]],"40-","xx-")</f>
        <v>RP-PLL-2.5K-1L-8xx-E1-M-G2</v>
      </c>
      <c r="AE180" t="str">
        <f>SUBSTITUTE(Master_Reference[[#This Row],[C-Flex 4000K 3W Part Number]],"40-","xx-")</f>
        <v>RP-PLL-2.5K-1L-8xx-3W-M-G2</v>
      </c>
      <c r="AF180" s="1" t="str">
        <f>_xlfn.IFNA(VLOOKUP(Master_Reference[[#This Row],[C-Flex 3000K Eco Part Number]],Lutron_CFlex_Lookup[],MATCH("Lutron Kit PN",Lutron_CFlex_Lookup[#Headers],0),FALSE),"")</f>
        <v>ELD-TT-1M30-q</v>
      </c>
      <c r="AG180" s="1" t="str">
        <f>_xlfn.IFNA(VLOOKUP(Master_Reference[[#This Row],[C-Flex 3500K Eco Part Number]],Lutron_CFlex_Lookup[],MATCH("Lutron Kit PN",Lutron_CFlex_Lookup[#Headers],0),FALSE),"")</f>
        <v>ELD-TT-1M35-q</v>
      </c>
      <c r="AH180" s="1" t="str">
        <f>_xlfn.IFNA(VLOOKUP(Master_Reference[[#This Row],[C-Flex 4000K Eco Part Number]],Lutron_CFlex_Lookup[],MATCH("Lutron Kit PN",Lutron_CFlex_Lookup[#Headers],0),FALSE),"")</f>
        <v>ELD-TT-1M40-q</v>
      </c>
      <c r="AI180" s="1" t="str">
        <f>_xlfn.IFNA(VLOOKUP(Master_Reference[[#This Row],[C-Flex 5000K Eco Part Number]],Lutron_CFlex_Lookup[],MATCH("Lutron Kit PN",Lutron_CFlex_Lookup[#Headers],0),FALSE),"")</f>
        <v>ELD-TT-1M50-q</v>
      </c>
      <c r="AJ180" s="1" t="str">
        <f>_xlfn.IFNA(VLOOKUP(Master_Reference[[#This Row],[C-Flex 3000K 3W Part Number]],Lutron_CFlex_Lookup[],MATCH("Lutron Kit PN",Lutron_CFlex_Lookup[#Headers],0),FALSE),"")</f>
        <v>3LD-TT-1M30-q</v>
      </c>
      <c r="AK180" s="1" t="str">
        <f>_xlfn.IFNA(VLOOKUP(Master_Reference[[#This Row],[C-Flex 3500K 3W Part Number]],Lutron_CFlex_Lookup[],MATCH("Lutron Kit PN",Lutron_CFlex_Lookup[#Headers],0),FALSE),"")</f>
        <v>3LD-TT-1M35-q</v>
      </c>
      <c r="AL180" s="1" t="str">
        <f>_xlfn.IFNA(VLOOKUP(Master_Reference[[#This Row],[C-Flex 4000K 3W Part Number]],Lutron_CFlex_Lookup[],MATCH("Lutron Kit PN",Lutron_CFlex_Lookup[#Headers],0),FALSE),"")</f>
        <v>3LD-TT-1M40-q</v>
      </c>
      <c r="AM180" s="1" t="str">
        <f>_xlfn.IFNA(VLOOKUP(Master_Reference[[#This Row],[C-Flex 5000K 3W Part Number]],Lutron_CFlex_Lookup[],MATCH("Lutron Kit PN",Lutron_CFlex_Lookup[#Headers],0),FALSE),"")</f>
        <v>3LD-TT-1M50-q</v>
      </c>
      <c r="AN180" s="1" t="b">
        <f>NOT(ISNA(VLOOKUP(Master_Reference[[#This Row],[Model Number]],ObsoleteModels[],1,FALSE)))</f>
        <v>0</v>
      </c>
      <c r="AO180" s="1" t="str">
        <f>IF(LEFT(Master_Reference[[#This Row],[Model Number]],1)="U",LEFT(Master_Reference[[#This Row],[Model Number]],4),LEFT(Master_Reference[[#This Row],[Model Number]],3))</f>
        <v>EC5</v>
      </c>
    </row>
    <row r="181" spans="1:41" x14ac:dyDescent="0.25">
      <c r="A181" s="2" t="s">
        <v>438</v>
      </c>
      <c r="B181" s="1" t="b">
        <v>1</v>
      </c>
      <c r="C181" s="1" t="b">
        <v>1</v>
      </c>
      <c r="F181" s="1" t="b">
        <v>1</v>
      </c>
      <c r="G181" s="1" t="str">
        <f>IF(OR(LEFT(RIGHT(Master_Reference[[#This Row],[Model Number]],3),1)="C",LEFT(RIGHT(Master_Reference[[#This Row],[Model Number]],4),1)="C"),TRUE,"")</f>
        <v/>
      </c>
      <c r="H181" s="1" t="str">
        <f>IF(LEFT(Master_Reference[[#This Row],[Model Number]],1)="U",TRUE,"")</f>
        <v/>
      </c>
      <c r="I181" s="1" t="b">
        <f>IF(Master_Reference[[#This Row],[Lamp Type]]="T4","",IF(Master_Reference[[#This Row],[Case Type]]="M","",TRUE))</f>
        <v>1</v>
      </c>
      <c r="J181" s="1" t="s">
        <v>215</v>
      </c>
      <c r="K181" s="1">
        <v>50</v>
      </c>
      <c r="L181" s="1" t="s">
        <v>225</v>
      </c>
      <c r="M181" s="1">
        <v>2</v>
      </c>
      <c r="N181" s="1" t="s">
        <v>149</v>
      </c>
      <c r="O181" s="1" t="s">
        <v>320</v>
      </c>
      <c r="R181" t="b">
        <f>IF(COUNTBLANK(Master_Reference[[#This Row],[C-Flex 3000K Eco Part Number]:[C-Flex 4000K Eco Part Number]])=3,FALSE,TRUE)</f>
        <v>1</v>
      </c>
      <c r="S181" t="b">
        <f>IF(COUNTBLANK(Master_Reference[[#This Row],[C-Flex 3000K 3W Part Number]:[C-Flex 4000K 3W Part Number]])=3,FALSE,TRUE)</f>
        <v>1</v>
      </c>
      <c r="T181" t="b">
        <f>IF(COUNTBLANK(Master_Reference[[#This Row],[Lutron 3000K Eco Part Number]:[Lutron 4000K Eco Part Number]])=3,FALSE,TRUE)</f>
        <v>1</v>
      </c>
      <c r="U181" t="b">
        <f>IF(COUNTBLANK(Master_Reference[[#This Row],[Lutron 3000K 3W Part Number]:[Lutron 4000K 3W Part Number]])=3,FALSE,TRUE)</f>
        <v>1</v>
      </c>
      <c r="V181" s="12" t="s">
        <v>233</v>
      </c>
      <c r="W181" s="12" t="s">
        <v>234</v>
      </c>
      <c r="X181" s="12" t="s">
        <v>235</v>
      </c>
      <c r="Y181" t="s">
        <v>1713</v>
      </c>
      <c r="Z181" s="12" t="s">
        <v>236</v>
      </c>
      <c r="AA181" s="12" t="s">
        <v>237</v>
      </c>
      <c r="AB181" s="12" t="s">
        <v>238</v>
      </c>
      <c r="AC181" t="s">
        <v>1802</v>
      </c>
      <c r="AD181" t="str">
        <f>SUBSTITUTE(Master_Reference[[#This Row],[C-Flex 4000K Eco Part Number]],"40-","xx-")</f>
        <v>RP-PLL-5.0K-2L-8xx-E1-M-G2</v>
      </c>
      <c r="AE181" t="str">
        <f>SUBSTITUTE(Master_Reference[[#This Row],[C-Flex 4000K 3W Part Number]],"40-","xx-")</f>
        <v>RP-PLL-5.0K-2L-8xx-3W-M-G2</v>
      </c>
      <c r="AF181" s="1" t="str">
        <f>_xlfn.IFNA(VLOOKUP(Master_Reference[[#This Row],[C-Flex 3000K Eco Part Number]],Lutron_CFlex_Lookup[],MATCH("Lutron Kit PN",Lutron_CFlex_Lookup[#Headers],0),FALSE),"")</f>
        <v>ELD-TT-2M30-q</v>
      </c>
      <c r="AG181" s="1" t="str">
        <f>_xlfn.IFNA(VLOOKUP(Master_Reference[[#This Row],[C-Flex 3500K Eco Part Number]],Lutron_CFlex_Lookup[],MATCH("Lutron Kit PN",Lutron_CFlex_Lookup[#Headers],0),FALSE),"")</f>
        <v>ELD-TT-2M35-q</v>
      </c>
      <c r="AH181" s="1" t="str">
        <f>_xlfn.IFNA(VLOOKUP(Master_Reference[[#This Row],[C-Flex 4000K Eco Part Number]],Lutron_CFlex_Lookup[],MATCH("Lutron Kit PN",Lutron_CFlex_Lookup[#Headers],0),FALSE),"")</f>
        <v>ELD-TT-2M40-q</v>
      </c>
      <c r="AI181" s="1" t="str">
        <f>_xlfn.IFNA(VLOOKUP(Master_Reference[[#This Row],[C-Flex 5000K Eco Part Number]],Lutron_CFlex_Lookup[],MATCH("Lutron Kit PN",Lutron_CFlex_Lookup[#Headers],0),FALSE),"")</f>
        <v>ELD-TT-2M50-q</v>
      </c>
      <c r="AJ181" s="1" t="str">
        <f>_xlfn.IFNA(VLOOKUP(Master_Reference[[#This Row],[C-Flex 3000K 3W Part Number]],Lutron_CFlex_Lookup[],MATCH("Lutron Kit PN",Lutron_CFlex_Lookup[#Headers],0),FALSE),"")</f>
        <v>3LD-TT-2M30-q</v>
      </c>
      <c r="AK181" s="1" t="str">
        <f>_xlfn.IFNA(VLOOKUP(Master_Reference[[#This Row],[C-Flex 3500K 3W Part Number]],Lutron_CFlex_Lookup[],MATCH("Lutron Kit PN",Lutron_CFlex_Lookup[#Headers],0),FALSE),"")</f>
        <v>3LD-TT-2M35-q</v>
      </c>
      <c r="AL181" s="1" t="str">
        <f>_xlfn.IFNA(VLOOKUP(Master_Reference[[#This Row],[C-Flex 4000K 3W Part Number]],Lutron_CFlex_Lookup[],MATCH("Lutron Kit PN",Lutron_CFlex_Lookup[#Headers],0),FALSE),"")</f>
        <v>3LD-TT-2M40-q</v>
      </c>
      <c r="AM181" s="1" t="str">
        <f>_xlfn.IFNA(VLOOKUP(Master_Reference[[#This Row],[C-Flex 5000K 3W Part Number]],Lutron_CFlex_Lookup[],MATCH("Lutron Kit PN",Lutron_CFlex_Lookup[#Headers],0),FALSE),"")</f>
        <v>3LD-TT-2M50-q</v>
      </c>
      <c r="AN181" s="1" t="b">
        <f>NOT(ISNA(VLOOKUP(Master_Reference[[#This Row],[Model Number]],ObsoleteModels[],1,FALSE)))</f>
        <v>0</v>
      </c>
      <c r="AO181" s="1" t="str">
        <f>IF(LEFT(Master_Reference[[#This Row],[Model Number]],1)="U",LEFT(Master_Reference[[#This Row],[Model Number]],4),LEFT(Master_Reference[[#This Row],[Model Number]],3))</f>
        <v>EC5</v>
      </c>
    </row>
    <row r="182" spans="1:41" x14ac:dyDescent="0.25">
      <c r="A182" s="2" t="s">
        <v>439</v>
      </c>
      <c r="B182" s="1" t="b">
        <v>1</v>
      </c>
      <c r="C182" s="1" t="b">
        <v>1</v>
      </c>
      <c r="F182" s="1" t="b">
        <v>1</v>
      </c>
      <c r="G182" s="1" t="str">
        <f>IF(OR(LEFT(RIGHT(Master_Reference[[#This Row],[Model Number]],3),1)="C",LEFT(RIGHT(Master_Reference[[#This Row],[Model Number]],4),1)="C"),TRUE,"")</f>
        <v/>
      </c>
      <c r="H182" s="1" t="str">
        <f>IF(LEFT(Master_Reference[[#This Row],[Model Number]],1)="U",TRUE,"")</f>
        <v/>
      </c>
      <c r="I182" s="1" t="b">
        <f>IF(Master_Reference[[#This Row],[Lamp Type]]="T4","",IF(Master_Reference[[#This Row],[Case Type]]="M","",TRUE))</f>
        <v>1</v>
      </c>
      <c r="J182" s="1" t="s">
        <v>297</v>
      </c>
      <c r="K182" s="1">
        <v>54</v>
      </c>
      <c r="L182" s="1" t="s">
        <v>118</v>
      </c>
      <c r="M182" s="1">
        <v>1</v>
      </c>
      <c r="N182" s="1">
        <v>120</v>
      </c>
      <c r="O182" s="1" t="s">
        <v>320</v>
      </c>
      <c r="R182" t="b">
        <f>IF(COUNTBLANK(Master_Reference[[#This Row],[C-Flex 3000K Eco Part Number]:[C-Flex 4000K Eco Part Number]])=3,FALSE,TRUE)</f>
        <v>1</v>
      </c>
      <c r="S182" t="b">
        <f>IF(COUNTBLANK(Master_Reference[[#This Row],[C-Flex 3000K 3W Part Number]:[C-Flex 4000K 3W Part Number]])=3,FALSE,TRUE)</f>
        <v>1</v>
      </c>
      <c r="T182" t="b">
        <f>IF(COUNTBLANK(Master_Reference[[#This Row],[Lutron 3000K Eco Part Number]:[Lutron 4000K Eco Part Number]])=3,FALSE,TRUE)</f>
        <v>1</v>
      </c>
      <c r="U182" t="b">
        <f>IF(COUNTBLANK(Master_Reference[[#This Row],[Lutron 3000K 3W Part Number]:[Lutron 4000K 3W Part Number]])=3,FALSE,TRUE)</f>
        <v>1</v>
      </c>
      <c r="V182" s="12" t="s">
        <v>298</v>
      </c>
      <c r="W182" s="12" t="s">
        <v>299</v>
      </c>
      <c r="X182" s="12" t="s">
        <v>300</v>
      </c>
      <c r="Y182" t="s">
        <v>1733</v>
      </c>
      <c r="Z182" s="12" t="s">
        <v>301</v>
      </c>
      <c r="AA182" s="12" t="s">
        <v>302</v>
      </c>
      <c r="AB182" s="12" t="s">
        <v>303</v>
      </c>
      <c r="AC182" t="s">
        <v>1821</v>
      </c>
      <c r="AD182" t="str">
        <f>SUBSTITUTE(Master_Reference[[#This Row],[C-Flex 4000K Eco Part Number]],"40-","xx-")</f>
        <v>RP-T5HO-4FT-1L-8xx-E1-M-G2</v>
      </c>
      <c r="AE182" t="str">
        <f>SUBSTITUTE(Master_Reference[[#This Row],[C-Flex 4000K 3W Part Number]],"40-","xx-")</f>
        <v>RP-T5HO-4FT-1L-8xx-3W-M-G2</v>
      </c>
      <c r="AF182" s="1" t="str">
        <f>_xlfn.IFNA(VLOOKUP(Master_Reference[[#This Row],[C-Flex 3000K Eco Part Number]],Lutron_CFlex_Lookup[],MATCH("Lutron Kit PN",Lutron_CFlex_Lookup[#Headers],0),FALSE),"")</f>
        <v>ELD4T5H-1M30-q</v>
      </c>
      <c r="AG182" s="1" t="str">
        <f>_xlfn.IFNA(VLOOKUP(Master_Reference[[#This Row],[C-Flex 3500K Eco Part Number]],Lutron_CFlex_Lookup[],MATCH("Lutron Kit PN",Lutron_CFlex_Lookup[#Headers],0),FALSE),"")</f>
        <v>ELD4T5H-1M35-q</v>
      </c>
      <c r="AH182" s="1" t="str">
        <f>_xlfn.IFNA(VLOOKUP(Master_Reference[[#This Row],[C-Flex 4000K Eco Part Number]],Lutron_CFlex_Lookup[],MATCH("Lutron Kit PN",Lutron_CFlex_Lookup[#Headers],0),FALSE),"")</f>
        <v>ELD4T5H-1M40-q</v>
      </c>
      <c r="AI182" s="1" t="str">
        <f>_xlfn.IFNA(VLOOKUP(Master_Reference[[#This Row],[C-Flex 5000K Eco Part Number]],Lutron_CFlex_Lookup[],MATCH("Lutron Kit PN",Lutron_CFlex_Lookup[#Headers],0),FALSE),"")</f>
        <v>ELD4T5H-1M50-q</v>
      </c>
      <c r="AJ182" s="1" t="str">
        <f>_xlfn.IFNA(VLOOKUP(Master_Reference[[#This Row],[C-Flex 3000K 3W Part Number]],Lutron_CFlex_Lookup[],MATCH("Lutron Kit PN",Lutron_CFlex_Lookup[#Headers],0),FALSE),"")</f>
        <v>3LD4T5H-1M30-q</v>
      </c>
      <c r="AK182" s="1" t="str">
        <f>_xlfn.IFNA(VLOOKUP(Master_Reference[[#This Row],[C-Flex 3500K 3W Part Number]],Lutron_CFlex_Lookup[],MATCH("Lutron Kit PN",Lutron_CFlex_Lookup[#Headers],0),FALSE),"")</f>
        <v>3LD4T5H-1M35-q</v>
      </c>
      <c r="AL182" s="1" t="str">
        <f>_xlfn.IFNA(VLOOKUP(Master_Reference[[#This Row],[C-Flex 4000K 3W Part Number]],Lutron_CFlex_Lookup[],MATCH("Lutron Kit PN",Lutron_CFlex_Lookup[#Headers],0),FALSE),"")</f>
        <v>3LD4T5H-1M40-q</v>
      </c>
      <c r="AM182" s="1" t="str">
        <f>_xlfn.IFNA(VLOOKUP(Master_Reference[[#This Row],[C-Flex 5000K 3W Part Number]],Lutron_CFlex_Lookup[],MATCH("Lutron Kit PN",Lutron_CFlex_Lookup[#Headers],0),FALSE),"")</f>
        <v>3LD4T5H-1M50-q</v>
      </c>
      <c r="AN182" s="1" t="b">
        <f>NOT(ISNA(VLOOKUP(Master_Reference[[#This Row],[Model Number]],ObsoleteModels[],1,FALSE)))</f>
        <v>1</v>
      </c>
      <c r="AO182" s="1" t="str">
        <f>IF(LEFT(Master_Reference[[#This Row],[Model Number]],1)="U",LEFT(Master_Reference[[#This Row],[Model Number]],4),LEFT(Master_Reference[[#This Row],[Model Number]],3))</f>
        <v>EC5</v>
      </c>
    </row>
    <row r="183" spans="1:41" x14ac:dyDescent="0.25">
      <c r="A183" s="2" t="s">
        <v>440</v>
      </c>
      <c r="B183" s="1" t="b">
        <v>1</v>
      </c>
      <c r="C183" s="1" t="b">
        <v>1</v>
      </c>
      <c r="F183" s="1" t="b">
        <v>1</v>
      </c>
      <c r="G183" s="1" t="str">
        <f>IF(OR(LEFT(RIGHT(Master_Reference[[#This Row],[Model Number]],3),1)="C",LEFT(RIGHT(Master_Reference[[#This Row],[Model Number]],4),1)="C"),TRUE,"")</f>
        <v/>
      </c>
      <c r="H183" s="1" t="str">
        <f>IF(LEFT(Master_Reference[[#This Row],[Model Number]],1)="U",TRUE,"")</f>
        <v/>
      </c>
      <c r="I183" s="1" t="b">
        <f>IF(Master_Reference[[#This Row],[Lamp Type]]="T4","",IF(Master_Reference[[#This Row],[Case Type]]="M","",TRUE))</f>
        <v>1</v>
      </c>
      <c r="J183" s="1" t="s">
        <v>297</v>
      </c>
      <c r="K183" s="1">
        <v>54</v>
      </c>
      <c r="L183" s="1" t="s">
        <v>118</v>
      </c>
      <c r="M183" s="1">
        <v>2</v>
      </c>
      <c r="N183" s="1">
        <v>120</v>
      </c>
      <c r="O183" s="1" t="s">
        <v>320</v>
      </c>
      <c r="R183" t="b">
        <f>IF(COUNTBLANK(Master_Reference[[#This Row],[C-Flex 3000K Eco Part Number]:[C-Flex 4000K Eco Part Number]])=3,FALSE,TRUE)</f>
        <v>1</v>
      </c>
      <c r="S183" t="b">
        <f>IF(COUNTBLANK(Master_Reference[[#This Row],[C-Flex 3000K 3W Part Number]:[C-Flex 4000K 3W Part Number]])=3,FALSE,TRUE)</f>
        <v>1</v>
      </c>
      <c r="T183" t="b">
        <f>IF(COUNTBLANK(Master_Reference[[#This Row],[Lutron 3000K Eco Part Number]:[Lutron 4000K Eco Part Number]])=3,FALSE,TRUE)</f>
        <v>1</v>
      </c>
      <c r="U183" t="b">
        <f>IF(COUNTBLANK(Master_Reference[[#This Row],[Lutron 3000K 3W Part Number]:[Lutron 4000K 3W Part Number]])=3,FALSE,TRUE)</f>
        <v>1</v>
      </c>
      <c r="V183" s="12" t="s">
        <v>305</v>
      </c>
      <c r="W183" s="12" t="s">
        <v>306</v>
      </c>
      <c r="X183" s="12" t="s">
        <v>307</v>
      </c>
      <c r="Y183" t="s">
        <v>1734</v>
      </c>
      <c r="Z183" s="12" t="s">
        <v>308</v>
      </c>
      <c r="AA183" s="12" t="s">
        <v>309</v>
      </c>
      <c r="AB183" s="12" t="s">
        <v>310</v>
      </c>
      <c r="AC183" t="s">
        <v>1822</v>
      </c>
      <c r="AD183" t="str">
        <f>SUBSTITUTE(Master_Reference[[#This Row],[C-Flex 4000K Eco Part Number]],"40-","xx-")</f>
        <v>RP-T5HO-4FT-2L-8xx-E1-M-G2</v>
      </c>
      <c r="AE183" t="str">
        <f>SUBSTITUTE(Master_Reference[[#This Row],[C-Flex 4000K 3W Part Number]],"40-","xx-")</f>
        <v>RP-T5HO-4FT-2L-8xx-3W-M-G2</v>
      </c>
      <c r="AF183" s="1" t="str">
        <f>_xlfn.IFNA(VLOOKUP(Master_Reference[[#This Row],[C-Flex 3000K Eco Part Number]],Lutron_CFlex_Lookup[],MATCH("Lutron Kit PN",Lutron_CFlex_Lookup[#Headers],0),FALSE),"")</f>
        <v>ELD4T5H-2M30-q</v>
      </c>
      <c r="AG183" s="1" t="str">
        <f>_xlfn.IFNA(VLOOKUP(Master_Reference[[#This Row],[C-Flex 3500K Eco Part Number]],Lutron_CFlex_Lookup[],MATCH("Lutron Kit PN",Lutron_CFlex_Lookup[#Headers],0),FALSE),"")</f>
        <v>ELD4T5H-2M35-q</v>
      </c>
      <c r="AH183" s="1" t="str">
        <f>_xlfn.IFNA(VLOOKUP(Master_Reference[[#This Row],[C-Flex 4000K Eco Part Number]],Lutron_CFlex_Lookup[],MATCH("Lutron Kit PN",Lutron_CFlex_Lookup[#Headers],0),FALSE),"")</f>
        <v>ELD4T5H-2M40-q</v>
      </c>
      <c r="AI183" s="1" t="str">
        <f>_xlfn.IFNA(VLOOKUP(Master_Reference[[#This Row],[C-Flex 5000K Eco Part Number]],Lutron_CFlex_Lookup[],MATCH("Lutron Kit PN",Lutron_CFlex_Lookup[#Headers],0),FALSE),"")</f>
        <v>ELD4T5H-2M50-q</v>
      </c>
      <c r="AJ183" s="1" t="str">
        <f>_xlfn.IFNA(VLOOKUP(Master_Reference[[#This Row],[C-Flex 3000K 3W Part Number]],Lutron_CFlex_Lookup[],MATCH("Lutron Kit PN",Lutron_CFlex_Lookup[#Headers],0),FALSE),"")</f>
        <v>3LD4T5H-2M30-q</v>
      </c>
      <c r="AK183" s="1" t="str">
        <f>_xlfn.IFNA(VLOOKUP(Master_Reference[[#This Row],[C-Flex 3500K 3W Part Number]],Lutron_CFlex_Lookup[],MATCH("Lutron Kit PN",Lutron_CFlex_Lookup[#Headers],0),FALSE),"")</f>
        <v>3LD4T5H-2M35-q</v>
      </c>
      <c r="AL183" s="1" t="str">
        <f>_xlfn.IFNA(VLOOKUP(Master_Reference[[#This Row],[C-Flex 4000K 3W Part Number]],Lutron_CFlex_Lookup[],MATCH("Lutron Kit PN",Lutron_CFlex_Lookup[#Headers],0),FALSE),"")</f>
        <v>3LD4T5H-2M40-q</v>
      </c>
      <c r="AM183" s="1" t="str">
        <f>_xlfn.IFNA(VLOOKUP(Master_Reference[[#This Row],[C-Flex 5000K 3W Part Number]],Lutron_CFlex_Lookup[],MATCH("Lutron Kit PN",Lutron_CFlex_Lookup[#Headers],0),FALSE),"")</f>
        <v>3LD4T5H-2M50-q</v>
      </c>
      <c r="AN183" s="1" t="b">
        <f>NOT(ISNA(VLOOKUP(Master_Reference[[#This Row],[Model Number]],ObsoleteModels[],1,FALSE)))</f>
        <v>1</v>
      </c>
      <c r="AO183" s="1" t="str">
        <f>IF(LEFT(Master_Reference[[#This Row],[Model Number]],1)="U",LEFT(Master_Reference[[#This Row],[Model Number]],4),LEFT(Master_Reference[[#This Row],[Model Number]],3))</f>
        <v>EC5</v>
      </c>
    </row>
    <row r="184" spans="1:41" x14ac:dyDescent="0.25">
      <c r="A184" s="2" t="s">
        <v>441</v>
      </c>
      <c r="B184" s="1" t="b">
        <v>1</v>
      </c>
      <c r="C184" s="1" t="b">
        <v>1</v>
      </c>
      <c r="F184" s="1" t="b">
        <v>1</v>
      </c>
      <c r="G184" s="1" t="str">
        <f>IF(OR(LEFT(RIGHT(Master_Reference[[#This Row],[Model Number]],3),1)="C",LEFT(RIGHT(Master_Reference[[#This Row],[Model Number]],4),1)="C"),TRUE,"")</f>
        <v/>
      </c>
      <c r="H184" s="1" t="str">
        <f>IF(LEFT(Master_Reference[[#This Row],[Model Number]],1)="U",TRUE,"")</f>
        <v/>
      </c>
      <c r="I184" s="1" t="b">
        <f>IF(Master_Reference[[#This Row],[Lamp Type]]="T4","",IF(Master_Reference[[#This Row],[Case Type]]="M","",TRUE))</f>
        <v>1</v>
      </c>
      <c r="J184" s="1" t="s">
        <v>297</v>
      </c>
      <c r="K184" s="1">
        <v>54</v>
      </c>
      <c r="L184" s="1" t="s">
        <v>118</v>
      </c>
      <c r="M184" s="1">
        <v>1</v>
      </c>
      <c r="N184" s="1">
        <v>277</v>
      </c>
      <c r="O184" s="1" t="s">
        <v>320</v>
      </c>
      <c r="R184" t="b">
        <f>IF(COUNTBLANK(Master_Reference[[#This Row],[C-Flex 3000K Eco Part Number]:[C-Flex 4000K Eco Part Number]])=3,FALSE,TRUE)</f>
        <v>1</v>
      </c>
      <c r="S184" t="b">
        <f>IF(COUNTBLANK(Master_Reference[[#This Row],[C-Flex 3000K 3W Part Number]:[C-Flex 4000K 3W Part Number]])=3,FALSE,TRUE)</f>
        <v>1</v>
      </c>
      <c r="T184" t="b">
        <f>IF(COUNTBLANK(Master_Reference[[#This Row],[Lutron 3000K Eco Part Number]:[Lutron 4000K Eco Part Number]])=3,FALSE,TRUE)</f>
        <v>1</v>
      </c>
      <c r="U184" t="b">
        <f>IF(COUNTBLANK(Master_Reference[[#This Row],[Lutron 3000K 3W Part Number]:[Lutron 4000K 3W Part Number]])=3,FALSE,TRUE)</f>
        <v>1</v>
      </c>
      <c r="V184" s="12" t="s">
        <v>298</v>
      </c>
      <c r="W184" s="12" t="s">
        <v>299</v>
      </c>
      <c r="X184" s="12" t="s">
        <v>300</v>
      </c>
      <c r="Y184" t="s">
        <v>1733</v>
      </c>
      <c r="Z184" s="12" t="s">
        <v>301</v>
      </c>
      <c r="AA184" s="12" t="s">
        <v>302</v>
      </c>
      <c r="AB184" s="12" t="s">
        <v>303</v>
      </c>
      <c r="AC184" t="s">
        <v>1821</v>
      </c>
      <c r="AD184" t="str">
        <f>SUBSTITUTE(Master_Reference[[#This Row],[C-Flex 4000K Eco Part Number]],"40-","xx-")</f>
        <v>RP-T5HO-4FT-1L-8xx-E1-M-G2</v>
      </c>
      <c r="AE184" t="str">
        <f>SUBSTITUTE(Master_Reference[[#This Row],[C-Flex 4000K 3W Part Number]],"40-","xx-")</f>
        <v>RP-T5HO-4FT-1L-8xx-3W-M-G2</v>
      </c>
      <c r="AF184" s="1" t="str">
        <f>_xlfn.IFNA(VLOOKUP(Master_Reference[[#This Row],[C-Flex 3000K Eco Part Number]],Lutron_CFlex_Lookup[],MATCH("Lutron Kit PN",Lutron_CFlex_Lookup[#Headers],0),FALSE),"")</f>
        <v>ELD4T5H-1M30-q</v>
      </c>
      <c r="AG184" s="1" t="str">
        <f>_xlfn.IFNA(VLOOKUP(Master_Reference[[#This Row],[C-Flex 3500K Eco Part Number]],Lutron_CFlex_Lookup[],MATCH("Lutron Kit PN",Lutron_CFlex_Lookup[#Headers],0),FALSE),"")</f>
        <v>ELD4T5H-1M35-q</v>
      </c>
      <c r="AH184" s="1" t="str">
        <f>_xlfn.IFNA(VLOOKUP(Master_Reference[[#This Row],[C-Flex 4000K Eco Part Number]],Lutron_CFlex_Lookup[],MATCH("Lutron Kit PN",Lutron_CFlex_Lookup[#Headers],0),FALSE),"")</f>
        <v>ELD4T5H-1M40-q</v>
      </c>
      <c r="AI184" s="1" t="str">
        <f>_xlfn.IFNA(VLOOKUP(Master_Reference[[#This Row],[C-Flex 5000K Eco Part Number]],Lutron_CFlex_Lookup[],MATCH("Lutron Kit PN",Lutron_CFlex_Lookup[#Headers],0),FALSE),"")</f>
        <v>ELD4T5H-1M50-q</v>
      </c>
      <c r="AJ184" s="1" t="str">
        <f>_xlfn.IFNA(VLOOKUP(Master_Reference[[#This Row],[C-Flex 3000K 3W Part Number]],Lutron_CFlex_Lookup[],MATCH("Lutron Kit PN",Lutron_CFlex_Lookup[#Headers],0),FALSE),"")</f>
        <v>3LD4T5H-1M30-q</v>
      </c>
      <c r="AK184" s="1" t="str">
        <f>_xlfn.IFNA(VLOOKUP(Master_Reference[[#This Row],[C-Flex 3500K 3W Part Number]],Lutron_CFlex_Lookup[],MATCH("Lutron Kit PN",Lutron_CFlex_Lookup[#Headers],0),FALSE),"")</f>
        <v>3LD4T5H-1M35-q</v>
      </c>
      <c r="AL184" s="1" t="str">
        <f>_xlfn.IFNA(VLOOKUP(Master_Reference[[#This Row],[C-Flex 4000K 3W Part Number]],Lutron_CFlex_Lookup[],MATCH("Lutron Kit PN",Lutron_CFlex_Lookup[#Headers],0),FALSE),"")</f>
        <v>3LD4T5H-1M40-q</v>
      </c>
      <c r="AM184" s="1" t="str">
        <f>_xlfn.IFNA(VLOOKUP(Master_Reference[[#This Row],[C-Flex 5000K 3W Part Number]],Lutron_CFlex_Lookup[],MATCH("Lutron Kit PN",Lutron_CFlex_Lookup[#Headers],0),FALSE),"")</f>
        <v>3LD4T5H-1M50-q</v>
      </c>
      <c r="AN184" s="1" t="b">
        <f>NOT(ISNA(VLOOKUP(Master_Reference[[#This Row],[Model Number]],ObsoleteModels[],1,FALSE)))</f>
        <v>1</v>
      </c>
      <c r="AO184" s="1" t="str">
        <f>IF(LEFT(Master_Reference[[#This Row],[Model Number]],1)="U",LEFT(Master_Reference[[#This Row],[Model Number]],4),LEFT(Master_Reference[[#This Row],[Model Number]],3))</f>
        <v>EC5</v>
      </c>
    </row>
    <row r="185" spans="1:41" x14ac:dyDescent="0.25">
      <c r="A185" s="2" t="s">
        <v>442</v>
      </c>
      <c r="B185" s="1" t="b">
        <v>1</v>
      </c>
      <c r="C185" s="1" t="b">
        <v>1</v>
      </c>
      <c r="F185" s="1" t="b">
        <v>1</v>
      </c>
      <c r="G185" s="1" t="str">
        <f>IF(OR(LEFT(RIGHT(Master_Reference[[#This Row],[Model Number]],3),1)="C",LEFT(RIGHT(Master_Reference[[#This Row],[Model Number]],4),1)="C"),TRUE,"")</f>
        <v/>
      </c>
      <c r="H185" s="1" t="str">
        <f>IF(LEFT(Master_Reference[[#This Row],[Model Number]],1)="U",TRUE,"")</f>
        <v/>
      </c>
      <c r="I185" s="1" t="b">
        <f>IF(Master_Reference[[#This Row],[Lamp Type]]="T4","",IF(Master_Reference[[#This Row],[Case Type]]="M","",TRUE))</f>
        <v>1</v>
      </c>
      <c r="J185" s="1" t="s">
        <v>297</v>
      </c>
      <c r="K185" s="1">
        <v>54</v>
      </c>
      <c r="L185" s="1" t="s">
        <v>118</v>
      </c>
      <c r="M185" s="1">
        <v>2</v>
      </c>
      <c r="N185" s="1">
        <v>277</v>
      </c>
      <c r="O185" s="1" t="s">
        <v>320</v>
      </c>
      <c r="R185" t="b">
        <f>IF(COUNTBLANK(Master_Reference[[#This Row],[C-Flex 3000K Eco Part Number]:[C-Flex 4000K Eco Part Number]])=3,FALSE,TRUE)</f>
        <v>1</v>
      </c>
      <c r="S185" t="b">
        <f>IF(COUNTBLANK(Master_Reference[[#This Row],[C-Flex 3000K 3W Part Number]:[C-Flex 4000K 3W Part Number]])=3,FALSE,TRUE)</f>
        <v>1</v>
      </c>
      <c r="T185" t="b">
        <f>IF(COUNTBLANK(Master_Reference[[#This Row],[Lutron 3000K Eco Part Number]:[Lutron 4000K Eco Part Number]])=3,FALSE,TRUE)</f>
        <v>1</v>
      </c>
      <c r="U185" t="b">
        <f>IF(COUNTBLANK(Master_Reference[[#This Row],[Lutron 3000K 3W Part Number]:[Lutron 4000K 3W Part Number]])=3,FALSE,TRUE)</f>
        <v>1</v>
      </c>
      <c r="V185" s="12" t="s">
        <v>305</v>
      </c>
      <c r="W185" s="12" t="s">
        <v>306</v>
      </c>
      <c r="X185" s="12" t="s">
        <v>307</v>
      </c>
      <c r="Y185" t="s">
        <v>1734</v>
      </c>
      <c r="Z185" s="12" t="s">
        <v>308</v>
      </c>
      <c r="AA185" s="12" t="s">
        <v>309</v>
      </c>
      <c r="AB185" s="12" t="s">
        <v>310</v>
      </c>
      <c r="AC185" t="s">
        <v>1822</v>
      </c>
      <c r="AD185" t="str">
        <f>SUBSTITUTE(Master_Reference[[#This Row],[C-Flex 4000K Eco Part Number]],"40-","xx-")</f>
        <v>RP-T5HO-4FT-2L-8xx-E1-M-G2</v>
      </c>
      <c r="AE185" t="str">
        <f>SUBSTITUTE(Master_Reference[[#This Row],[C-Flex 4000K 3W Part Number]],"40-","xx-")</f>
        <v>RP-T5HO-4FT-2L-8xx-3W-M-G2</v>
      </c>
      <c r="AF185" s="1" t="str">
        <f>_xlfn.IFNA(VLOOKUP(Master_Reference[[#This Row],[C-Flex 3000K Eco Part Number]],Lutron_CFlex_Lookup[],MATCH("Lutron Kit PN",Lutron_CFlex_Lookup[#Headers],0),FALSE),"")</f>
        <v>ELD4T5H-2M30-q</v>
      </c>
      <c r="AG185" s="1" t="str">
        <f>_xlfn.IFNA(VLOOKUP(Master_Reference[[#This Row],[C-Flex 3500K Eco Part Number]],Lutron_CFlex_Lookup[],MATCH("Lutron Kit PN",Lutron_CFlex_Lookup[#Headers],0),FALSE),"")</f>
        <v>ELD4T5H-2M35-q</v>
      </c>
      <c r="AH185" s="1" t="str">
        <f>_xlfn.IFNA(VLOOKUP(Master_Reference[[#This Row],[C-Flex 4000K Eco Part Number]],Lutron_CFlex_Lookup[],MATCH("Lutron Kit PN",Lutron_CFlex_Lookup[#Headers],0),FALSE),"")</f>
        <v>ELD4T5H-2M40-q</v>
      </c>
      <c r="AI185" s="1" t="str">
        <f>_xlfn.IFNA(VLOOKUP(Master_Reference[[#This Row],[C-Flex 5000K Eco Part Number]],Lutron_CFlex_Lookup[],MATCH("Lutron Kit PN",Lutron_CFlex_Lookup[#Headers],0),FALSE),"")</f>
        <v>ELD4T5H-2M50-q</v>
      </c>
      <c r="AJ185" s="1" t="str">
        <f>_xlfn.IFNA(VLOOKUP(Master_Reference[[#This Row],[C-Flex 3000K 3W Part Number]],Lutron_CFlex_Lookup[],MATCH("Lutron Kit PN",Lutron_CFlex_Lookup[#Headers],0),FALSE),"")</f>
        <v>3LD4T5H-2M30-q</v>
      </c>
      <c r="AK185" s="1" t="str">
        <f>_xlfn.IFNA(VLOOKUP(Master_Reference[[#This Row],[C-Flex 3500K 3W Part Number]],Lutron_CFlex_Lookup[],MATCH("Lutron Kit PN",Lutron_CFlex_Lookup[#Headers],0),FALSE),"")</f>
        <v>3LD4T5H-2M35-q</v>
      </c>
      <c r="AL185" s="1" t="str">
        <f>_xlfn.IFNA(VLOOKUP(Master_Reference[[#This Row],[C-Flex 4000K 3W Part Number]],Lutron_CFlex_Lookup[],MATCH("Lutron Kit PN",Lutron_CFlex_Lookup[#Headers],0),FALSE),"")</f>
        <v>3LD4T5H-2M40-q</v>
      </c>
      <c r="AM185" s="1" t="str">
        <f>_xlfn.IFNA(VLOOKUP(Master_Reference[[#This Row],[C-Flex 5000K 3W Part Number]],Lutron_CFlex_Lookup[],MATCH("Lutron Kit PN",Lutron_CFlex_Lookup[#Headers],0),FALSE),"")</f>
        <v>3LD4T5H-2M50-q</v>
      </c>
      <c r="AN185" s="1" t="b">
        <f>NOT(ISNA(VLOOKUP(Master_Reference[[#This Row],[Model Number]],ObsoleteModels[],1,FALSE)))</f>
        <v>1</v>
      </c>
      <c r="AO185" s="1" t="str">
        <f>IF(LEFT(Master_Reference[[#This Row],[Model Number]],1)="U",LEFT(Master_Reference[[#This Row],[Model Number]],4),LEFT(Master_Reference[[#This Row],[Model Number]],3))</f>
        <v>EC5</v>
      </c>
    </row>
    <row r="186" spans="1:41" x14ac:dyDescent="0.25">
      <c r="A186" s="2" t="s">
        <v>443</v>
      </c>
      <c r="B186" s="1" t="b">
        <v>1</v>
      </c>
      <c r="C186" s="1" t="b">
        <v>1</v>
      </c>
      <c r="F186" s="1" t="b">
        <v>1</v>
      </c>
      <c r="G186" s="1" t="str">
        <f>IF(OR(LEFT(RIGHT(Master_Reference[[#This Row],[Model Number]],3),1)="C",LEFT(RIGHT(Master_Reference[[#This Row],[Model Number]],4),1)="C"),TRUE,"")</f>
        <v/>
      </c>
      <c r="H186" s="1" t="str">
        <f>IF(LEFT(Master_Reference[[#This Row],[Model Number]],1)="U",TRUE,"")</f>
        <v/>
      </c>
      <c r="I186" s="1" t="b">
        <f>IF(Master_Reference[[#This Row],[Lamp Type]]="T4","",IF(Master_Reference[[#This Row],[Case Type]]="M","",TRUE))</f>
        <v>1</v>
      </c>
      <c r="J186" s="1" t="s">
        <v>297</v>
      </c>
      <c r="K186" s="1">
        <v>54</v>
      </c>
      <c r="L186" s="1" t="s">
        <v>118</v>
      </c>
      <c r="M186" s="1">
        <v>1</v>
      </c>
      <c r="N186" s="1" t="s">
        <v>149</v>
      </c>
      <c r="O186" s="1" t="s">
        <v>320</v>
      </c>
      <c r="R186" t="b">
        <f>IF(COUNTBLANK(Master_Reference[[#This Row],[C-Flex 3000K Eco Part Number]:[C-Flex 4000K Eco Part Number]])=3,FALSE,TRUE)</f>
        <v>1</v>
      </c>
      <c r="S186" t="b">
        <f>IF(COUNTBLANK(Master_Reference[[#This Row],[C-Flex 3000K 3W Part Number]:[C-Flex 4000K 3W Part Number]])=3,FALSE,TRUE)</f>
        <v>1</v>
      </c>
      <c r="T186" t="b">
        <f>IF(COUNTBLANK(Master_Reference[[#This Row],[Lutron 3000K Eco Part Number]:[Lutron 4000K Eco Part Number]])=3,FALSE,TRUE)</f>
        <v>1</v>
      </c>
      <c r="U186" t="b">
        <f>IF(COUNTBLANK(Master_Reference[[#This Row],[Lutron 3000K 3W Part Number]:[Lutron 4000K 3W Part Number]])=3,FALSE,TRUE)</f>
        <v>1</v>
      </c>
      <c r="V186" s="12" t="s">
        <v>298</v>
      </c>
      <c r="W186" s="12" t="s">
        <v>299</v>
      </c>
      <c r="X186" s="12" t="s">
        <v>300</v>
      </c>
      <c r="Y186" t="s">
        <v>1733</v>
      </c>
      <c r="Z186" s="12" t="s">
        <v>301</v>
      </c>
      <c r="AA186" s="12" t="s">
        <v>302</v>
      </c>
      <c r="AB186" s="12" t="s">
        <v>303</v>
      </c>
      <c r="AC186" t="s">
        <v>1821</v>
      </c>
      <c r="AD186" t="str">
        <f>SUBSTITUTE(Master_Reference[[#This Row],[C-Flex 4000K Eco Part Number]],"40-","xx-")</f>
        <v>RP-T5HO-4FT-1L-8xx-E1-M-G2</v>
      </c>
      <c r="AE186" t="str">
        <f>SUBSTITUTE(Master_Reference[[#This Row],[C-Flex 4000K 3W Part Number]],"40-","xx-")</f>
        <v>RP-T5HO-4FT-1L-8xx-3W-M-G2</v>
      </c>
      <c r="AF186" s="1" t="str">
        <f>_xlfn.IFNA(VLOOKUP(Master_Reference[[#This Row],[C-Flex 3000K Eco Part Number]],Lutron_CFlex_Lookup[],MATCH("Lutron Kit PN",Lutron_CFlex_Lookup[#Headers],0),FALSE),"")</f>
        <v>ELD4T5H-1M30-q</v>
      </c>
      <c r="AG186" s="1" t="str">
        <f>_xlfn.IFNA(VLOOKUP(Master_Reference[[#This Row],[C-Flex 3500K Eco Part Number]],Lutron_CFlex_Lookup[],MATCH("Lutron Kit PN",Lutron_CFlex_Lookup[#Headers],0),FALSE),"")</f>
        <v>ELD4T5H-1M35-q</v>
      </c>
      <c r="AH186" s="1" t="str">
        <f>_xlfn.IFNA(VLOOKUP(Master_Reference[[#This Row],[C-Flex 4000K Eco Part Number]],Lutron_CFlex_Lookup[],MATCH("Lutron Kit PN",Lutron_CFlex_Lookup[#Headers],0),FALSE),"")</f>
        <v>ELD4T5H-1M40-q</v>
      </c>
      <c r="AI186" s="1" t="str">
        <f>_xlfn.IFNA(VLOOKUP(Master_Reference[[#This Row],[C-Flex 5000K Eco Part Number]],Lutron_CFlex_Lookup[],MATCH("Lutron Kit PN",Lutron_CFlex_Lookup[#Headers],0),FALSE),"")</f>
        <v>ELD4T5H-1M50-q</v>
      </c>
      <c r="AJ186" s="1" t="str">
        <f>_xlfn.IFNA(VLOOKUP(Master_Reference[[#This Row],[C-Flex 3000K 3W Part Number]],Lutron_CFlex_Lookup[],MATCH("Lutron Kit PN",Lutron_CFlex_Lookup[#Headers],0),FALSE),"")</f>
        <v>3LD4T5H-1M30-q</v>
      </c>
      <c r="AK186" s="1" t="str">
        <f>_xlfn.IFNA(VLOOKUP(Master_Reference[[#This Row],[C-Flex 3500K 3W Part Number]],Lutron_CFlex_Lookup[],MATCH("Lutron Kit PN",Lutron_CFlex_Lookup[#Headers],0),FALSE),"")</f>
        <v>3LD4T5H-1M35-q</v>
      </c>
      <c r="AL186" s="1" t="str">
        <f>_xlfn.IFNA(VLOOKUP(Master_Reference[[#This Row],[C-Flex 4000K 3W Part Number]],Lutron_CFlex_Lookup[],MATCH("Lutron Kit PN",Lutron_CFlex_Lookup[#Headers],0),FALSE),"")</f>
        <v>3LD4T5H-1M40-q</v>
      </c>
      <c r="AM186" s="1" t="str">
        <f>_xlfn.IFNA(VLOOKUP(Master_Reference[[#This Row],[C-Flex 5000K 3W Part Number]],Lutron_CFlex_Lookup[],MATCH("Lutron Kit PN",Lutron_CFlex_Lookup[#Headers],0),FALSE),"")</f>
        <v>3LD4T5H-1M50-q</v>
      </c>
      <c r="AN186" s="1" t="b">
        <f>NOT(ISNA(VLOOKUP(Master_Reference[[#This Row],[Model Number]],ObsoleteModels[],1,FALSE)))</f>
        <v>0</v>
      </c>
      <c r="AO186" s="1" t="str">
        <f>IF(LEFT(Master_Reference[[#This Row],[Model Number]],1)="U",LEFT(Master_Reference[[#This Row],[Model Number]],4),LEFT(Master_Reference[[#This Row],[Model Number]],3))</f>
        <v>EC5</v>
      </c>
    </row>
    <row r="187" spans="1:41" x14ac:dyDescent="0.25">
      <c r="A187" s="2" t="s">
        <v>444</v>
      </c>
      <c r="B187" s="1" t="b">
        <v>1</v>
      </c>
      <c r="C187" s="1" t="b">
        <v>1</v>
      </c>
      <c r="F187" s="1" t="b">
        <v>1</v>
      </c>
      <c r="G187" s="1" t="b">
        <f>IF(OR(LEFT(RIGHT(Master_Reference[[#This Row],[Model Number]],3),1)="C",LEFT(RIGHT(Master_Reference[[#This Row],[Model Number]],4),1)="C"),TRUE,"")</f>
        <v>1</v>
      </c>
      <c r="H187" s="1" t="str">
        <f>IF(LEFT(Master_Reference[[#This Row],[Model Number]],1)="U",TRUE,"")</f>
        <v/>
      </c>
      <c r="I187" s="1" t="b">
        <f>IF(Master_Reference[[#This Row],[Lamp Type]]="T4","",IF(Master_Reference[[#This Row],[Case Type]]="M","",TRUE))</f>
        <v>1</v>
      </c>
      <c r="J187" s="1" t="s">
        <v>297</v>
      </c>
      <c r="K187" s="1">
        <v>54</v>
      </c>
      <c r="L187" s="1" t="s">
        <v>118</v>
      </c>
      <c r="M187" s="1">
        <v>1</v>
      </c>
      <c r="N187" s="1" t="s">
        <v>149</v>
      </c>
      <c r="O187" s="1" t="s">
        <v>320</v>
      </c>
      <c r="R187" t="b">
        <f>IF(COUNTBLANK(Master_Reference[[#This Row],[C-Flex 3000K Eco Part Number]:[C-Flex 4000K Eco Part Number]])=3,FALSE,TRUE)</f>
        <v>1</v>
      </c>
      <c r="S187" t="b">
        <f>IF(COUNTBLANK(Master_Reference[[#This Row],[C-Flex 3000K 3W Part Number]:[C-Flex 4000K 3W Part Number]])=3,FALSE,TRUE)</f>
        <v>1</v>
      </c>
      <c r="T187" t="b">
        <f>IF(COUNTBLANK(Master_Reference[[#This Row],[Lutron 3000K Eco Part Number]:[Lutron 4000K Eco Part Number]])=3,FALSE,TRUE)</f>
        <v>1</v>
      </c>
      <c r="U187" t="b">
        <f>IF(COUNTBLANK(Master_Reference[[#This Row],[Lutron 3000K 3W Part Number]:[Lutron 4000K 3W Part Number]])=3,FALSE,TRUE)</f>
        <v>1</v>
      </c>
      <c r="V187" s="12" t="s">
        <v>298</v>
      </c>
      <c r="W187" s="12" t="s">
        <v>299</v>
      </c>
      <c r="X187" s="12" t="s">
        <v>300</v>
      </c>
      <c r="Y187" t="s">
        <v>1733</v>
      </c>
      <c r="Z187" s="12" t="s">
        <v>301</v>
      </c>
      <c r="AA187" s="12" t="s">
        <v>302</v>
      </c>
      <c r="AB187" s="12" t="s">
        <v>303</v>
      </c>
      <c r="AC187" t="s">
        <v>1821</v>
      </c>
      <c r="AD187" t="str">
        <f>SUBSTITUTE(Master_Reference[[#This Row],[C-Flex 4000K Eco Part Number]],"40-","xx-")</f>
        <v>RP-T5HO-4FT-1L-8xx-E1-M-G2</v>
      </c>
      <c r="AE187" t="str">
        <f>SUBSTITUTE(Master_Reference[[#This Row],[C-Flex 4000K 3W Part Number]],"40-","xx-")</f>
        <v>RP-T5HO-4FT-1L-8xx-3W-M-G2</v>
      </c>
      <c r="AF187" s="1" t="str">
        <f>_xlfn.IFNA(VLOOKUP(Master_Reference[[#This Row],[C-Flex 3000K Eco Part Number]],Lutron_CFlex_Lookup[],MATCH("Lutron Kit PN",Lutron_CFlex_Lookup[#Headers],0),FALSE),"")</f>
        <v>ELD4T5H-1M30-q</v>
      </c>
      <c r="AG187" s="1" t="str">
        <f>_xlfn.IFNA(VLOOKUP(Master_Reference[[#This Row],[C-Flex 3500K Eco Part Number]],Lutron_CFlex_Lookup[],MATCH("Lutron Kit PN",Lutron_CFlex_Lookup[#Headers],0),FALSE),"")</f>
        <v>ELD4T5H-1M35-q</v>
      </c>
      <c r="AH187" s="1" t="str">
        <f>_xlfn.IFNA(VLOOKUP(Master_Reference[[#This Row],[C-Flex 4000K Eco Part Number]],Lutron_CFlex_Lookup[],MATCH("Lutron Kit PN",Lutron_CFlex_Lookup[#Headers],0),FALSE),"")</f>
        <v>ELD4T5H-1M40-q</v>
      </c>
      <c r="AI187" s="1" t="str">
        <f>_xlfn.IFNA(VLOOKUP(Master_Reference[[#This Row],[C-Flex 5000K Eco Part Number]],Lutron_CFlex_Lookup[],MATCH("Lutron Kit PN",Lutron_CFlex_Lookup[#Headers],0),FALSE),"")</f>
        <v>ELD4T5H-1M50-q</v>
      </c>
      <c r="AJ187" s="1" t="str">
        <f>_xlfn.IFNA(VLOOKUP(Master_Reference[[#This Row],[C-Flex 3000K 3W Part Number]],Lutron_CFlex_Lookup[],MATCH("Lutron Kit PN",Lutron_CFlex_Lookup[#Headers],0),FALSE),"")</f>
        <v>3LD4T5H-1M30-q</v>
      </c>
      <c r="AK187" s="1" t="str">
        <f>_xlfn.IFNA(VLOOKUP(Master_Reference[[#This Row],[C-Flex 3500K 3W Part Number]],Lutron_CFlex_Lookup[],MATCH("Lutron Kit PN",Lutron_CFlex_Lookup[#Headers],0),FALSE),"")</f>
        <v>3LD4T5H-1M35-q</v>
      </c>
      <c r="AL187" s="1" t="str">
        <f>_xlfn.IFNA(VLOOKUP(Master_Reference[[#This Row],[C-Flex 4000K 3W Part Number]],Lutron_CFlex_Lookup[],MATCH("Lutron Kit PN",Lutron_CFlex_Lookup[#Headers],0),FALSE),"")</f>
        <v>3LD4T5H-1M40-q</v>
      </c>
      <c r="AM187" s="1" t="str">
        <f>_xlfn.IFNA(VLOOKUP(Master_Reference[[#This Row],[C-Flex 5000K 3W Part Number]],Lutron_CFlex_Lookup[],MATCH("Lutron Kit PN",Lutron_CFlex_Lookup[#Headers],0),FALSE),"")</f>
        <v>3LD4T5H-1M50-q</v>
      </c>
      <c r="AN187" s="1" t="b">
        <f>NOT(ISNA(VLOOKUP(Master_Reference[[#This Row],[Model Number]],ObsoleteModels[],1,FALSE)))</f>
        <v>1</v>
      </c>
      <c r="AO187" s="1" t="str">
        <f>IF(LEFT(Master_Reference[[#This Row],[Model Number]],1)="U",LEFT(Master_Reference[[#This Row],[Model Number]],4),LEFT(Master_Reference[[#This Row],[Model Number]],3))</f>
        <v>EC5</v>
      </c>
    </row>
    <row r="188" spans="1:41" x14ac:dyDescent="0.25">
      <c r="A188" s="2" t="s">
        <v>445</v>
      </c>
      <c r="B188" s="1" t="b">
        <v>1</v>
      </c>
      <c r="C188" s="1" t="b">
        <v>1</v>
      </c>
      <c r="F188" s="1" t="b">
        <v>1</v>
      </c>
      <c r="G188" s="1" t="b">
        <f>IF(OR(LEFT(RIGHT(Master_Reference[[#This Row],[Model Number]],3),1)="C",LEFT(RIGHT(Master_Reference[[#This Row],[Model Number]],4),1)="C"),TRUE,"")</f>
        <v>1</v>
      </c>
      <c r="H188" s="1" t="str">
        <f>IF(LEFT(Master_Reference[[#This Row],[Model Number]],1)="U",TRUE,"")</f>
        <v/>
      </c>
      <c r="I188" s="1" t="b">
        <f>IF(Master_Reference[[#This Row],[Lamp Type]]="T4","",IF(Master_Reference[[#This Row],[Case Type]]="M","",TRUE))</f>
        <v>1</v>
      </c>
      <c r="J188" s="1" t="s">
        <v>297</v>
      </c>
      <c r="K188" s="1">
        <v>54</v>
      </c>
      <c r="L188" s="1" t="s">
        <v>118</v>
      </c>
      <c r="M188" s="1">
        <v>1</v>
      </c>
      <c r="N188" s="1" t="s">
        <v>149</v>
      </c>
      <c r="O188" s="1" t="s">
        <v>320</v>
      </c>
      <c r="R188" t="b">
        <f>IF(COUNTBLANK(Master_Reference[[#This Row],[C-Flex 3000K Eco Part Number]:[C-Flex 4000K Eco Part Number]])=3,FALSE,TRUE)</f>
        <v>1</v>
      </c>
      <c r="S188" t="b">
        <f>IF(COUNTBLANK(Master_Reference[[#This Row],[C-Flex 3000K 3W Part Number]:[C-Flex 4000K 3W Part Number]])=3,FALSE,TRUE)</f>
        <v>1</v>
      </c>
      <c r="T188" t="b">
        <f>IF(COUNTBLANK(Master_Reference[[#This Row],[Lutron 3000K Eco Part Number]:[Lutron 4000K Eco Part Number]])=3,FALSE,TRUE)</f>
        <v>1</v>
      </c>
      <c r="U188" t="b">
        <f>IF(COUNTBLANK(Master_Reference[[#This Row],[Lutron 3000K 3W Part Number]:[Lutron 4000K 3W Part Number]])=3,FALSE,TRUE)</f>
        <v>1</v>
      </c>
      <c r="V188" s="12" t="s">
        <v>298</v>
      </c>
      <c r="W188" s="12" t="s">
        <v>299</v>
      </c>
      <c r="X188" s="12" t="s">
        <v>300</v>
      </c>
      <c r="Y188" t="s">
        <v>1733</v>
      </c>
      <c r="Z188" s="12" t="s">
        <v>301</v>
      </c>
      <c r="AA188" s="12" t="s">
        <v>302</v>
      </c>
      <c r="AB188" s="12" t="s">
        <v>303</v>
      </c>
      <c r="AC188" t="s">
        <v>1821</v>
      </c>
      <c r="AD188" t="str">
        <f>SUBSTITUTE(Master_Reference[[#This Row],[C-Flex 4000K Eco Part Number]],"40-","xx-")</f>
        <v>RP-T5HO-4FT-1L-8xx-E1-M-G2</v>
      </c>
      <c r="AE188" t="str">
        <f>SUBSTITUTE(Master_Reference[[#This Row],[C-Flex 4000K 3W Part Number]],"40-","xx-")</f>
        <v>RP-T5HO-4FT-1L-8xx-3W-M-G2</v>
      </c>
      <c r="AF188" s="1" t="str">
        <f>_xlfn.IFNA(VLOOKUP(Master_Reference[[#This Row],[C-Flex 3000K Eco Part Number]],Lutron_CFlex_Lookup[],MATCH("Lutron Kit PN",Lutron_CFlex_Lookup[#Headers],0),FALSE),"")</f>
        <v>ELD4T5H-1M30-q</v>
      </c>
      <c r="AG188" s="1" t="str">
        <f>_xlfn.IFNA(VLOOKUP(Master_Reference[[#This Row],[C-Flex 3500K Eco Part Number]],Lutron_CFlex_Lookup[],MATCH("Lutron Kit PN",Lutron_CFlex_Lookup[#Headers],0),FALSE),"")</f>
        <v>ELD4T5H-1M35-q</v>
      </c>
      <c r="AH188" s="1" t="str">
        <f>_xlfn.IFNA(VLOOKUP(Master_Reference[[#This Row],[C-Flex 4000K Eco Part Number]],Lutron_CFlex_Lookup[],MATCH("Lutron Kit PN",Lutron_CFlex_Lookup[#Headers],0),FALSE),"")</f>
        <v>ELD4T5H-1M40-q</v>
      </c>
      <c r="AI188" s="1" t="str">
        <f>_xlfn.IFNA(VLOOKUP(Master_Reference[[#This Row],[C-Flex 5000K Eco Part Number]],Lutron_CFlex_Lookup[],MATCH("Lutron Kit PN",Lutron_CFlex_Lookup[#Headers],0),FALSE),"")</f>
        <v>ELD4T5H-1M50-q</v>
      </c>
      <c r="AJ188" s="1" t="str">
        <f>_xlfn.IFNA(VLOOKUP(Master_Reference[[#This Row],[C-Flex 3000K 3W Part Number]],Lutron_CFlex_Lookup[],MATCH("Lutron Kit PN",Lutron_CFlex_Lookup[#Headers],0),FALSE),"")</f>
        <v>3LD4T5H-1M30-q</v>
      </c>
      <c r="AK188" s="1" t="str">
        <f>_xlfn.IFNA(VLOOKUP(Master_Reference[[#This Row],[C-Flex 3500K 3W Part Number]],Lutron_CFlex_Lookup[],MATCH("Lutron Kit PN",Lutron_CFlex_Lookup[#Headers],0),FALSE),"")</f>
        <v>3LD4T5H-1M35-q</v>
      </c>
      <c r="AL188" s="1" t="str">
        <f>_xlfn.IFNA(VLOOKUP(Master_Reference[[#This Row],[C-Flex 4000K 3W Part Number]],Lutron_CFlex_Lookup[],MATCH("Lutron Kit PN",Lutron_CFlex_Lookup[#Headers],0),FALSE),"")</f>
        <v>3LD4T5H-1M40-q</v>
      </c>
      <c r="AM188" s="1" t="str">
        <f>_xlfn.IFNA(VLOOKUP(Master_Reference[[#This Row],[C-Flex 5000K 3W Part Number]],Lutron_CFlex_Lookup[],MATCH("Lutron Kit PN",Lutron_CFlex_Lookup[#Headers],0),FALSE),"")</f>
        <v>3LD4T5H-1M50-q</v>
      </c>
      <c r="AN188" s="1" t="b">
        <f>NOT(ISNA(VLOOKUP(Master_Reference[[#This Row],[Model Number]],ObsoleteModels[],1,FALSE)))</f>
        <v>1</v>
      </c>
      <c r="AO188" s="1" t="str">
        <f>IF(LEFT(Master_Reference[[#This Row],[Model Number]],1)="U",LEFT(Master_Reference[[#This Row],[Model Number]],4),LEFT(Master_Reference[[#This Row],[Model Number]],3))</f>
        <v>EC5</v>
      </c>
    </row>
    <row r="189" spans="1:41" x14ac:dyDescent="0.25">
      <c r="A189" s="2" t="s">
        <v>446</v>
      </c>
      <c r="B189" s="1" t="b">
        <v>1</v>
      </c>
      <c r="C189" s="1" t="b">
        <v>1</v>
      </c>
      <c r="F189" s="1" t="b">
        <v>1</v>
      </c>
      <c r="G189" s="1" t="b">
        <f>IF(OR(LEFT(RIGHT(Master_Reference[[#This Row],[Model Number]],3),1)="C",LEFT(RIGHT(Master_Reference[[#This Row],[Model Number]],4),1)="C"),TRUE,"")</f>
        <v>1</v>
      </c>
      <c r="H189" s="1" t="str">
        <f>IF(LEFT(Master_Reference[[#This Row],[Model Number]],1)="U",TRUE,"")</f>
        <v/>
      </c>
      <c r="I189" s="1" t="b">
        <f>IF(Master_Reference[[#This Row],[Lamp Type]]="T4","",IF(Master_Reference[[#This Row],[Case Type]]="M","",TRUE))</f>
        <v>1</v>
      </c>
      <c r="J189" s="1" t="s">
        <v>297</v>
      </c>
      <c r="K189" s="1">
        <v>54</v>
      </c>
      <c r="L189" s="1" t="s">
        <v>118</v>
      </c>
      <c r="M189" s="1">
        <v>1</v>
      </c>
      <c r="N189" s="1" t="s">
        <v>149</v>
      </c>
      <c r="O189" s="1" t="s">
        <v>320</v>
      </c>
      <c r="R189" t="b">
        <f>IF(COUNTBLANK(Master_Reference[[#This Row],[C-Flex 3000K Eco Part Number]:[C-Flex 4000K Eco Part Number]])=3,FALSE,TRUE)</f>
        <v>1</v>
      </c>
      <c r="S189" t="b">
        <f>IF(COUNTBLANK(Master_Reference[[#This Row],[C-Flex 3000K 3W Part Number]:[C-Flex 4000K 3W Part Number]])=3,FALSE,TRUE)</f>
        <v>1</v>
      </c>
      <c r="T189" t="b">
        <f>IF(COUNTBLANK(Master_Reference[[#This Row],[Lutron 3000K Eco Part Number]:[Lutron 4000K Eco Part Number]])=3,FALSE,TRUE)</f>
        <v>1</v>
      </c>
      <c r="U189" t="b">
        <f>IF(COUNTBLANK(Master_Reference[[#This Row],[Lutron 3000K 3W Part Number]:[Lutron 4000K 3W Part Number]])=3,FALSE,TRUE)</f>
        <v>1</v>
      </c>
      <c r="V189" s="12" t="s">
        <v>298</v>
      </c>
      <c r="W189" s="12" t="s">
        <v>299</v>
      </c>
      <c r="X189" s="12" t="s">
        <v>300</v>
      </c>
      <c r="Y189" t="s">
        <v>1733</v>
      </c>
      <c r="Z189" s="12" t="s">
        <v>301</v>
      </c>
      <c r="AA189" s="12" t="s">
        <v>302</v>
      </c>
      <c r="AB189" s="12" t="s">
        <v>303</v>
      </c>
      <c r="AC189" t="s">
        <v>1821</v>
      </c>
      <c r="AD189" t="str">
        <f>SUBSTITUTE(Master_Reference[[#This Row],[C-Flex 4000K Eco Part Number]],"40-","xx-")</f>
        <v>RP-T5HO-4FT-1L-8xx-E1-M-G2</v>
      </c>
      <c r="AE189" t="str">
        <f>SUBSTITUTE(Master_Reference[[#This Row],[C-Flex 4000K 3W Part Number]],"40-","xx-")</f>
        <v>RP-T5HO-4FT-1L-8xx-3W-M-G2</v>
      </c>
      <c r="AF189" s="1" t="str">
        <f>_xlfn.IFNA(VLOOKUP(Master_Reference[[#This Row],[C-Flex 3000K Eco Part Number]],Lutron_CFlex_Lookup[],MATCH("Lutron Kit PN",Lutron_CFlex_Lookup[#Headers],0),FALSE),"")</f>
        <v>ELD4T5H-1M30-q</v>
      </c>
      <c r="AG189" s="1" t="str">
        <f>_xlfn.IFNA(VLOOKUP(Master_Reference[[#This Row],[C-Flex 3500K Eco Part Number]],Lutron_CFlex_Lookup[],MATCH("Lutron Kit PN",Lutron_CFlex_Lookup[#Headers],0),FALSE),"")</f>
        <v>ELD4T5H-1M35-q</v>
      </c>
      <c r="AH189" s="1" t="str">
        <f>_xlfn.IFNA(VLOOKUP(Master_Reference[[#This Row],[C-Flex 4000K Eco Part Number]],Lutron_CFlex_Lookup[],MATCH("Lutron Kit PN",Lutron_CFlex_Lookup[#Headers],0),FALSE),"")</f>
        <v>ELD4T5H-1M40-q</v>
      </c>
      <c r="AI189" s="1" t="str">
        <f>_xlfn.IFNA(VLOOKUP(Master_Reference[[#This Row],[C-Flex 5000K Eco Part Number]],Lutron_CFlex_Lookup[],MATCH("Lutron Kit PN",Lutron_CFlex_Lookup[#Headers],0),FALSE),"")</f>
        <v>ELD4T5H-1M50-q</v>
      </c>
      <c r="AJ189" s="1" t="str">
        <f>_xlfn.IFNA(VLOOKUP(Master_Reference[[#This Row],[C-Flex 3000K 3W Part Number]],Lutron_CFlex_Lookup[],MATCH("Lutron Kit PN",Lutron_CFlex_Lookup[#Headers],0),FALSE),"")</f>
        <v>3LD4T5H-1M30-q</v>
      </c>
      <c r="AK189" s="1" t="str">
        <f>_xlfn.IFNA(VLOOKUP(Master_Reference[[#This Row],[C-Flex 3500K 3W Part Number]],Lutron_CFlex_Lookup[],MATCH("Lutron Kit PN",Lutron_CFlex_Lookup[#Headers],0),FALSE),"")</f>
        <v>3LD4T5H-1M35-q</v>
      </c>
      <c r="AL189" s="1" t="str">
        <f>_xlfn.IFNA(VLOOKUP(Master_Reference[[#This Row],[C-Flex 4000K 3W Part Number]],Lutron_CFlex_Lookup[],MATCH("Lutron Kit PN",Lutron_CFlex_Lookup[#Headers],0),FALSE),"")</f>
        <v>3LD4T5H-1M40-q</v>
      </c>
      <c r="AM189" s="1" t="str">
        <f>_xlfn.IFNA(VLOOKUP(Master_Reference[[#This Row],[C-Flex 5000K 3W Part Number]],Lutron_CFlex_Lookup[],MATCH("Lutron Kit PN",Lutron_CFlex_Lookup[#Headers],0),FALSE),"")</f>
        <v>3LD4T5H-1M50-q</v>
      </c>
      <c r="AN189" s="1" t="b">
        <f>NOT(ISNA(VLOOKUP(Master_Reference[[#This Row],[Model Number]],ObsoleteModels[],1,FALSE)))</f>
        <v>1</v>
      </c>
      <c r="AO189" s="1" t="str">
        <f>IF(LEFT(Master_Reference[[#This Row],[Model Number]],1)="U",LEFT(Master_Reference[[#This Row],[Model Number]],4),LEFT(Master_Reference[[#This Row],[Model Number]],3))</f>
        <v>EC5</v>
      </c>
    </row>
    <row r="190" spans="1:41" x14ac:dyDescent="0.25">
      <c r="A190" s="2" t="s">
        <v>447</v>
      </c>
      <c r="B190" s="1" t="b">
        <v>1</v>
      </c>
      <c r="C190" s="1" t="b">
        <v>1</v>
      </c>
      <c r="F190" s="1" t="b">
        <v>1</v>
      </c>
      <c r="G190" s="1" t="str">
        <f>IF(OR(LEFT(RIGHT(Master_Reference[[#This Row],[Model Number]],3),1)="C",LEFT(RIGHT(Master_Reference[[#This Row],[Model Number]],4),1)="C"),TRUE,"")</f>
        <v/>
      </c>
      <c r="H190" s="1" t="str">
        <f>IF(LEFT(Master_Reference[[#This Row],[Model Number]],1)="U",TRUE,"")</f>
        <v/>
      </c>
      <c r="I190" s="1" t="b">
        <f>IF(Master_Reference[[#This Row],[Lamp Type]]="T4","",IF(Master_Reference[[#This Row],[Case Type]]="M","",TRUE))</f>
        <v>1</v>
      </c>
      <c r="J190" s="1" t="s">
        <v>297</v>
      </c>
      <c r="K190" s="1">
        <v>54</v>
      </c>
      <c r="L190" s="1" t="s">
        <v>118</v>
      </c>
      <c r="M190" s="1">
        <v>1</v>
      </c>
      <c r="N190" s="1" t="s">
        <v>149</v>
      </c>
      <c r="O190" s="1" t="s">
        <v>320</v>
      </c>
      <c r="Q190" s="1" t="s">
        <v>91</v>
      </c>
      <c r="R190" t="b">
        <f>IF(COUNTBLANK(Master_Reference[[#This Row],[C-Flex 3000K Eco Part Number]:[C-Flex 4000K Eco Part Number]])=3,FALSE,TRUE)</f>
        <v>0</v>
      </c>
      <c r="S190" t="b">
        <f>IF(COUNTBLANK(Master_Reference[[#This Row],[C-Flex 3000K 3W Part Number]:[C-Flex 4000K 3W Part Number]])=3,FALSE,TRUE)</f>
        <v>0</v>
      </c>
      <c r="T190" t="b">
        <f>IF(COUNTBLANK(Master_Reference[[#This Row],[Lutron 3000K Eco Part Number]:[Lutron 4000K Eco Part Number]])=3,FALSE,TRUE)</f>
        <v>0</v>
      </c>
      <c r="U190" t="b">
        <f>IF(COUNTBLANK(Master_Reference[[#This Row],[Lutron 3000K 3W Part Number]:[Lutron 4000K 3W Part Number]])=3,FALSE,TRUE)</f>
        <v>0</v>
      </c>
      <c r="V190" s="12"/>
      <c r="W190" s="12"/>
      <c r="X190" s="12"/>
      <c r="Y190" t="s">
        <v>2125</v>
      </c>
      <c r="Z190" s="12"/>
      <c r="AA190" s="12"/>
      <c r="AB190" s="12"/>
      <c r="AC190" t="s">
        <v>2125</v>
      </c>
      <c r="AD190" t="str">
        <f>SUBSTITUTE(Master_Reference[[#This Row],[C-Flex 4000K Eco Part Number]],"40-","xx-")</f>
        <v/>
      </c>
      <c r="AE190" t="str">
        <f>SUBSTITUTE(Master_Reference[[#This Row],[C-Flex 4000K 3W Part Number]],"40-","xx-")</f>
        <v/>
      </c>
      <c r="AF190" s="1" t="str">
        <f>_xlfn.IFNA(VLOOKUP(Master_Reference[[#This Row],[C-Flex 3000K Eco Part Number]],Lutron_CFlex_Lookup[],MATCH("Lutron Kit PN",Lutron_CFlex_Lookup[#Headers],0),FALSE),"")</f>
        <v/>
      </c>
      <c r="AG190" s="1" t="str">
        <f>_xlfn.IFNA(VLOOKUP(Master_Reference[[#This Row],[C-Flex 3500K Eco Part Number]],Lutron_CFlex_Lookup[],MATCH("Lutron Kit PN",Lutron_CFlex_Lookup[#Headers],0),FALSE),"")</f>
        <v/>
      </c>
      <c r="AH190" s="1" t="str">
        <f>_xlfn.IFNA(VLOOKUP(Master_Reference[[#This Row],[C-Flex 4000K Eco Part Number]],Lutron_CFlex_Lookup[],MATCH("Lutron Kit PN",Lutron_CFlex_Lookup[#Headers],0),FALSE),"")</f>
        <v/>
      </c>
      <c r="AI190" s="1" t="str">
        <f>_xlfn.IFNA(VLOOKUP(Master_Reference[[#This Row],[C-Flex 5000K Eco Part Number]],Lutron_CFlex_Lookup[],MATCH("Lutron Kit PN",Lutron_CFlex_Lookup[#Headers],0),FALSE),"")</f>
        <v/>
      </c>
      <c r="AJ190" s="1" t="str">
        <f>_xlfn.IFNA(VLOOKUP(Master_Reference[[#This Row],[C-Flex 3000K 3W Part Number]],Lutron_CFlex_Lookup[],MATCH("Lutron Kit PN",Lutron_CFlex_Lookup[#Headers],0),FALSE),"")</f>
        <v/>
      </c>
      <c r="AK190" s="1" t="str">
        <f>_xlfn.IFNA(VLOOKUP(Master_Reference[[#This Row],[C-Flex 3500K 3W Part Number]],Lutron_CFlex_Lookup[],MATCH("Lutron Kit PN",Lutron_CFlex_Lookup[#Headers],0),FALSE),"")</f>
        <v/>
      </c>
      <c r="AL190" s="1" t="str">
        <f>_xlfn.IFNA(VLOOKUP(Master_Reference[[#This Row],[C-Flex 4000K 3W Part Number]],Lutron_CFlex_Lookup[],MATCH("Lutron Kit PN",Lutron_CFlex_Lookup[#Headers],0),FALSE),"")</f>
        <v/>
      </c>
      <c r="AM190" s="1" t="str">
        <f>_xlfn.IFNA(VLOOKUP(Master_Reference[[#This Row],[C-Flex 5000K 3W Part Number]],Lutron_CFlex_Lookup[],MATCH("Lutron Kit PN",Lutron_CFlex_Lookup[#Headers],0),FALSE),"")</f>
        <v/>
      </c>
      <c r="AN190" s="1" t="b">
        <f>NOT(ISNA(VLOOKUP(Master_Reference[[#This Row],[Model Number]],ObsoleteModels[],1,FALSE)))</f>
        <v>0</v>
      </c>
      <c r="AO190" s="1" t="str">
        <f>IF(LEFT(Master_Reference[[#This Row],[Model Number]],1)="U",LEFT(Master_Reference[[#This Row],[Model Number]],4),LEFT(Master_Reference[[#This Row],[Model Number]],3))</f>
        <v>EC5</v>
      </c>
    </row>
    <row r="191" spans="1:41" x14ac:dyDescent="0.25">
      <c r="A191" s="2" t="s">
        <v>448</v>
      </c>
      <c r="B191" s="1" t="b">
        <v>1</v>
      </c>
      <c r="C191" s="1" t="b">
        <v>1</v>
      </c>
      <c r="F191" s="1" t="b">
        <v>1</v>
      </c>
      <c r="G191" s="1" t="str">
        <f>IF(OR(LEFT(RIGHT(Master_Reference[[#This Row],[Model Number]],3),1)="C",LEFT(RIGHT(Master_Reference[[#This Row],[Model Number]],4),1)="C"),TRUE,"")</f>
        <v/>
      </c>
      <c r="H191" s="1" t="str">
        <f>IF(LEFT(Master_Reference[[#This Row],[Model Number]],1)="U",TRUE,"")</f>
        <v/>
      </c>
      <c r="I191" s="1" t="b">
        <f>IF(Master_Reference[[#This Row],[Lamp Type]]="T4","",IF(Master_Reference[[#This Row],[Case Type]]="M","",TRUE))</f>
        <v>1</v>
      </c>
      <c r="J191" s="1" t="s">
        <v>297</v>
      </c>
      <c r="K191" s="1">
        <v>54</v>
      </c>
      <c r="L191" s="1" t="s">
        <v>118</v>
      </c>
      <c r="M191" s="1">
        <v>2</v>
      </c>
      <c r="N191" s="1" t="s">
        <v>149</v>
      </c>
      <c r="O191" s="1" t="s">
        <v>320</v>
      </c>
      <c r="R191" t="b">
        <f>IF(COUNTBLANK(Master_Reference[[#This Row],[C-Flex 3000K Eco Part Number]:[C-Flex 4000K Eco Part Number]])=3,FALSE,TRUE)</f>
        <v>1</v>
      </c>
      <c r="S191" t="b">
        <f>IF(COUNTBLANK(Master_Reference[[#This Row],[C-Flex 3000K 3W Part Number]:[C-Flex 4000K 3W Part Number]])=3,FALSE,TRUE)</f>
        <v>1</v>
      </c>
      <c r="T191" t="b">
        <f>IF(COUNTBLANK(Master_Reference[[#This Row],[Lutron 3000K Eco Part Number]:[Lutron 4000K Eco Part Number]])=3,FALSE,TRUE)</f>
        <v>1</v>
      </c>
      <c r="U191" t="b">
        <f>IF(COUNTBLANK(Master_Reference[[#This Row],[Lutron 3000K 3W Part Number]:[Lutron 4000K 3W Part Number]])=3,FALSE,TRUE)</f>
        <v>1</v>
      </c>
      <c r="V191" s="12" t="s">
        <v>305</v>
      </c>
      <c r="W191" s="12" t="s">
        <v>306</v>
      </c>
      <c r="X191" s="12" t="s">
        <v>307</v>
      </c>
      <c r="Y191" t="s">
        <v>1734</v>
      </c>
      <c r="Z191" s="12" t="s">
        <v>308</v>
      </c>
      <c r="AA191" s="12" t="s">
        <v>309</v>
      </c>
      <c r="AB191" s="12" t="s">
        <v>310</v>
      </c>
      <c r="AC191" t="s">
        <v>1822</v>
      </c>
      <c r="AD191" t="str">
        <f>SUBSTITUTE(Master_Reference[[#This Row],[C-Flex 4000K Eco Part Number]],"40-","xx-")</f>
        <v>RP-T5HO-4FT-2L-8xx-E1-M-G2</v>
      </c>
      <c r="AE191" t="str">
        <f>SUBSTITUTE(Master_Reference[[#This Row],[C-Flex 4000K 3W Part Number]],"40-","xx-")</f>
        <v>RP-T5HO-4FT-2L-8xx-3W-M-G2</v>
      </c>
      <c r="AF191" s="1" t="str">
        <f>_xlfn.IFNA(VLOOKUP(Master_Reference[[#This Row],[C-Flex 3000K Eco Part Number]],Lutron_CFlex_Lookup[],MATCH("Lutron Kit PN",Lutron_CFlex_Lookup[#Headers],0),FALSE),"")</f>
        <v>ELD4T5H-2M30-q</v>
      </c>
      <c r="AG191" s="1" t="str">
        <f>_xlfn.IFNA(VLOOKUP(Master_Reference[[#This Row],[C-Flex 3500K Eco Part Number]],Lutron_CFlex_Lookup[],MATCH("Lutron Kit PN",Lutron_CFlex_Lookup[#Headers],0),FALSE),"")</f>
        <v>ELD4T5H-2M35-q</v>
      </c>
      <c r="AH191" s="1" t="str">
        <f>_xlfn.IFNA(VLOOKUP(Master_Reference[[#This Row],[C-Flex 4000K Eco Part Number]],Lutron_CFlex_Lookup[],MATCH("Lutron Kit PN",Lutron_CFlex_Lookup[#Headers],0),FALSE),"")</f>
        <v>ELD4T5H-2M40-q</v>
      </c>
      <c r="AI191" s="1" t="str">
        <f>_xlfn.IFNA(VLOOKUP(Master_Reference[[#This Row],[C-Flex 5000K Eco Part Number]],Lutron_CFlex_Lookup[],MATCH("Lutron Kit PN",Lutron_CFlex_Lookup[#Headers],0),FALSE),"")</f>
        <v>ELD4T5H-2M50-q</v>
      </c>
      <c r="AJ191" s="1" t="str">
        <f>_xlfn.IFNA(VLOOKUP(Master_Reference[[#This Row],[C-Flex 3000K 3W Part Number]],Lutron_CFlex_Lookup[],MATCH("Lutron Kit PN",Lutron_CFlex_Lookup[#Headers],0),FALSE),"")</f>
        <v>3LD4T5H-2M30-q</v>
      </c>
      <c r="AK191" s="1" t="str">
        <f>_xlfn.IFNA(VLOOKUP(Master_Reference[[#This Row],[C-Flex 3500K 3W Part Number]],Lutron_CFlex_Lookup[],MATCH("Lutron Kit PN",Lutron_CFlex_Lookup[#Headers],0),FALSE),"")</f>
        <v>3LD4T5H-2M35-q</v>
      </c>
      <c r="AL191" s="1" t="str">
        <f>_xlfn.IFNA(VLOOKUP(Master_Reference[[#This Row],[C-Flex 4000K 3W Part Number]],Lutron_CFlex_Lookup[],MATCH("Lutron Kit PN",Lutron_CFlex_Lookup[#Headers],0),FALSE),"")</f>
        <v>3LD4T5H-2M40-q</v>
      </c>
      <c r="AM191" s="1" t="str">
        <f>_xlfn.IFNA(VLOOKUP(Master_Reference[[#This Row],[C-Flex 5000K 3W Part Number]],Lutron_CFlex_Lookup[],MATCH("Lutron Kit PN",Lutron_CFlex_Lookup[#Headers],0),FALSE),"")</f>
        <v>3LD4T5H-2M50-q</v>
      </c>
      <c r="AN191" s="1" t="b">
        <f>NOT(ISNA(VLOOKUP(Master_Reference[[#This Row],[Model Number]],ObsoleteModels[],1,FALSE)))</f>
        <v>0</v>
      </c>
      <c r="AO191" s="1" t="str">
        <f>IF(LEFT(Master_Reference[[#This Row],[Model Number]],1)="U",LEFT(Master_Reference[[#This Row],[Model Number]],4),LEFT(Master_Reference[[#This Row],[Model Number]],3))</f>
        <v>EC5</v>
      </c>
    </row>
    <row r="192" spans="1:41" x14ac:dyDescent="0.25">
      <c r="A192" s="2" t="s">
        <v>449</v>
      </c>
      <c r="B192" s="1" t="b">
        <v>1</v>
      </c>
      <c r="C192" s="1" t="b">
        <v>1</v>
      </c>
      <c r="F192" s="1" t="b">
        <v>1</v>
      </c>
      <c r="G192" s="1" t="b">
        <f>IF(OR(LEFT(RIGHT(Master_Reference[[#This Row],[Model Number]],3),1)="C",LEFT(RIGHT(Master_Reference[[#This Row],[Model Number]],4),1)="C"),TRUE,"")</f>
        <v>1</v>
      </c>
      <c r="H192" s="1" t="str">
        <f>IF(LEFT(Master_Reference[[#This Row],[Model Number]],1)="U",TRUE,"")</f>
        <v/>
      </c>
      <c r="I192" s="1" t="b">
        <f>IF(Master_Reference[[#This Row],[Lamp Type]]="T4","",IF(Master_Reference[[#This Row],[Case Type]]="M","",TRUE))</f>
        <v>1</v>
      </c>
      <c r="J192" s="1" t="s">
        <v>297</v>
      </c>
      <c r="K192" s="1">
        <v>54</v>
      </c>
      <c r="L192" s="1" t="s">
        <v>118</v>
      </c>
      <c r="M192" s="1">
        <v>2</v>
      </c>
      <c r="N192" s="1" t="s">
        <v>149</v>
      </c>
      <c r="O192" s="1" t="s">
        <v>320</v>
      </c>
      <c r="R192" t="b">
        <f>IF(COUNTBLANK(Master_Reference[[#This Row],[C-Flex 3000K Eco Part Number]:[C-Flex 4000K Eco Part Number]])=3,FALSE,TRUE)</f>
        <v>1</v>
      </c>
      <c r="S192" t="b">
        <f>IF(COUNTBLANK(Master_Reference[[#This Row],[C-Flex 3000K 3W Part Number]:[C-Flex 4000K 3W Part Number]])=3,FALSE,TRUE)</f>
        <v>1</v>
      </c>
      <c r="T192" t="b">
        <f>IF(COUNTBLANK(Master_Reference[[#This Row],[Lutron 3000K Eco Part Number]:[Lutron 4000K Eco Part Number]])=3,FALSE,TRUE)</f>
        <v>1</v>
      </c>
      <c r="U192" t="b">
        <f>IF(COUNTBLANK(Master_Reference[[#This Row],[Lutron 3000K 3W Part Number]:[Lutron 4000K 3W Part Number]])=3,FALSE,TRUE)</f>
        <v>1</v>
      </c>
      <c r="V192" s="12" t="s">
        <v>305</v>
      </c>
      <c r="W192" s="12" t="s">
        <v>306</v>
      </c>
      <c r="X192" s="12" t="s">
        <v>307</v>
      </c>
      <c r="Y192" t="s">
        <v>1734</v>
      </c>
      <c r="Z192" s="12" t="s">
        <v>308</v>
      </c>
      <c r="AA192" s="12" t="s">
        <v>309</v>
      </c>
      <c r="AB192" s="12" t="s">
        <v>310</v>
      </c>
      <c r="AC192" t="s">
        <v>1822</v>
      </c>
      <c r="AD192" t="str">
        <f>SUBSTITUTE(Master_Reference[[#This Row],[C-Flex 4000K Eco Part Number]],"40-","xx-")</f>
        <v>RP-T5HO-4FT-2L-8xx-E1-M-G2</v>
      </c>
      <c r="AE192" t="str">
        <f>SUBSTITUTE(Master_Reference[[#This Row],[C-Flex 4000K 3W Part Number]],"40-","xx-")</f>
        <v>RP-T5HO-4FT-2L-8xx-3W-M-G2</v>
      </c>
      <c r="AF192" s="1" t="str">
        <f>_xlfn.IFNA(VLOOKUP(Master_Reference[[#This Row],[C-Flex 3000K Eco Part Number]],Lutron_CFlex_Lookup[],MATCH("Lutron Kit PN",Lutron_CFlex_Lookup[#Headers],0),FALSE),"")</f>
        <v>ELD4T5H-2M30-q</v>
      </c>
      <c r="AG192" s="1" t="str">
        <f>_xlfn.IFNA(VLOOKUP(Master_Reference[[#This Row],[C-Flex 3500K Eco Part Number]],Lutron_CFlex_Lookup[],MATCH("Lutron Kit PN",Lutron_CFlex_Lookup[#Headers],0),FALSE),"")</f>
        <v>ELD4T5H-2M35-q</v>
      </c>
      <c r="AH192" s="1" t="str">
        <f>_xlfn.IFNA(VLOOKUP(Master_Reference[[#This Row],[C-Flex 4000K Eco Part Number]],Lutron_CFlex_Lookup[],MATCH("Lutron Kit PN",Lutron_CFlex_Lookup[#Headers],0),FALSE),"")</f>
        <v>ELD4T5H-2M40-q</v>
      </c>
      <c r="AI192" s="1" t="str">
        <f>_xlfn.IFNA(VLOOKUP(Master_Reference[[#This Row],[C-Flex 5000K Eco Part Number]],Lutron_CFlex_Lookup[],MATCH("Lutron Kit PN",Lutron_CFlex_Lookup[#Headers],0),FALSE),"")</f>
        <v>ELD4T5H-2M50-q</v>
      </c>
      <c r="AJ192" s="1" t="str">
        <f>_xlfn.IFNA(VLOOKUP(Master_Reference[[#This Row],[C-Flex 3000K 3W Part Number]],Lutron_CFlex_Lookup[],MATCH("Lutron Kit PN",Lutron_CFlex_Lookup[#Headers],0),FALSE),"")</f>
        <v>3LD4T5H-2M30-q</v>
      </c>
      <c r="AK192" s="1" t="str">
        <f>_xlfn.IFNA(VLOOKUP(Master_Reference[[#This Row],[C-Flex 3500K 3W Part Number]],Lutron_CFlex_Lookup[],MATCH("Lutron Kit PN",Lutron_CFlex_Lookup[#Headers],0),FALSE),"")</f>
        <v>3LD4T5H-2M35-q</v>
      </c>
      <c r="AL192" s="1" t="str">
        <f>_xlfn.IFNA(VLOOKUP(Master_Reference[[#This Row],[C-Flex 4000K 3W Part Number]],Lutron_CFlex_Lookup[],MATCH("Lutron Kit PN",Lutron_CFlex_Lookup[#Headers],0),FALSE),"")</f>
        <v>3LD4T5H-2M40-q</v>
      </c>
      <c r="AM192" s="1" t="str">
        <f>_xlfn.IFNA(VLOOKUP(Master_Reference[[#This Row],[C-Flex 5000K 3W Part Number]],Lutron_CFlex_Lookup[],MATCH("Lutron Kit PN",Lutron_CFlex_Lookup[#Headers],0),FALSE),"")</f>
        <v>3LD4T5H-2M50-q</v>
      </c>
      <c r="AN192" s="1" t="b">
        <f>NOT(ISNA(VLOOKUP(Master_Reference[[#This Row],[Model Number]],ObsoleteModels[],1,FALSE)))</f>
        <v>1</v>
      </c>
      <c r="AO192" s="1" t="str">
        <f>IF(LEFT(Master_Reference[[#This Row],[Model Number]],1)="U",LEFT(Master_Reference[[#This Row],[Model Number]],4),LEFT(Master_Reference[[#This Row],[Model Number]],3))</f>
        <v>EC5</v>
      </c>
    </row>
    <row r="193" spans="1:41" x14ac:dyDescent="0.25">
      <c r="A193" s="2" t="s">
        <v>450</v>
      </c>
      <c r="B193" s="1" t="b">
        <v>1</v>
      </c>
      <c r="C193" s="1" t="b">
        <v>1</v>
      </c>
      <c r="F193" s="1" t="b">
        <v>1</v>
      </c>
      <c r="G193" s="1" t="b">
        <f>IF(OR(LEFT(RIGHT(Master_Reference[[#This Row],[Model Number]],3),1)="C",LEFT(RIGHT(Master_Reference[[#This Row],[Model Number]],4),1)="C"),TRUE,"")</f>
        <v>1</v>
      </c>
      <c r="H193" s="1" t="str">
        <f>IF(LEFT(Master_Reference[[#This Row],[Model Number]],1)="U",TRUE,"")</f>
        <v/>
      </c>
      <c r="I193" s="1" t="b">
        <f>IF(Master_Reference[[#This Row],[Lamp Type]]="T4","",IF(Master_Reference[[#This Row],[Case Type]]="M","",TRUE))</f>
        <v>1</v>
      </c>
      <c r="J193" s="1" t="s">
        <v>297</v>
      </c>
      <c r="K193" s="1">
        <v>54</v>
      </c>
      <c r="L193" s="1" t="s">
        <v>118</v>
      </c>
      <c r="M193" s="1">
        <v>2</v>
      </c>
      <c r="N193" s="1" t="s">
        <v>149</v>
      </c>
      <c r="O193" s="1" t="s">
        <v>320</v>
      </c>
      <c r="R193" t="b">
        <f>IF(COUNTBLANK(Master_Reference[[#This Row],[C-Flex 3000K Eco Part Number]:[C-Flex 4000K Eco Part Number]])=3,FALSE,TRUE)</f>
        <v>1</v>
      </c>
      <c r="S193" t="b">
        <f>IF(COUNTBLANK(Master_Reference[[#This Row],[C-Flex 3000K 3W Part Number]:[C-Flex 4000K 3W Part Number]])=3,FALSE,TRUE)</f>
        <v>1</v>
      </c>
      <c r="T193" t="b">
        <f>IF(COUNTBLANK(Master_Reference[[#This Row],[Lutron 3000K Eco Part Number]:[Lutron 4000K Eco Part Number]])=3,FALSE,TRUE)</f>
        <v>1</v>
      </c>
      <c r="U193" t="b">
        <f>IF(COUNTBLANK(Master_Reference[[#This Row],[Lutron 3000K 3W Part Number]:[Lutron 4000K 3W Part Number]])=3,FALSE,TRUE)</f>
        <v>1</v>
      </c>
      <c r="V193" s="12" t="s">
        <v>305</v>
      </c>
      <c r="W193" s="12" t="s">
        <v>306</v>
      </c>
      <c r="X193" s="12" t="s">
        <v>307</v>
      </c>
      <c r="Y193" t="s">
        <v>1734</v>
      </c>
      <c r="Z193" s="12" t="s">
        <v>308</v>
      </c>
      <c r="AA193" s="12" t="s">
        <v>309</v>
      </c>
      <c r="AB193" s="12" t="s">
        <v>310</v>
      </c>
      <c r="AC193" t="s">
        <v>1822</v>
      </c>
      <c r="AD193" t="str">
        <f>SUBSTITUTE(Master_Reference[[#This Row],[C-Flex 4000K Eco Part Number]],"40-","xx-")</f>
        <v>RP-T5HO-4FT-2L-8xx-E1-M-G2</v>
      </c>
      <c r="AE193" t="str">
        <f>SUBSTITUTE(Master_Reference[[#This Row],[C-Flex 4000K 3W Part Number]],"40-","xx-")</f>
        <v>RP-T5HO-4FT-2L-8xx-3W-M-G2</v>
      </c>
      <c r="AF193" s="1" t="str">
        <f>_xlfn.IFNA(VLOOKUP(Master_Reference[[#This Row],[C-Flex 3000K Eco Part Number]],Lutron_CFlex_Lookup[],MATCH("Lutron Kit PN",Lutron_CFlex_Lookup[#Headers],0),FALSE),"")</f>
        <v>ELD4T5H-2M30-q</v>
      </c>
      <c r="AG193" s="1" t="str">
        <f>_xlfn.IFNA(VLOOKUP(Master_Reference[[#This Row],[C-Flex 3500K Eco Part Number]],Lutron_CFlex_Lookup[],MATCH("Lutron Kit PN",Lutron_CFlex_Lookup[#Headers],0),FALSE),"")</f>
        <v>ELD4T5H-2M35-q</v>
      </c>
      <c r="AH193" s="1" t="str">
        <f>_xlfn.IFNA(VLOOKUP(Master_Reference[[#This Row],[C-Flex 4000K Eco Part Number]],Lutron_CFlex_Lookup[],MATCH("Lutron Kit PN",Lutron_CFlex_Lookup[#Headers],0),FALSE),"")</f>
        <v>ELD4T5H-2M40-q</v>
      </c>
      <c r="AI193" s="1" t="str">
        <f>_xlfn.IFNA(VLOOKUP(Master_Reference[[#This Row],[C-Flex 5000K Eco Part Number]],Lutron_CFlex_Lookup[],MATCH("Lutron Kit PN",Lutron_CFlex_Lookup[#Headers],0),FALSE),"")</f>
        <v>ELD4T5H-2M50-q</v>
      </c>
      <c r="AJ193" s="1" t="str">
        <f>_xlfn.IFNA(VLOOKUP(Master_Reference[[#This Row],[C-Flex 3000K 3W Part Number]],Lutron_CFlex_Lookup[],MATCH("Lutron Kit PN",Lutron_CFlex_Lookup[#Headers],0),FALSE),"")</f>
        <v>3LD4T5H-2M30-q</v>
      </c>
      <c r="AK193" s="1" t="str">
        <f>_xlfn.IFNA(VLOOKUP(Master_Reference[[#This Row],[C-Flex 3500K 3W Part Number]],Lutron_CFlex_Lookup[],MATCH("Lutron Kit PN",Lutron_CFlex_Lookup[#Headers],0),FALSE),"")</f>
        <v>3LD4T5H-2M35-q</v>
      </c>
      <c r="AL193" s="1" t="str">
        <f>_xlfn.IFNA(VLOOKUP(Master_Reference[[#This Row],[C-Flex 4000K 3W Part Number]],Lutron_CFlex_Lookup[],MATCH("Lutron Kit PN",Lutron_CFlex_Lookup[#Headers],0),FALSE),"")</f>
        <v>3LD4T5H-2M40-q</v>
      </c>
      <c r="AM193" s="1" t="str">
        <f>_xlfn.IFNA(VLOOKUP(Master_Reference[[#This Row],[C-Flex 5000K 3W Part Number]],Lutron_CFlex_Lookup[],MATCH("Lutron Kit PN",Lutron_CFlex_Lookup[#Headers],0),FALSE),"")</f>
        <v>3LD4T5H-2M50-q</v>
      </c>
      <c r="AN193" s="1" t="b">
        <f>NOT(ISNA(VLOOKUP(Master_Reference[[#This Row],[Model Number]],ObsoleteModels[],1,FALSE)))</f>
        <v>1</v>
      </c>
      <c r="AO193" s="1" t="str">
        <f>IF(LEFT(Master_Reference[[#This Row],[Model Number]],1)="U",LEFT(Master_Reference[[#This Row],[Model Number]],4),LEFT(Master_Reference[[#This Row],[Model Number]],3))</f>
        <v>EC5</v>
      </c>
    </row>
    <row r="194" spans="1:41" x14ac:dyDescent="0.25">
      <c r="A194" s="2" t="s">
        <v>451</v>
      </c>
      <c r="B194" s="1" t="b">
        <v>1</v>
      </c>
      <c r="C194" s="1" t="b">
        <v>1</v>
      </c>
      <c r="F194" s="1" t="b">
        <v>1</v>
      </c>
      <c r="G194" s="1" t="b">
        <f>IF(OR(LEFT(RIGHT(Master_Reference[[#This Row],[Model Number]],3),1)="C",LEFT(RIGHT(Master_Reference[[#This Row],[Model Number]],4),1)="C"),TRUE,"")</f>
        <v>1</v>
      </c>
      <c r="H194" s="1" t="str">
        <f>IF(LEFT(Master_Reference[[#This Row],[Model Number]],1)="U",TRUE,"")</f>
        <v/>
      </c>
      <c r="I194" s="1" t="b">
        <f>IF(Master_Reference[[#This Row],[Lamp Type]]="T4","",IF(Master_Reference[[#This Row],[Case Type]]="M","",TRUE))</f>
        <v>1</v>
      </c>
      <c r="J194" s="1" t="s">
        <v>297</v>
      </c>
      <c r="K194" s="1">
        <v>54</v>
      </c>
      <c r="L194" s="1" t="s">
        <v>118</v>
      </c>
      <c r="M194" s="1">
        <v>2</v>
      </c>
      <c r="N194" s="1" t="s">
        <v>149</v>
      </c>
      <c r="O194" s="1" t="s">
        <v>320</v>
      </c>
      <c r="R194" t="b">
        <f>IF(COUNTBLANK(Master_Reference[[#This Row],[C-Flex 3000K Eco Part Number]:[C-Flex 4000K Eco Part Number]])=3,FALSE,TRUE)</f>
        <v>1</v>
      </c>
      <c r="S194" t="b">
        <f>IF(COUNTBLANK(Master_Reference[[#This Row],[C-Flex 3000K 3W Part Number]:[C-Flex 4000K 3W Part Number]])=3,FALSE,TRUE)</f>
        <v>1</v>
      </c>
      <c r="T194" t="b">
        <f>IF(COUNTBLANK(Master_Reference[[#This Row],[Lutron 3000K Eco Part Number]:[Lutron 4000K Eco Part Number]])=3,FALSE,TRUE)</f>
        <v>1</v>
      </c>
      <c r="U194" t="b">
        <f>IF(COUNTBLANK(Master_Reference[[#This Row],[Lutron 3000K 3W Part Number]:[Lutron 4000K 3W Part Number]])=3,FALSE,TRUE)</f>
        <v>1</v>
      </c>
      <c r="V194" s="12" t="s">
        <v>305</v>
      </c>
      <c r="W194" s="12" t="s">
        <v>306</v>
      </c>
      <c r="X194" s="12" t="s">
        <v>307</v>
      </c>
      <c r="Y194" t="s">
        <v>1734</v>
      </c>
      <c r="Z194" s="12" t="s">
        <v>308</v>
      </c>
      <c r="AA194" s="12" t="s">
        <v>309</v>
      </c>
      <c r="AB194" s="12" t="s">
        <v>310</v>
      </c>
      <c r="AC194" t="s">
        <v>1822</v>
      </c>
      <c r="AD194" t="str">
        <f>SUBSTITUTE(Master_Reference[[#This Row],[C-Flex 4000K Eco Part Number]],"40-","xx-")</f>
        <v>RP-T5HO-4FT-2L-8xx-E1-M-G2</v>
      </c>
      <c r="AE194" t="str">
        <f>SUBSTITUTE(Master_Reference[[#This Row],[C-Flex 4000K 3W Part Number]],"40-","xx-")</f>
        <v>RP-T5HO-4FT-2L-8xx-3W-M-G2</v>
      </c>
      <c r="AF194" s="1" t="str">
        <f>_xlfn.IFNA(VLOOKUP(Master_Reference[[#This Row],[C-Flex 3000K Eco Part Number]],Lutron_CFlex_Lookup[],MATCH("Lutron Kit PN",Lutron_CFlex_Lookup[#Headers],0),FALSE),"")</f>
        <v>ELD4T5H-2M30-q</v>
      </c>
      <c r="AG194" s="1" t="str">
        <f>_xlfn.IFNA(VLOOKUP(Master_Reference[[#This Row],[C-Flex 3500K Eco Part Number]],Lutron_CFlex_Lookup[],MATCH("Lutron Kit PN",Lutron_CFlex_Lookup[#Headers],0),FALSE),"")</f>
        <v>ELD4T5H-2M35-q</v>
      </c>
      <c r="AH194" s="1" t="str">
        <f>_xlfn.IFNA(VLOOKUP(Master_Reference[[#This Row],[C-Flex 4000K Eco Part Number]],Lutron_CFlex_Lookup[],MATCH("Lutron Kit PN",Lutron_CFlex_Lookup[#Headers],0),FALSE),"")</f>
        <v>ELD4T5H-2M40-q</v>
      </c>
      <c r="AI194" s="1" t="str">
        <f>_xlfn.IFNA(VLOOKUP(Master_Reference[[#This Row],[C-Flex 5000K Eco Part Number]],Lutron_CFlex_Lookup[],MATCH("Lutron Kit PN",Lutron_CFlex_Lookup[#Headers],0),FALSE),"")</f>
        <v>ELD4T5H-2M50-q</v>
      </c>
      <c r="AJ194" s="1" t="str">
        <f>_xlfn.IFNA(VLOOKUP(Master_Reference[[#This Row],[C-Flex 3000K 3W Part Number]],Lutron_CFlex_Lookup[],MATCH("Lutron Kit PN",Lutron_CFlex_Lookup[#Headers],0),FALSE),"")</f>
        <v>3LD4T5H-2M30-q</v>
      </c>
      <c r="AK194" s="1" t="str">
        <f>_xlfn.IFNA(VLOOKUP(Master_Reference[[#This Row],[C-Flex 3500K 3W Part Number]],Lutron_CFlex_Lookup[],MATCH("Lutron Kit PN",Lutron_CFlex_Lookup[#Headers],0),FALSE),"")</f>
        <v>3LD4T5H-2M35-q</v>
      </c>
      <c r="AL194" s="1" t="str">
        <f>_xlfn.IFNA(VLOOKUP(Master_Reference[[#This Row],[C-Flex 4000K 3W Part Number]],Lutron_CFlex_Lookup[],MATCH("Lutron Kit PN",Lutron_CFlex_Lookup[#Headers],0),FALSE),"")</f>
        <v>3LD4T5H-2M40-q</v>
      </c>
      <c r="AM194" s="1" t="str">
        <f>_xlfn.IFNA(VLOOKUP(Master_Reference[[#This Row],[C-Flex 5000K 3W Part Number]],Lutron_CFlex_Lookup[],MATCH("Lutron Kit PN",Lutron_CFlex_Lookup[#Headers],0),FALSE),"")</f>
        <v>3LD4T5H-2M50-q</v>
      </c>
      <c r="AN194" s="1" t="b">
        <f>NOT(ISNA(VLOOKUP(Master_Reference[[#This Row],[Model Number]],ObsoleteModels[],1,FALSE)))</f>
        <v>1</v>
      </c>
      <c r="AO194" s="1" t="str">
        <f>IF(LEFT(Master_Reference[[#This Row],[Model Number]],1)="U",LEFT(Master_Reference[[#This Row],[Model Number]],4),LEFT(Master_Reference[[#This Row],[Model Number]],3))</f>
        <v>EC5</v>
      </c>
    </row>
    <row r="195" spans="1:41" x14ac:dyDescent="0.25">
      <c r="A195" s="2" t="s">
        <v>452</v>
      </c>
      <c r="B195" s="1" t="b">
        <v>1</v>
      </c>
      <c r="C195" s="1" t="b">
        <v>1</v>
      </c>
      <c r="F195" s="1" t="b">
        <v>1</v>
      </c>
      <c r="G195" s="1" t="b">
        <f>IF(OR(LEFT(RIGHT(Master_Reference[[#This Row],[Model Number]],3),1)="C",LEFT(RIGHT(Master_Reference[[#This Row],[Model Number]],4),1)="C"),TRUE,"")</f>
        <v>1</v>
      </c>
      <c r="H195" s="1" t="str">
        <f>IF(LEFT(Master_Reference[[#This Row],[Model Number]],1)="U",TRUE,"")</f>
        <v/>
      </c>
      <c r="I195" s="1" t="b">
        <f>IF(Master_Reference[[#This Row],[Lamp Type]]="T4","",IF(Master_Reference[[#This Row],[Case Type]]="M","",TRUE))</f>
        <v>1</v>
      </c>
      <c r="J195" s="1" t="s">
        <v>297</v>
      </c>
      <c r="K195" s="1">
        <v>54</v>
      </c>
      <c r="L195" s="1" t="s">
        <v>118</v>
      </c>
      <c r="M195" s="1">
        <v>2</v>
      </c>
      <c r="N195" s="1" t="s">
        <v>149</v>
      </c>
      <c r="O195" s="1" t="s">
        <v>320</v>
      </c>
      <c r="R195" t="b">
        <f>IF(COUNTBLANK(Master_Reference[[#This Row],[C-Flex 3000K Eco Part Number]:[C-Flex 4000K Eco Part Number]])=3,FALSE,TRUE)</f>
        <v>1</v>
      </c>
      <c r="S195" t="b">
        <f>IF(COUNTBLANK(Master_Reference[[#This Row],[C-Flex 3000K 3W Part Number]:[C-Flex 4000K 3W Part Number]])=3,FALSE,TRUE)</f>
        <v>1</v>
      </c>
      <c r="T195" t="b">
        <f>IF(COUNTBLANK(Master_Reference[[#This Row],[Lutron 3000K Eco Part Number]:[Lutron 4000K Eco Part Number]])=3,FALSE,TRUE)</f>
        <v>1</v>
      </c>
      <c r="U195" t="b">
        <f>IF(COUNTBLANK(Master_Reference[[#This Row],[Lutron 3000K 3W Part Number]:[Lutron 4000K 3W Part Number]])=3,FALSE,TRUE)</f>
        <v>1</v>
      </c>
      <c r="V195" s="12" t="s">
        <v>305</v>
      </c>
      <c r="W195" s="12" t="s">
        <v>306</v>
      </c>
      <c r="X195" s="12" t="s">
        <v>307</v>
      </c>
      <c r="Y195" t="s">
        <v>1734</v>
      </c>
      <c r="Z195" s="12" t="s">
        <v>308</v>
      </c>
      <c r="AA195" s="12" t="s">
        <v>309</v>
      </c>
      <c r="AB195" s="12" t="s">
        <v>310</v>
      </c>
      <c r="AC195" t="s">
        <v>1822</v>
      </c>
      <c r="AD195" t="str">
        <f>SUBSTITUTE(Master_Reference[[#This Row],[C-Flex 4000K Eco Part Number]],"40-","xx-")</f>
        <v>RP-T5HO-4FT-2L-8xx-E1-M-G2</v>
      </c>
      <c r="AE195" t="str">
        <f>SUBSTITUTE(Master_Reference[[#This Row],[C-Flex 4000K 3W Part Number]],"40-","xx-")</f>
        <v>RP-T5HO-4FT-2L-8xx-3W-M-G2</v>
      </c>
      <c r="AF195" s="1" t="str">
        <f>_xlfn.IFNA(VLOOKUP(Master_Reference[[#This Row],[C-Flex 3000K Eco Part Number]],Lutron_CFlex_Lookup[],MATCH("Lutron Kit PN",Lutron_CFlex_Lookup[#Headers],0),FALSE),"")</f>
        <v>ELD4T5H-2M30-q</v>
      </c>
      <c r="AG195" s="1" t="str">
        <f>_xlfn.IFNA(VLOOKUP(Master_Reference[[#This Row],[C-Flex 3500K Eco Part Number]],Lutron_CFlex_Lookup[],MATCH("Lutron Kit PN",Lutron_CFlex_Lookup[#Headers],0),FALSE),"")</f>
        <v>ELD4T5H-2M35-q</v>
      </c>
      <c r="AH195" s="1" t="str">
        <f>_xlfn.IFNA(VLOOKUP(Master_Reference[[#This Row],[C-Flex 4000K Eco Part Number]],Lutron_CFlex_Lookup[],MATCH("Lutron Kit PN",Lutron_CFlex_Lookup[#Headers],0),FALSE),"")</f>
        <v>ELD4T5H-2M40-q</v>
      </c>
      <c r="AI195" s="1" t="str">
        <f>_xlfn.IFNA(VLOOKUP(Master_Reference[[#This Row],[C-Flex 5000K Eco Part Number]],Lutron_CFlex_Lookup[],MATCH("Lutron Kit PN",Lutron_CFlex_Lookup[#Headers],0),FALSE),"")</f>
        <v>ELD4T5H-2M50-q</v>
      </c>
      <c r="AJ195" s="1" t="str">
        <f>_xlfn.IFNA(VLOOKUP(Master_Reference[[#This Row],[C-Flex 3000K 3W Part Number]],Lutron_CFlex_Lookup[],MATCH("Lutron Kit PN",Lutron_CFlex_Lookup[#Headers],0),FALSE),"")</f>
        <v>3LD4T5H-2M30-q</v>
      </c>
      <c r="AK195" s="1" t="str">
        <f>_xlfn.IFNA(VLOOKUP(Master_Reference[[#This Row],[C-Flex 3500K 3W Part Number]],Lutron_CFlex_Lookup[],MATCH("Lutron Kit PN",Lutron_CFlex_Lookup[#Headers],0),FALSE),"")</f>
        <v>3LD4T5H-2M35-q</v>
      </c>
      <c r="AL195" s="1" t="str">
        <f>_xlfn.IFNA(VLOOKUP(Master_Reference[[#This Row],[C-Flex 4000K 3W Part Number]],Lutron_CFlex_Lookup[],MATCH("Lutron Kit PN",Lutron_CFlex_Lookup[#Headers],0),FALSE),"")</f>
        <v>3LD4T5H-2M40-q</v>
      </c>
      <c r="AM195" s="1" t="str">
        <f>_xlfn.IFNA(VLOOKUP(Master_Reference[[#This Row],[C-Flex 5000K 3W Part Number]],Lutron_CFlex_Lookup[],MATCH("Lutron Kit PN",Lutron_CFlex_Lookup[#Headers],0),FALSE),"")</f>
        <v>3LD4T5H-2M50-q</v>
      </c>
      <c r="AN195" s="1" t="b">
        <f>NOT(ISNA(VLOOKUP(Master_Reference[[#This Row],[Model Number]],ObsoleteModels[],1,FALSE)))</f>
        <v>1</v>
      </c>
      <c r="AO195" s="1" t="str">
        <f>IF(LEFT(Master_Reference[[#This Row],[Model Number]],1)="U",LEFT(Master_Reference[[#This Row],[Model Number]],4),LEFT(Master_Reference[[#This Row],[Model Number]],3))</f>
        <v>EC5</v>
      </c>
    </row>
    <row r="196" spans="1:41" x14ac:dyDescent="0.25">
      <c r="A196" s="2" t="s">
        <v>453</v>
      </c>
      <c r="B196" s="1" t="b">
        <v>1</v>
      </c>
      <c r="C196" s="1" t="b">
        <v>1</v>
      </c>
      <c r="F196" s="1" t="b">
        <v>1</v>
      </c>
      <c r="G196" s="1" t="b">
        <f>IF(OR(LEFT(RIGHT(Master_Reference[[#This Row],[Model Number]],3),1)="C",LEFT(RIGHT(Master_Reference[[#This Row],[Model Number]],4),1)="C"),TRUE,"")</f>
        <v>1</v>
      </c>
      <c r="H196" s="1" t="str">
        <f>IF(LEFT(Master_Reference[[#This Row],[Model Number]],1)="U",TRUE,"")</f>
        <v/>
      </c>
      <c r="I196" s="1" t="b">
        <f>IF(Master_Reference[[#This Row],[Lamp Type]]="T4","",IF(Master_Reference[[#This Row],[Case Type]]="M","",TRUE))</f>
        <v>1</v>
      </c>
      <c r="J196" s="1" t="s">
        <v>297</v>
      </c>
      <c r="K196" s="1">
        <v>54</v>
      </c>
      <c r="L196" s="1" t="s">
        <v>118</v>
      </c>
      <c r="M196" s="1">
        <v>2</v>
      </c>
      <c r="N196" s="1" t="s">
        <v>149</v>
      </c>
      <c r="O196" s="1" t="s">
        <v>320</v>
      </c>
      <c r="R196" t="b">
        <f>IF(COUNTBLANK(Master_Reference[[#This Row],[C-Flex 3000K Eco Part Number]:[C-Flex 4000K Eco Part Number]])=3,FALSE,TRUE)</f>
        <v>1</v>
      </c>
      <c r="S196" t="b">
        <f>IF(COUNTBLANK(Master_Reference[[#This Row],[C-Flex 3000K 3W Part Number]:[C-Flex 4000K 3W Part Number]])=3,FALSE,TRUE)</f>
        <v>1</v>
      </c>
      <c r="T196" t="b">
        <f>IF(COUNTBLANK(Master_Reference[[#This Row],[Lutron 3000K Eco Part Number]:[Lutron 4000K Eco Part Number]])=3,FALSE,TRUE)</f>
        <v>1</v>
      </c>
      <c r="U196" t="b">
        <f>IF(COUNTBLANK(Master_Reference[[#This Row],[Lutron 3000K 3W Part Number]:[Lutron 4000K 3W Part Number]])=3,FALSE,TRUE)</f>
        <v>1</v>
      </c>
      <c r="V196" s="12" t="s">
        <v>305</v>
      </c>
      <c r="W196" s="12" t="s">
        <v>306</v>
      </c>
      <c r="X196" s="12" t="s">
        <v>307</v>
      </c>
      <c r="Y196" t="s">
        <v>1734</v>
      </c>
      <c r="Z196" s="12" t="s">
        <v>308</v>
      </c>
      <c r="AA196" s="12" t="s">
        <v>309</v>
      </c>
      <c r="AB196" s="12" t="s">
        <v>310</v>
      </c>
      <c r="AC196" t="s">
        <v>1822</v>
      </c>
      <c r="AD196" t="str">
        <f>SUBSTITUTE(Master_Reference[[#This Row],[C-Flex 4000K Eco Part Number]],"40-","xx-")</f>
        <v>RP-T5HO-4FT-2L-8xx-E1-M-G2</v>
      </c>
      <c r="AE196" t="str">
        <f>SUBSTITUTE(Master_Reference[[#This Row],[C-Flex 4000K 3W Part Number]],"40-","xx-")</f>
        <v>RP-T5HO-4FT-2L-8xx-3W-M-G2</v>
      </c>
      <c r="AF196" s="1" t="str">
        <f>_xlfn.IFNA(VLOOKUP(Master_Reference[[#This Row],[C-Flex 3000K Eco Part Number]],Lutron_CFlex_Lookup[],MATCH("Lutron Kit PN",Lutron_CFlex_Lookup[#Headers],0),FALSE),"")</f>
        <v>ELD4T5H-2M30-q</v>
      </c>
      <c r="AG196" s="1" t="str">
        <f>_xlfn.IFNA(VLOOKUP(Master_Reference[[#This Row],[C-Flex 3500K Eco Part Number]],Lutron_CFlex_Lookup[],MATCH("Lutron Kit PN",Lutron_CFlex_Lookup[#Headers],0),FALSE),"")</f>
        <v>ELD4T5H-2M35-q</v>
      </c>
      <c r="AH196" s="1" t="str">
        <f>_xlfn.IFNA(VLOOKUP(Master_Reference[[#This Row],[C-Flex 4000K Eco Part Number]],Lutron_CFlex_Lookup[],MATCH("Lutron Kit PN",Lutron_CFlex_Lookup[#Headers],0),FALSE),"")</f>
        <v>ELD4T5H-2M40-q</v>
      </c>
      <c r="AI196" s="1" t="str">
        <f>_xlfn.IFNA(VLOOKUP(Master_Reference[[#This Row],[C-Flex 5000K Eco Part Number]],Lutron_CFlex_Lookup[],MATCH("Lutron Kit PN",Lutron_CFlex_Lookup[#Headers],0),FALSE),"")</f>
        <v>ELD4T5H-2M50-q</v>
      </c>
      <c r="AJ196" s="1" t="str">
        <f>_xlfn.IFNA(VLOOKUP(Master_Reference[[#This Row],[C-Flex 3000K 3W Part Number]],Lutron_CFlex_Lookup[],MATCH("Lutron Kit PN",Lutron_CFlex_Lookup[#Headers],0),FALSE),"")</f>
        <v>3LD4T5H-2M30-q</v>
      </c>
      <c r="AK196" s="1" t="str">
        <f>_xlfn.IFNA(VLOOKUP(Master_Reference[[#This Row],[C-Flex 3500K 3W Part Number]],Lutron_CFlex_Lookup[],MATCH("Lutron Kit PN",Lutron_CFlex_Lookup[#Headers],0),FALSE),"")</f>
        <v>3LD4T5H-2M35-q</v>
      </c>
      <c r="AL196" s="1" t="str">
        <f>_xlfn.IFNA(VLOOKUP(Master_Reference[[#This Row],[C-Flex 4000K 3W Part Number]],Lutron_CFlex_Lookup[],MATCH("Lutron Kit PN",Lutron_CFlex_Lookup[#Headers],0),FALSE),"")</f>
        <v>3LD4T5H-2M40-q</v>
      </c>
      <c r="AM196" s="1" t="str">
        <f>_xlfn.IFNA(VLOOKUP(Master_Reference[[#This Row],[C-Flex 5000K 3W Part Number]],Lutron_CFlex_Lookup[],MATCH("Lutron Kit PN",Lutron_CFlex_Lookup[#Headers],0),FALSE),"")</f>
        <v>3LD4T5H-2M50-q</v>
      </c>
      <c r="AN196" s="1" t="b">
        <f>NOT(ISNA(VLOOKUP(Master_Reference[[#This Row],[Model Number]],ObsoleteModels[],1,FALSE)))</f>
        <v>1</v>
      </c>
      <c r="AO196" s="1" t="str">
        <f>IF(LEFT(Master_Reference[[#This Row],[Model Number]],1)="U",LEFT(Master_Reference[[#This Row],[Model Number]],4),LEFT(Master_Reference[[#This Row],[Model Number]],3))</f>
        <v>EC5</v>
      </c>
    </row>
    <row r="197" spans="1:41" x14ac:dyDescent="0.25">
      <c r="A197" s="2" t="s">
        <v>454</v>
      </c>
      <c r="B197" s="1" t="b">
        <v>1</v>
      </c>
      <c r="C197" s="1" t="b">
        <v>1</v>
      </c>
      <c r="F197" s="1" t="b">
        <v>1</v>
      </c>
      <c r="G197" s="1" t="str">
        <f>IF(OR(LEFT(RIGHT(Master_Reference[[#This Row],[Model Number]],3),1)="C",LEFT(RIGHT(Master_Reference[[#This Row],[Model Number]],4),1)="C"),TRUE,"")</f>
        <v/>
      </c>
      <c r="H197" s="1" t="str">
        <f>IF(LEFT(Master_Reference[[#This Row],[Model Number]],1)="U",TRUE,"")</f>
        <v/>
      </c>
      <c r="I197" s="1" t="b">
        <f>IF(Master_Reference[[#This Row],[Lamp Type]]="T4","",IF(Master_Reference[[#This Row],[Case Type]]="M","",TRUE))</f>
        <v>1</v>
      </c>
      <c r="J197" s="1" t="s">
        <v>297</v>
      </c>
      <c r="K197" s="1">
        <v>54</v>
      </c>
      <c r="L197" s="1" t="s">
        <v>118</v>
      </c>
      <c r="M197" s="1">
        <v>2</v>
      </c>
      <c r="N197" s="1" t="s">
        <v>149</v>
      </c>
      <c r="O197" s="1" t="s">
        <v>320</v>
      </c>
      <c r="Q197" s="1" t="s">
        <v>91</v>
      </c>
      <c r="R197" t="b">
        <f>IF(COUNTBLANK(Master_Reference[[#This Row],[C-Flex 3000K Eco Part Number]:[C-Flex 4000K Eco Part Number]])=3,FALSE,TRUE)</f>
        <v>0</v>
      </c>
      <c r="S197" t="b">
        <f>IF(COUNTBLANK(Master_Reference[[#This Row],[C-Flex 3000K 3W Part Number]:[C-Flex 4000K 3W Part Number]])=3,FALSE,TRUE)</f>
        <v>0</v>
      </c>
      <c r="T197" t="b">
        <f>IF(COUNTBLANK(Master_Reference[[#This Row],[Lutron 3000K Eco Part Number]:[Lutron 4000K Eco Part Number]])=3,FALSE,TRUE)</f>
        <v>0</v>
      </c>
      <c r="U197" t="b">
        <f>IF(COUNTBLANK(Master_Reference[[#This Row],[Lutron 3000K 3W Part Number]:[Lutron 4000K 3W Part Number]])=3,FALSE,TRUE)</f>
        <v>0</v>
      </c>
      <c r="V197" s="12"/>
      <c r="W197" s="12"/>
      <c r="X197" s="12"/>
      <c r="Y197" t="s">
        <v>2125</v>
      </c>
      <c r="Z197" s="12"/>
      <c r="AA197" s="12"/>
      <c r="AB197" s="12"/>
      <c r="AC197" t="s">
        <v>2125</v>
      </c>
      <c r="AD197" t="str">
        <f>SUBSTITUTE(Master_Reference[[#This Row],[C-Flex 4000K Eco Part Number]],"40-","xx-")</f>
        <v/>
      </c>
      <c r="AE197" t="str">
        <f>SUBSTITUTE(Master_Reference[[#This Row],[C-Flex 4000K 3W Part Number]],"40-","xx-")</f>
        <v/>
      </c>
      <c r="AF197" s="1" t="str">
        <f>_xlfn.IFNA(VLOOKUP(Master_Reference[[#This Row],[C-Flex 3000K Eco Part Number]],Lutron_CFlex_Lookup[],MATCH("Lutron Kit PN",Lutron_CFlex_Lookup[#Headers],0),FALSE),"")</f>
        <v/>
      </c>
      <c r="AG197" s="1" t="str">
        <f>_xlfn.IFNA(VLOOKUP(Master_Reference[[#This Row],[C-Flex 3500K Eco Part Number]],Lutron_CFlex_Lookup[],MATCH("Lutron Kit PN",Lutron_CFlex_Lookup[#Headers],0),FALSE),"")</f>
        <v/>
      </c>
      <c r="AH197" s="1" t="str">
        <f>_xlfn.IFNA(VLOOKUP(Master_Reference[[#This Row],[C-Flex 4000K Eco Part Number]],Lutron_CFlex_Lookup[],MATCH("Lutron Kit PN",Lutron_CFlex_Lookup[#Headers],0),FALSE),"")</f>
        <v/>
      </c>
      <c r="AI197" s="1" t="str">
        <f>_xlfn.IFNA(VLOOKUP(Master_Reference[[#This Row],[C-Flex 5000K Eco Part Number]],Lutron_CFlex_Lookup[],MATCH("Lutron Kit PN",Lutron_CFlex_Lookup[#Headers],0),FALSE),"")</f>
        <v/>
      </c>
      <c r="AJ197" s="1" t="str">
        <f>_xlfn.IFNA(VLOOKUP(Master_Reference[[#This Row],[C-Flex 3000K 3W Part Number]],Lutron_CFlex_Lookup[],MATCH("Lutron Kit PN",Lutron_CFlex_Lookup[#Headers],0),FALSE),"")</f>
        <v/>
      </c>
      <c r="AK197" s="1" t="str">
        <f>_xlfn.IFNA(VLOOKUP(Master_Reference[[#This Row],[C-Flex 3500K 3W Part Number]],Lutron_CFlex_Lookup[],MATCH("Lutron Kit PN",Lutron_CFlex_Lookup[#Headers],0),FALSE),"")</f>
        <v/>
      </c>
      <c r="AL197" s="1" t="str">
        <f>_xlfn.IFNA(VLOOKUP(Master_Reference[[#This Row],[C-Flex 4000K 3W Part Number]],Lutron_CFlex_Lookup[],MATCH("Lutron Kit PN",Lutron_CFlex_Lookup[#Headers],0),FALSE),"")</f>
        <v/>
      </c>
      <c r="AM197" s="1" t="str">
        <f>_xlfn.IFNA(VLOOKUP(Master_Reference[[#This Row],[C-Flex 5000K 3W Part Number]],Lutron_CFlex_Lookup[],MATCH("Lutron Kit PN",Lutron_CFlex_Lookup[#Headers],0),FALSE),"")</f>
        <v/>
      </c>
      <c r="AN197" s="1" t="b">
        <f>NOT(ISNA(VLOOKUP(Master_Reference[[#This Row],[Model Number]],ObsoleteModels[],1,FALSE)))</f>
        <v>0</v>
      </c>
      <c r="AO197" s="1" t="str">
        <f>IF(LEFT(Master_Reference[[#This Row],[Model Number]],1)="U",LEFT(Master_Reference[[#This Row],[Model Number]],4),LEFT(Master_Reference[[#This Row],[Model Number]],3))</f>
        <v>EC5</v>
      </c>
    </row>
    <row r="198" spans="1:41" x14ac:dyDescent="0.25">
      <c r="A198" s="2" t="s">
        <v>455</v>
      </c>
      <c r="B198" s="1" t="b">
        <v>1</v>
      </c>
      <c r="C198" s="1" t="b">
        <v>1</v>
      </c>
      <c r="F198" s="1" t="b">
        <v>1</v>
      </c>
      <c r="G198" s="1" t="str">
        <f>IF(OR(LEFT(RIGHT(Master_Reference[[#This Row],[Model Number]],3),1)="C",LEFT(RIGHT(Master_Reference[[#This Row],[Model Number]],4),1)="C"),TRUE,"")</f>
        <v/>
      </c>
      <c r="H198" s="1" t="str">
        <f>IF(LEFT(Master_Reference[[#This Row],[Model Number]],1)="U",TRUE,"")</f>
        <v/>
      </c>
      <c r="I198" s="1" t="b">
        <f>IF(Master_Reference[[#This Row],[Lamp Type]]="T4","",IF(Master_Reference[[#This Row],[Case Type]]="M","",TRUE))</f>
        <v>1</v>
      </c>
      <c r="J198" s="1" t="s">
        <v>215</v>
      </c>
      <c r="K198" s="1">
        <v>55</v>
      </c>
      <c r="L198" s="1" t="s">
        <v>225</v>
      </c>
      <c r="M198" s="1">
        <v>2</v>
      </c>
      <c r="N198" s="1">
        <v>220</v>
      </c>
      <c r="O198" s="1" t="s">
        <v>320</v>
      </c>
      <c r="Q198" s="1" t="s">
        <v>456</v>
      </c>
      <c r="R198" t="b">
        <f>IF(COUNTBLANK(Master_Reference[[#This Row],[C-Flex 3000K Eco Part Number]:[C-Flex 4000K Eco Part Number]])=3,FALSE,TRUE)</f>
        <v>0</v>
      </c>
      <c r="S198" t="b">
        <f>IF(COUNTBLANK(Master_Reference[[#This Row],[C-Flex 3000K 3W Part Number]:[C-Flex 4000K 3W Part Number]])=3,FALSE,TRUE)</f>
        <v>0</v>
      </c>
      <c r="T198" t="b">
        <f>IF(COUNTBLANK(Master_Reference[[#This Row],[Lutron 3000K Eco Part Number]:[Lutron 4000K Eco Part Number]])=3,FALSE,TRUE)</f>
        <v>0</v>
      </c>
      <c r="U198" t="b">
        <f>IF(COUNTBLANK(Master_Reference[[#This Row],[Lutron 3000K 3W Part Number]:[Lutron 4000K 3W Part Number]])=3,FALSE,TRUE)</f>
        <v>0</v>
      </c>
      <c r="V198" s="12"/>
      <c r="W198" s="12"/>
      <c r="X198" s="12"/>
      <c r="Y198" t="s">
        <v>2125</v>
      </c>
      <c r="Z198" s="12"/>
      <c r="AA198" s="12"/>
      <c r="AB198" s="12"/>
      <c r="AC198" t="s">
        <v>2125</v>
      </c>
      <c r="AD198" t="str">
        <f>SUBSTITUTE(Master_Reference[[#This Row],[C-Flex 4000K Eco Part Number]],"40-","xx-")</f>
        <v/>
      </c>
      <c r="AE198" t="str">
        <f>SUBSTITUTE(Master_Reference[[#This Row],[C-Flex 4000K 3W Part Number]],"40-","xx-")</f>
        <v/>
      </c>
      <c r="AF198" s="1" t="str">
        <f>_xlfn.IFNA(VLOOKUP(Master_Reference[[#This Row],[C-Flex 3000K Eco Part Number]],Lutron_CFlex_Lookup[],MATCH("Lutron Kit PN",Lutron_CFlex_Lookup[#Headers],0),FALSE),"")</f>
        <v/>
      </c>
      <c r="AG198" s="1" t="str">
        <f>_xlfn.IFNA(VLOOKUP(Master_Reference[[#This Row],[C-Flex 3500K Eco Part Number]],Lutron_CFlex_Lookup[],MATCH("Lutron Kit PN",Lutron_CFlex_Lookup[#Headers],0),FALSE),"")</f>
        <v/>
      </c>
      <c r="AH198" s="1" t="str">
        <f>_xlfn.IFNA(VLOOKUP(Master_Reference[[#This Row],[C-Flex 4000K Eco Part Number]],Lutron_CFlex_Lookup[],MATCH("Lutron Kit PN",Lutron_CFlex_Lookup[#Headers],0),FALSE),"")</f>
        <v/>
      </c>
      <c r="AI198" s="1" t="str">
        <f>_xlfn.IFNA(VLOOKUP(Master_Reference[[#This Row],[C-Flex 5000K Eco Part Number]],Lutron_CFlex_Lookup[],MATCH("Lutron Kit PN",Lutron_CFlex_Lookup[#Headers],0),FALSE),"")</f>
        <v/>
      </c>
      <c r="AJ198" s="1" t="str">
        <f>_xlfn.IFNA(VLOOKUP(Master_Reference[[#This Row],[C-Flex 3000K 3W Part Number]],Lutron_CFlex_Lookup[],MATCH("Lutron Kit PN",Lutron_CFlex_Lookup[#Headers],0),FALSE),"")</f>
        <v/>
      </c>
      <c r="AK198" s="1" t="str">
        <f>_xlfn.IFNA(VLOOKUP(Master_Reference[[#This Row],[C-Flex 3500K 3W Part Number]],Lutron_CFlex_Lookup[],MATCH("Lutron Kit PN",Lutron_CFlex_Lookup[#Headers],0),FALSE),"")</f>
        <v/>
      </c>
      <c r="AL198" s="1" t="str">
        <f>_xlfn.IFNA(VLOOKUP(Master_Reference[[#This Row],[C-Flex 4000K 3W Part Number]],Lutron_CFlex_Lookup[],MATCH("Lutron Kit PN",Lutron_CFlex_Lookup[#Headers],0),FALSE),"")</f>
        <v/>
      </c>
      <c r="AM198" s="1" t="str">
        <f>_xlfn.IFNA(VLOOKUP(Master_Reference[[#This Row],[C-Flex 5000K 3W Part Number]],Lutron_CFlex_Lookup[],MATCH("Lutron Kit PN",Lutron_CFlex_Lookup[#Headers],0),FALSE),"")</f>
        <v/>
      </c>
      <c r="AN198" s="1" t="b">
        <f>NOT(ISNA(VLOOKUP(Master_Reference[[#This Row],[Model Number]],ObsoleteModels[],1,FALSE)))</f>
        <v>1</v>
      </c>
      <c r="AO198" s="1" t="str">
        <f>IF(LEFT(Master_Reference[[#This Row],[Model Number]],1)="U",LEFT(Master_Reference[[#This Row],[Model Number]],4),LEFT(Master_Reference[[#This Row],[Model Number]],3))</f>
        <v>EC5</v>
      </c>
    </row>
    <row r="199" spans="1:41" x14ac:dyDescent="0.25">
      <c r="A199" s="2" t="s">
        <v>457</v>
      </c>
      <c r="B199" s="1" t="b">
        <v>1</v>
      </c>
      <c r="C199" s="1" t="b">
        <v>1</v>
      </c>
      <c r="F199" s="1" t="b">
        <v>1</v>
      </c>
      <c r="G199" s="1" t="str">
        <f>IF(OR(LEFT(RIGHT(Master_Reference[[#This Row],[Model Number]],3),1)="C",LEFT(RIGHT(Master_Reference[[#This Row],[Model Number]],4),1)="C"),TRUE,"")</f>
        <v/>
      </c>
      <c r="H199" s="1" t="str">
        <f>IF(LEFT(Master_Reference[[#This Row],[Model Number]],1)="U",TRUE,"")</f>
        <v/>
      </c>
      <c r="I199" s="1" t="b">
        <f>IF(Master_Reference[[#This Row],[Lamp Type]]="T4","",IF(Master_Reference[[#This Row],[Case Type]]="M","",TRUE))</f>
        <v>1</v>
      </c>
      <c r="J199" s="1" t="s">
        <v>215</v>
      </c>
      <c r="K199" s="1">
        <v>55</v>
      </c>
      <c r="L199" s="1" t="s">
        <v>225</v>
      </c>
      <c r="M199" s="1">
        <v>1</v>
      </c>
      <c r="N199" s="1" t="s">
        <v>149</v>
      </c>
      <c r="O199" s="1" t="s">
        <v>320</v>
      </c>
      <c r="R199" t="b">
        <f>IF(COUNTBLANK(Master_Reference[[#This Row],[C-Flex 3000K Eco Part Number]:[C-Flex 4000K Eco Part Number]])=3,FALSE,TRUE)</f>
        <v>1</v>
      </c>
      <c r="S199" t="b">
        <f>IF(COUNTBLANK(Master_Reference[[#This Row],[C-Flex 3000K 3W Part Number]:[C-Flex 4000K 3W Part Number]])=3,FALSE,TRUE)</f>
        <v>1</v>
      </c>
      <c r="T199" t="b">
        <f>IF(COUNTBLANK(Master_Reference[[#This Row],[Lutron 3000K Eco Part Number]:[Lutron 4000K Eco Part Number]])=3,FALSE,TRUE)</f>
        <v>1</v>
      </c>
      <c r="U199" t="b">
        <f>IF(COUNTBLANK(Master_Reference[[#This Row],[Lutron 3000K 3W Part Number]:[Lutron 4000K 3W Part Number]])=3,FALSE,TRUE)</f>
        <v>1</v>
      </c>
      <c r="V199" s="12" t="s">
        <v>226</v>
      </c>
      <c r="W199" s="12" t="s">
        <v>227</v>
      </c>
      <c r="X199" s="12" t="s">
        <v>228</v>
      </c>
      <c r="Y199" t="s">
        <v>1712</v>
      </c>
      <c r="Z199" s="12" t="s">
        <v>229</v>
      </c>
      <c r="AA199" s="12" t="s">
        <v>230</v>
      </c>
      <c r="AB199" s="12" t="s">
        <v>231</v>
      </c>
      <c r="AC199" t="s">
        <v>1801</v>
      </c>
      <c r="AD199" t="str">
        <f>SUBSTITUTE(Master_Reference[[#This Row],[C-Flex 4000K Eco Part Number]],"40-","xx-")</f>
        <v>RP-PLL-2.5K-1L-8xx-E1-M-G2</v>
      </c>
      <c r="AE199" t="str">
        <f>SUBSTITUTE(Master_Reference[[#This Row],[C-Flex 4000K 3W Part Number]],"40-","xx-")</f>
        <v>RP-PLL-2.5K-1L-8xx-3W-M-G2</v>
      </c>
      <c r="AF199" s="1" t="str">
        <f>_xlfn.IFNA(VLOOKUP(Master_Reference[[#This Row],[C-Flex 3000K Eco Part Number]],Lutron_CFlex_Lookup[],MATCH("Lutron Kit PN",Lutron_CFlex_Lookup[#Headers],0),FALSE),"")</f>
        <v>ELD-TT-1M30-q</v>
      </c>
      <c r="AG199" s="1" t="str">
        <f>_xlfn.IFNA(VLOOKUP(Master_Reference[[#This Row],[C-Flex 3500K Eco Part Number]],Lutron_CFlex_Lookup[],MATCH("Lutron Kit PN",Lutron_CFlex_Lookup[#Headers],0),FALSE),"")</f>
        <v>ELD-TT-1M35-q</v>
      </c>
      <c r="AH199" s="1" t="str">
        <f>_xlfn.IFNA(VLOOKUP(Master_Reference[[#This Row],[C-Flex 4000K Eco Part Number]],Lutron_CFlex_Lookup[],MATCH("Lutron Kit PN",Lutron_CFlex_Lookup[#Headers],0),FALSE),"")</f>
        <v>ELD-TT-1M40-q</v>
      </c>
      <c r="AI199" s="1" t="str">
        <f>_xlfn.IFNA(VLOOKUP(Master_Reference[[#This Row],[C-Flex 5000K Eco Part Number]],Lutron_CFlex_Lookup[],MATCH("Lutron Kit PN",Lutron_CFlex_Lookup[#Headers],0),FALSE),"")</f>
        <v>ELD-TT-1M50-q</v>
      </c>
      <c r="AJ199" s="1" t="str">
        <f>_xlfn.IFNA(VLOOKUP(Master_Reference[[#This Row],[C-Flex 3000K 3W Part Number]],Lutron_CFlex_Lookup[],MATCH("Lutron Kit PN",Lutron_CFlex_Lookup[#Headers],0),FALSE),"")</f>
        <v>3LD-TT-1M30-q</v>
      </c>
      <c r="AK199" s="1" t="str">
        <f>_xlfn.IFNA(VLOOKUP(Master_Reference[[#This Row],[C-Flex 3500K 3W Part Number]],Lutron_CFlex_Lookup[],MATCH("Lutron Kit PN",Lutron_CFlex_Lookup[#Headers],0),FALSE),"")</f>
        <v>3LD-TT-1M35-q</v>
      </c>
      <c r="AL199" s="1" t="str">
        <f>_xlfn.IFNA(VLOOKUP(Master_Reference[[#This Row],[C-Flex 4000K 3W Part Number]],Lutron_CFlex_Lookup[],MATCH("Lutron Kit PN",Lutron_CFlex_Lookup[#Headers],0),FALSE),"")</f>
        <v>3LD-TT-1M40-q</v>
      </c>
      <c r="AM199" s="1" t="str">
        <f>_xlfn.IFNA(VLOOKUP(Master_Reference[[#This Row],[C-Flex 5000K 3W Part Number]],Lutron_CFlex_Lookup[],MATCH("Lutron Kit PN",Lutron_CFlex_Lookup[#Headers],0),FALSE),"")</f>
        <v>3LD-TT-1M50-q</v>
      </c>
      <c r="AN199" s="1" t="b">
        <f>NOT(ISNA(VLOOKUP(Master_Reference[[#This Row],[Model Number]],ObsoleteModels[],1,FALSE)))</f>
        <v>0</v>
      </c>
      <c r="AO199" s="1" t="str">
        <f>IF(LEFT(Master_Reference[[#This Row],[Model Number]],1)="U",LEFT(Master_Reference[[#This Row],[Model Number]],4),LEFT(Master_Reference[[#This Row],[Model Number]],3))</f>
        <v>EC5</v>
      </c>
    </row>
    <row r="200" spans="1:41" x14ac:dyDescent="0.25">
      <c r="A200" s="2" t="s">
        <v>458</v>
      </c>
      <c r="B200" s="1" t="b">
        <v>1</v>
      </c>
      <c r="C200" s="1" t="b">
        <v>1</v>
      </c>
      <c r="F200" s="1" t="b">
        <v>1</v>
      </c>
      <c r="G200" s="1" t="str">
        <f>IF(OR(LEFT(RIGHT(Master_Reference[[#This Row],[Model Number]],3),1)="C",LEFT(RIGHT(Master_Reference[[#This Row],[Model Number]],4),1)="C"),TRUE,"")</f>
        <v/>
      </c>
      <c r="H200" s="1" t="str">
        <f>IF(LEFT(Master_Reference[[#This Row],[Model Number]],1)="U",TRUE,"")</f>
        <v/>
      </c>
      <c r="I200" s="1" t="b">
        <f>IF(Master_Reference[[#This Row],[Lamp Type]]="T4","",IF(Master_Reference[[#This Row],[Case Type]]="M","",TRUE))</f>
        <v>1</v>
      </c>
      <c r="J200" s="1" t="s">
        <v>215</v>
      </c>
      <c r="K200" s="1">
        <v>55</v>
      </c>
      <c r="L200" s="1" t="s">
        <v>225</v>
      </c>
      <c r="M200" s="1">
        <v>1</v>
      </c>
      <c r="N200" s="1" t="s">
        <v>149</v>
      </c>
      <c r="O200" s="1" t="s">
        <v>320</v>
      </c>
      <c r="Q200" s="1" t="s">
        <v>91</v>
      </c>
      <c r="R200" t="b">
        <f>IF(COUNTBLANK(Master_Reference[[#This Row],[C-Flex 3000K Eco Part Number]:[C-Flex 4000K Eco Part Number]])=3,FALSE,TRUE)</f>
        <v>0</v>
      </c>
      <c r="S200" t="b">
        <f>IF(COUNTBLANK(Master_Reference[[#This Row],[C-Flex 3000K 3W Part Number]:[C-Flex 4000K 3W Part Number]])=3,FALSE,TRUE)</f>
        <v>0</v>
      </c>
      <c r="T200" t="b">
        <f>IF(COUNTBLANK(Master_Reference[[#This Row],[Lutron 3000K Eco Part Number]:[Lutron 4000K Eco Part Number]])=3,FALSE,TRUE)</f>
        <v>0</v>
      </c>
      <c r="U200" t="b">
        <f>IF(COUNTBLANK(Master_Reference[[#This Row],[Lutron 3000K 3W Part Number]:[Lutron 4000K 3W Part Number]])=3,FALSE,TRUE)</f>
        <v>0</v>
      </c>
      <c r="V200" s="12"/>
      <c r="W200" s="12"/>
      <c r="X200" s="12"/>
      <c r="Y200" t="s">
        <v>2125</v>
      </c>
      <c r="Z200" s="12"/>
      <c r="AA200" s="12"/>
      <c r="AB200" s="12"/>
      <c r="AC200" t="s">
        <v>2125</v>
      </c>
      <c r="AD200" t="str">
        <f>SUBSTITUTE(Master_Reference[[#This Row],[C-Flex 4000K Eco Part Number]],"40-","xx-")</f>
        <v/>
      </c>
      <c r="AE200" t="str">
        <f>SUBSTITUTE(Master_Reference[[#This Row],[C-Flex 4000K 3W Part Number]],"40-","xx-")</f>
        <v/>
      </c>
      <c r="AF200" s="1" t="str">
        <f>_xlfn.IFNA(VLOOKUP(Master_Reference[[#This Row],[C-Flex 3000K Eco Part Number]],Lutron_CFlex_Lookup[],MATCH("Lutron Kit PN",Lutron_CFlex_Lookup[#Headers],0),FALSE),"")</f>
        <v/>
      </c>
      <c r="AG200" s="1" t="str">
        <f>_xlfn.IFNA(VLOOKUP(Master_Reference[[#This Row],[C-Flex 3500K Eco Part Number]],Lutron_CFlex_Lookup[],MATCH("Lutron Kit PN",Lutron_CFlex_Lookup[#Headers],0),FALSE),"")</f>
        <v/>
      </c>
      <c r="AH200" s="1" t="str">
        <f>_xlfn.IFNA(VLOOKUP(Master_Reference[[#This Row],[C-Flex 4000K Eco Part Number]],Lutron_CFlex_Lookup[],MATCH("Lutron Kit PN",Lutron_CFlex_Lookup[#Headers],0),FALSE),"")</f>
        <v/>
      </c>
      <c r="AI200" s="1" t="str">
        <f>_xlfn.IFNA(VLOOKUP(Master_Reference[[#This Row],[C-Flex 5000K Eco Part Number]],Lutron_CFlex_Lookup[],MATCH("Lutron Kit PN",Lutron_CFlex_Lookup[#Headers],0),FALSE),"")</f>
        <v/>
      </c>
      <c r="AJ200" s="1" t="str">
        <f>_xlfn.IFNA(VLOOKUP(Master_Reference[[#This Row],[C-Flex 3000K 3W Part Number]],Lutron_CFlex_Lookup[],MATCH("Lutron Kit PN",Lutron_CFlex_Lookup[#Headers],0),FALSE),"")</f>
        <v/>
      </c>
      <c r="AK200" s="1" t="str">
        <f>_xlfn.IFNA(VLOOKUP(Master_Reference[[#This Row],[C-Flex 3500K 3W Part Number]],Lutron_CFlex_Lookup[],MATCH("Lutron Kit PN",Lutron_CFlex_Lookup[#Headers],0),FALSE),"")</f>
        <v/>
      </c>
      <c r="AL200" s="1" t="str">
        <f>_xlfn.IFNA(VLOOKUP(Master_Reference[[#This Row],[C-Flex 4000K 3W Part Number]],Lutron_CFlex_Lookup[],MATCH("Lutron Kit PN",Lutron_CFlex_Lookup[#Headers],0),FALSE),"")</f>
        <v/>
      </c>
      <c r="AM200" s="1" t="str">
        <f>_xlfn.IFNA(VLOOKUP(Master_Reference[[#This Row],[C-Flex 5000K 3W Part Number]],Lutron_CFlex_Lookup[],MATCH("Lutron Kit PN",Lutron_CFlex_Lookup[#Headers],0),FALSE),"")</f>
        <v/>
      </c>
      <c r="AN200" s="1" t="b">
        <f>NOT(ISNA(VLOOKUP(Master_Reference[[#This Row],[Model Number]],ObsoleteModels[],1,FALSE)))</f>
        <v>0</v>
      </c>
      <c r="AO200" s="1" t="str">
        <f>IF(LEFT(Master_Reference[[#This Row],[Model Number]],1)="U",LEFT(Master_Reference[[#This Row],[Model Number]],4),LEFT(Master_Reference[[#This Row],[Model Number]],3))</f>
        <v>EC5</v>
      </c>
    </row>
    <row r="201" spans="1:41" x14ac:dyDescent="0.25">
      <c r="A201" s="2" t="s">
        <v>459</v>
      </c>
      <c r="B201" s="1" t="b">
        <v>1</v>
      </c>
      <c r="C201" s="1" t="b">
        <v>1</v>
      </c>
      <c r="F201" s="1" t="b">
        <v>1</v>
      </c>
      <c r="G201" s="1" t="str">
        <f>IF(OR(LEFT(RIGHT(Master_Reference[[#This Row],[Model Number]],3),1)="C",LEFT(RIGHT(Master_Reference[[#This Row],[Model Number]],4),1)="C"),TRUE,"")</f>
        <v/>
      </c>
      <c r="H201" s="1" t="str">
        <f>IF(LEFT(Master_Reference[[#This Row],[Model Number]],1)="U",TRUE,"")</f>
        <v/>
      </c>
      <c r="I201" s="1" t="b">
        <f>IF(Master_Reference[[#This Row],[Lamp Type]]="T4","",IF(Master_Reference[[#This Row],[Case Type]]="M","",TRUE))</f>
        <v>1</v>
      </c>
      <c r="J201" s="1" t="s">
        <v>215</v>
      </c>
      <c r="K201" s="1">
        <v>55</v>
      </c>
      <c r="L201" s="1" t="s">
        <v>225</v>
      </c>
      <c r="M201" s="1">
        <v>2</v>
      </c>
      <c r="N201" s="1" t="s">
        <v>149</v>
      </c>
      <c r="O201" s="1" t="s">
        <v>320</v>
      </c>
      <c r="R201" t="b">
        <f>IF(COUNTBLANK(Master_Reference[[#This Row],[C-Flex 3000K Eco Part Number]:[C-Flex 4000K Eco Part Number]])=3,FALSE,TRUE)</f>
        <v>1</v>
      </c>
      <c r="S201" t="b">
        <f>IF(COUNTBLANK(Master_Reference[[#This Row],[C-Flex 3000K 3W Part Number]:[C-Flex 4000K 3W Part Number]])=3,FALSE,TRUE)</f>
        <v>1</v>
      </c>
      <c r="T201" t="b">
        <f>IF(COUNTBLANK(Master_Reference[[#This Row],[Lutron 3000K Eco Part Number]:[Lutron 4000K Eco Part Number]])=3,FALSE,TRUE)</f>
        <v>1</v>
      </c>
      <c r="U201" t="b">
        <f>IF(COUNTBLANK(Master_Reference[[#This Row],[Lutron 3000K 3W Part Number]:[Lutron 4000K 3W Part Number]])=3,FALSE,TRUE)</f>
        <v>1</v>
      </c>
      <c r="V201" s="12" t="s">
        <v>233</v>
      </c>
      <c r="W201" s="12" t="s">
        <v>234</v>
      </c>
      <c r="X201" s="12" t="s">
        <v>235</v>
      </c>
      <c r="Y201" t="s">
        <v>1713</v>
      </c>
      <c r="Z201" s="12" t="s">
        <v>236</v>
      </c>
      <c r="AA201" s="12" t="s">
        <v>237</v>
      </c>
      <c r="AB201" s="12" t="s">
        <v>238</v>
      </c>
      <c r="AC201" t="s">
        <v>1802</v>
      </c>
      <c r="AD201" t="str">
        <f>SUBSTITUTE(Master_Reference[[#This Row],[C-Flex 4000K Eco Part Number]],"40-","xx-")</f>
        <v>RP-PLL-5.0K-2L-8xx-E1-M-G2</v>
      </c>
      <c r="AE201" t="str">
        <f>SUBSTITUTE(Master_Reference[[#This Row],[C-Flex 4000K 3W Part Number]],"40-","xx-")</f>
        <v>RP-PLL-5.0K-2L-8xx-3W-M-G2</v>
      </c>
      <c r="AF201" s="1" t="str">
        <f>_xlfn.IFNA(VLOOKUP(Master_Reference[[#This Row],[C-Flex 3000K Eco Part Number]],Lutron_CFlex_Lookup[],MATCH("Lutron Kit PN",Lutron_CFlex_Lookup[#Headers],0),FALSE),"")</f>
        <v>ELD-TT-2M30-q</v>
      </c>
      <c r="AG201" s="1" t="str">
        <f>_xlfn.IFNA(VLOOKUP(Master_Reference[[#This Row],[C-Flex 3500K Eco Part Number]],Lutron_CFlex_Lookup[],MATCH("Lutron Kit PN",Lutron_CFlex_Lookup[#Headers],0),FALSE),"")</f>
        <v>ELD-TT-2M35-q</v>
      </c>
      <c r="AH201" s="1" t="str">
        <f>_xlfn.IFNA(VLOOKUP(Master_Reference[[#This Row],[C-Flex 4000K Eco Part Number]],Lutron_CFlex_Lookup[],MATCH("Lutron Kit PN",Lutron_CFlex_Lookup[#Headers],0),FALSE),"")</f>
        <v>ELD-TT-2M40-q</v>
      </c>
      <c r="AI201" s="1" t="str">
        <f>_xlfn.IFNA(VLOOKUP(Master_Reference[[#This Row],[C-Flex 5000K Eco Part Number]],Lutron_CFlex_Lookup[],MATCH("Lutron Kit PN",Lutron_CFlex_Lookup[#Headers],0),FALSE),"")</f>
        <v>ELD-TT-2M50-q</v>
      </c>
      <c r="AJ201" s="1" t="str">
        <f>_xlfn.IFNA(VLOOKUP(Master_Reference[[#This Row],[C-Flex 3000K 3W Part Number]],Lutron_CFlex_Lookup[],MATCH("Lutron Kit PN",Lutron_CFlex_Lookup[#Headers],0),FALSE),"")</f>
        <v>3LD-TT-2M30-q</v>
      </c>
      <c r="AK201" s="1" t="str">
        <f>_xlfn.IFNA(VLOOKUP(Master_Reference[[#This Row],[C-Flex 3500K 3W Part Number]],Lutron_CFlex_Lookup[],MATCH("Lutron Kit PN",Lutron_CFlex_Lookup[#Headers],0),FALSE),"")</f>
        <v>3LD-TT-2M35-q</v>
      </c>
      <c r="AL201" s="1" t="str">
        <f>_xlfn.IFNA(VLOOKUP(Master_Reference[[#This Row],[C-Flex 4000K 3W Part Number]],Lutron_CFlex_Lookup[],MATCH("Lutron Kit PN",Lutron_CFlex_Lookup[#Headers],0),FALSE),"")</f>
        <v>3LD-TT-2M40-q</v>
      </c>
      <c r="AM201" s="1" t="str">
        <f>_xlfn.IFNA(VLOOKUP(Master_Reference[[#This Row],[C-Flex 5000K 3W Part Number]],Lutron_CFlex_Lookup[],MATCH("Lutron Kit PN",Lutron_CFlex_Lookup[#Headers],0),FALSE),"")</f>
        <v>3LD-TT-2M50-q</v>
      </c>
      <c r="AN201" s="1" t="b">
        <f>NOT(ISNA(VLOOKUP(Master_Reference[[#This Row],[Model Number]],ObsoleteModels[],1,FALSE)))</f>
        <v>0</v>
      </c>
      <c r="AO201" s="1" t="str">
        <f>IF(LEFT(Master_Reference[[#This Row],[Model Number]],1)="U",LEFT(Master_Reference[[#This Row],[Model Number]],4),LEFT(Master_Reference[[#This Row],[Model Number]],3))</f>
        <v>EC5</v>
      </c>
    </row>
    <row r="202" spans="1:41" x14ac:dyDescent="0.25">
      <c r="A202" s="2" t="s">
        <v>460</v>
      </c>
      <c r="B202" s="1" t="b">
        <v>1</v>
      </c>
      <c r="C202" s="1" t="b">
        <v>1</v>
      </c>
      <c r="F202" s="1" t="b">
        <v>1</v>
      </c>
      <c r="G202" s="1" t="str">
        <f>IF(OR(LEFT(RIGHT(Master_Reference[[#This Row],[Model Number]],3),1)="C",LEFT(RIGHT(Master_Reference[[#This Row],[Model Number]],4),1)="C"),TRUE,"")</f>
        <v/>
      </c>
      <c r="H202" s="1" t="str">
        <f>IF(LEFT(Master_Reference[[#This Row],[Model Number]],1)="U",TRUE,"")</f>
        <v/>
      </c>
      <c r="I202" s="1" t="b">
        <f>IF(Master_Reference[[#This Row],[Lamp Type]]="T4","",IF(Master_Reference[[#This Row],[Case Type]]="M","",TRUE))</f>
        <v>1</v>
      </c>
      <c r="J202" s="1" t="s">
        <v>215</v>
      </c>
      <c r="K202" s="1">
        <v>55</v>
      </c>
      <c r="L202" s="1" t="s">
        <v>225</v>
      </c>
      <c r="M202" s="1">
        <v>2</v>
      </c>
      <c r="N202" s="1" t="s">
        <v>149</v>
      </c>
      <c r="O202" s="1" t="s">
        <v>320</v>
      </c>
      <c r="Q202" s="1" t="s">
        <v>91</v>
      </c>
      <c r="R202" t="b">
        <f>IF(COUNTBLANK(Master_Reference[[#This Row],[C-Flex 3000K Eco Part Number]:[C-Flex 4000K Eco Part Number]])=3,FALSE,TRUE)</f>
        <v>0</v>
      </c>
      <c r="S202" t="b">
        <f>IF(COUNTBLANK(Master_Reference[[#This Row],[C-Flex 3000K 3W Part Number]:[C-Flex 4000K 3W Part Number]])=3,FALSE,TRUE)</f>
        <v>0</v>
      </c>
      <c r="T202" t="b">
        <f>IF(COUNTBLANK(Master_Reference[[#This Row],[Lutron 3000K Eco Part Number]:[Lutron 4000K Eco Part Number]])=3,FALSE,TRUE)</f>
        <v>0</v>
      </c>
      <c r="U202" t="b">
        <f>IF(COUNTBLANK(Master_Reference[[#This Row],[Lutron 3000K 3W Part Number]:[Lutron 4000K 3W Part Number]])=3,FALSE,TRUE)</f>
        <v>0</v>
      </c>
      <c r="V202" s="12"/>
      <c r="W202" s="12"/>
      <c r="X202" s="12"/>
      <c r="Y202" t="s">
        <v>2125</v>
      </c>
      <c r="Z202" s="12"/>
      <c r="AA202" s="12"/>
      <c r="AB202" s="12"/>
      <c r="AC202" t="s">
        <v>2125</v>
      </c>
      <c r="AD202" t="str">
        <f>SUBSTITUTE(Master_Reference[[#This Row],[C-Flex 4000K Eco Part Number]],"40-","xx-")</f>
        <v/>
      </c>
      <c r="AE202" t="str">
        <f>SUBSTITUTE(Master_Reference[[#This Row],[C-Flex 4000K 3W Part Number]],"40-","xx-")</f>
        <v/>
      </c>
      <c r="AF202" s="1" t="str">
        <f>_xlfn.IFNA(VLOOKUP(Master_Reference[[#This Row],[C-Flex 3000K Eco Part Number]],Lutron_CFlex_Lookup[],MATCH("Lutron Kit PN",Lutron_CFlex_Lookup[#Headers],0),FALSE),"")</f>
        <v/>
      </c>
      <c r="AG202" s="1" t="str">
        <f>_xlfn.IFNA(VLOOKUP(Master_Reference[[#This Row],[C-Flex 3500K Eco Part Number]],Lutron_CFlex_Lookup[],MATCH("Lutron Kit PN",Lutron_CFlex_Lookup[#Headers],0),FALSE),"")</f>
        <v/>
      </c>
      <c r="AH202" s="1" t="str">
        <f>_xlfn.IFNA(VLOOKUP(Master_Reference[[#This Row],[C-Flex 4000K Eco Part Number]],Lutron_CFlex_Lookup[],MATCH("Lutron Kit PN",Lutron_CFlex_Lookup[#Headers],0),FALSE),"")</f>
        <v/>
      </c>
      <c r="AI202" s="1" t="str">
        <f>_xlfn.IFNA(VLOOKUP(Master_Reference[[#This Row],[C-Flex 5000K Eco Part Number]],Lutron_CFlex_Lookup[],MATCH("Lutron Kit PN",Lutron_CFlex_Lookup[#Headers],0),FALSE),"")</f>
        <v/>
      </c>
      <c r="AJ202" s="1" t="str">
        <f>_xlfn.IFNA(VLOOKUP(Master_Reference[[#This Row],[C-Flex 3000K 3W Part Number]],Lutron_CFlex_Lookup[],MATCH("Lutron Kit PN",Lutron_CFlex_Lookup[#Headers],0),FALSE),"")</f>
        <v/>
      </c>
      <c r="AK202" s="1" t="str">
        <f>_xlfn.IFNA(VLOOKUP(Master_Reference[[#This Row],[C-Flex 3500K 3W Part Number]],Lutron_CFlex_Lookup[],MATCH("Lutron Kit PN",Lutron_CFlex_Lookup[#Headers],0),FALSE),"")</f>
        <v/>
      </c>
      <c r="AL202" s="1" t="str">
        <f>_xlfn.IFNA(VLOOKUP(Master_Reference[[#This Row],[C-Flex 4000K 3W Part Number]],Lutron_CFlex_Lookup[],MATCH("Lutron Kit PN",Lutron_CFlex_Lookup[#Headers],0),FALSE),"")</f>
        <v/>
      </c>
      <c r="AM202" s="1" t="str">
        <f>_xlfn.IFNA(VLOOKUP(Master_Reference[[#This Row],[C-Flex 5000K 3W Part Number]],Lutron_CFlex_Lookup[],MATCH("Lutron Kit PN",Lutron_CFlex_Lookup[#Headers],0),FALSE),"")</f>
        <v/>
      </c>
      <c r="AN202" s="1" t="b">
        <f>NOT(ISNA(VLOOKUP(Master_Reference[[#This Row],[Model Number]],ObsoleteModels[],1,FALSE)))</f>
        <v>0</v>
      </c>
      <c r="AO202" s="1" t="str">
        <f>IF(LEFT(Master_Reference[[#This Row],[Model Number]],1)="U",LEFT(Master_Reference[[#This Row],[Model Number]],4),LEFT(Master_Reference[[#This Row],[Model Number]],3))</f>
        <v>EC5</v>
      </c>
    </row>
    <row r="203" spans="1:41" x14ac:dyDescent="0.25">
      <c r="A203" s="2" t="s">
        <v>461</v>
      </c>
      <c r="B203" s="1" t="b">
        <v>1</v>
      </c>
      <c r="C203" s="1" t="b">
        <v>1</v>
      </c>
      <c r="F203" s="1" t="b">
        <v>1</v>
      </c>
      <c r="G203" s="1" t="str">
        <f>IF(OR(LEFT(RIGHT(Master_Reference[[#This Row],[Model Number]],3),1)="C",LEFT(RIGHT(Master_Reference[[#This Row],[Model Number]],4),1)="C"),TRUE,"")</f>
        <v/>
      </c>
      <c r="H203" s="1" t="str">
        <f>IF(LEFT(Master_Reference[[#This Row],[Model Number]],1)="U",TRUE,"")</f>
        <v/>
      </c>
      <c r="I203" s="1" t="b">
        <f>IF(Master_Reference[[#This Row],[Lamp Type]]="T4","",IF(Master_Reference[[#This Row],[Case Type]]="M","",TRUE))</f>
        <v>1</v>
      </c>
      <c r="J203" s="1" t="str">
        <f t="shared" ref="J203:J234" si="4">RIGHT(LEFT(A203,5),2)</f>
        <v>T8</v>
      </c>
      <c r="K203" s="1">
        <v>17</v>
      </c>
      <c r="L203" s="1" t="s">
        <v>112</v>
      </c>
      <c r="M203" s="1">
        <v>1</v>
      </c>
      <c r="N203" s="1">
        <v>120</v>
      </c>
      <c r="O203" s="1" t="s">
        <v>320</v>
      </c>
      <c r="R203" t="b">
        <f>IF(COUNTBLANK(Master_Reference[[#This Row],[C-Flex 3000K Eco Part Number]:[C-Flex 4000K Eco Part Number]])=3,FALSE,TRUE)</f>
        <v>1</v>
      </c>
      <c r="S203" t="b">
        <f>IF(COUNTBLANK(Master_Reference[[#This Row],[C-Flex 3000K 3W Part Number]:[C-Flex 4000K 3W Part Number]])=3,FALSE,TRUE)</f>
        <v>1</v>
      </c>
      <c r="T203" t="b">
        <f>IF(COUNTBLANK(Master_Reference[[#This Row],[Lutron 3000K Eco Part Number]:[Lutron 4000K Eco Part Number]])=3,FALSE,TRUE)</f>
        <v>1</v>
      </c>
      <c r="U203" t="b">
        <f>IF(COUNTBLANK(Master_Reference[[#This Row],[Lutron 3000K 3W Part Number]:[Lutron 4000K 3W Part Number]])=3,FALSE,TRUE)</f>
        <v>1</v>
      </c>
      <c r="V203" s="12" t="s">
        <v>462</v>
      </c>
      <c r="W203" s="12" t="s">
        <v>463</v>
      </c>
      <c r="X203" s="12" t="s">
        <v>464</v>
      </c>
      <c r="Y203" t="s">
        <v>1735</v>
      </c>
      <c r="Z203" s="12" t="s">
        <v>240</v>
      </c>
      <c r="AA203" s="12" t="s">
        <v>241</v>
      </c>
      <c r="AB203" s="12" t="s">
        <v>242</v>
      </c>
      <c r="AC203" t="s">
        <v>1823</v>
      </c>
      <c r="AD203" t="str">
        <f>SUBSTITUTE(Master_Reference[[#This Row],[C-Flex 4000K Eco Part Number]],"40-","xx-")</f>
        <v>RP-T8-2FT-1L-8xx-E1-M-G2</v>
      </c>
      <c r="AE203" t="str">
        <f>SUBSTITUTE(Master_Reference[[#This Row],[C-Flex 4000K 3W Part Number]],"40-","xx-")</f>
        <v>RP-T8-2FT-1L-8xx-3W-M-G2</v>
      </c>
      <c r="AF203" s="1" t="str">
        <f>_xlfn.IFNA(VLOOKUP(Master_Reference[[#This Row],[C-Flex 3000K Eco Part Number]],Lutron_CFlex_Lookup[],MATCH("Lutron Kit PN",Lutron_CFlex_Lookup[#Headers],0),FALSE),"")</f>
        <v>ELD2T8-1M30-q</v>
      </c>
      <c r="AG203" s="1" t="str">
        <f>_xlfn.IFNA(VLOOKUP(Master_Reference[[#This Row],[C-Flex 3500K Eco Part Number]],Lutron_CFlex_Lookup[],MATCH("Lutron Kit PN",Lutron_CFlex_Lookup[#Headers],0),FALSE),"")</f>
        <v>ELD2T8-1M35-q</v>
      </c>
      <c r="AH203" s="1" t="str">
        <f>_xlfn.IFNA(VLOOKUP(Master_Reference[[#This Row],[C-Flex 4000K Eco Part Number]],Lutron_CFlex_Lookup[],MATCH("Lutron Kit PN",Lutron_CFlex_Lookup[#Headers],0),FALSE),"")</f>
        <v>ELD2T8-1M40-q</v>
      </c>
      <c r="AI203" s="1" t="str">
        <f>_xlfn.IFNA(VLOOKUP(Master_Reference[[#This Row],[C-Flex 5000K Eco Part Number]],Lutron_CFlex_Lookup[],MATCH("Lutron Kit PN",Lutron_CFlex_Lookup[#Headers],0),FALSE),"")</f>
        <v>ELD2T8-1M50-q</v>
      </c>
      <c r="AJ203" s="1" t="str">
        <f>_xlfn.IFNA(VLOOKUP(Master_Reference[[#This Row],[C-Flex 3000K 3W Part Number]],Lutron_CFlex_Lookup[],MATCH("Lutron Kit PN",Lutron_CFlex_Lookup[#Headers],0),FALSE),"")</f>
        <v>3LD2T8-1M30-q</v>
      </c>
      <c r="AK203" s="1" t="str">
        <f>_xlfn.IFNA(VLOOKUP(Master_Reference[[#This Row],[C-Flex 3500K 3W Part Number]],Lutron_CFlex_Lookup[],MATCH("Lutron Kit PN",Lutron_CFlex_Lookup[#Headers],0),FALSE),"")</f>
        <v>3LD2T8-1M35-q</v>
      </c>
      <c r="AL203" s="1" t="str">
        <f>_xlfn.IFNA(VLOOKUP(Master_Reference[[#This Row],[C-Flex 4000K 3W Part Number]],Lutron_CFlex_Lookup[],MATCH("Lutron Kit PN",Lutron_CFlex_Lookup[#Headers],0),FALSE),"")</f>
        <v>3LD2T8-1M40-q</v>
      </c>
      <c r="AM203" s="1" t="str">
        <f>_xlfn.IFNA(VLOOKUP(Master_Reference[[#This Row],[C-Flex 5000K 3W Part Number]],Lutron_CFlex_Lookup[],MATCH("Lutron Kit PN",Lutron_CFlex_Lookup[#Headers],0),FALSE),"")</f>
        <v>3LD2T8-1M50-q</v>
      </c>
      <c r="AN203" s="1" t="b">
        <f>NOT(ISNA(VLOOKUP(Master_Reference[[#This Row],[Model Number]],ObsoleteModels[],1,FALSE)))</f>
        <v>1</v>
      </c>
      <c r="AO203" s="1" t="str">
        <f>IF(LEFT(Master_Reference[[#This Row],[Model Number]],1)="U",LEFT(Master_Reference[[#This Row],[Model Number]],4),LEFT(Master_Reference[[#This Row],[Model Number]],3))</f>
        <v>EC5</v>
      </c>
    </row>
    <row r="204" spans="1:41" x14ac:dyDescent="0.25">
      <c r="A204" s="2" t="s">
        <v>465</v>
      </c>
      <c r="B204" s="1" t="b">
        <v>1</v>
      </c>
      <c r="C204" s="1" t="b">
        <v>1</v>
      </c>
      <c r="F204" s="1" t="b">
        <v>1</v>
      </c>
      <c r="G204" s="1" t="str">
        <f>IF(OR(LEFT(RIGHT(Master_Reference[[#This Row],[Model Number]],3),1)="C",LEFT(RIGHT(Master_Reference[[#This Row],[Model Number]],4),1)="C"),TRUE,"")</f>
        <v/>
      </c>
      <c r="H204" s="1" t="str">
        <f>IF(LEFT(Master_Reference[[#This Row],[Model Number]],1)="U",TRUE,"")</f>
        <v/>
      </c>
      <c r="I204" s="1" t="b">
        <f>IF(Master_Reference[[#This Row],[Lamp Type]]="T4","",IF(Master_Reference[[#This Row],[Case Type]]="M","",TRUE))</f>
        <v>1</v>
      </c>
      <c r="J204" s="1" t="str">
        <f t="shared" si="4"/>
        <v>T8</v>
      </c>
      <c r="K204" s="1">
        <v>17</v>
      </c>
      <c r="L204" s="1" t="s">
        <v>112</v>
      </c>
      <c r="M204" s="1">
        <v>2</v>
      </c>
      <c r="N204" s="1">
        <v>120</v>
      </c>
      <c r="O204" s="1" t="s">
        <v>320</v>
      </c>
      <c r="R204" t="b">
        <f>IF(COUNTBLANK(Master_Reference[[#This Row],[C-Flex 3000K Eco Part Number]:[C-Flex 4000K Eco Part Number]])=3,FALSE,TRUE)</f>
        <v>1</v>
      </c>
      <c r="S204" t="b">
        <f>IF(COUNTBLANK(Master_Reference[[#This Row],[C-Flex 3000K 3W Part Number]:[C-Flex 4000K 3W Part Number]])=3,FALSE,TRUE)</f>
        <v>1</v>
      </c>
      <c r="T204" t="b">
        <f>IF(COUNTBLANK(Master_Reference[[#This Row],[Lutron 3000K Eco Part Number]:[Lutron 4000K Eco Part Number]])=3,FALSE,TRUE)</f>
        <v>1</v>
      </c>
      <c r="U204" t="b">
        <f>IF(COUNTBLANK(Master_Reference[[#This Row],[Lutron 3000K 3W Part Number]:[Lutron 4000K 3W Part Number]])=3,FALSE,TRUE)</f>
        <v>1</v>
      </c>
      <c r="V204" s="12" t="s">
        <v>466</v>
      </c>
      <c r="W204" s="12" t="s">
        <v>467</v>
      </c>
      <c r="X204" s="12" t="s">
        <v>468</v>
      </c>
      <c r="Y204" t="s">
        <v>1736</v>
      </c>
      <c r="Z204" s="12" t="s">
        <v>244</v>
      </c>
      <c r="AA204" s="12" t="s">
        <v>245</v>
      </c>
      <c r="AB204" s="12" t="s">
        <v>246</v>
      </c>
      <c r="AC204" t="s">
        <v>1824</v>
      </c>
      <c r="AD204" t="str">
        <f>SUBSTITUTE(Master_Reference[[#This Row],[C-Flex 4000K Eco Part Number]],"40-","xx-")</f>
        <v>RP-T8-2FT-2L-8xx-E1-M-G2</v>
      </c>
      <c r="AE204" t="str">
        <f>SUBSTITUTE(Master_Reference[[#This Row],[C-Flex 4000K 3W Part Number]],"40-","xx-")</f>
        <v>RP-T8-2FT-2L-8xx-3W-M-G2</v>
      </c>
      <c r="AF204" s="1" t="str">
        <f>_xlfn.IFNA(VLOOKUP(Master_Reference[[#This Row],[C-Flex 3000K Eco Part Number]],Lutron_CFlex_Lookup[],MATCH("Lutron Kit PN",Lutron_CFlex_Lookup[#Headers],0),FALSE),"")</f>
        <v>ELD2T8-2M30-q</v>
      </c>
      <c r="AG204" s="1" t="str">
        <f>_xlfn.IFNA(VLOOKUP(Master_Reference[[#This Row],[C-Flex 3500K Eco Part Number]],Lutron_CFlex_Lookup[],MATCH("Lutron Kit PN",Lutron_CFlex_Lookup[#Headers],0),FALSE),"")</f>
        <v>ELD2T8-2M35-q</v>
      </c>
      <c r="AH204" s="1" t="str">
        <f>_xlfn.IFNA(VLOOKUP(Master_Reference[[#This Row],[C-Flex 4000K Eco Part Number]],Lutron_CFlex_Lookup[],MATCH("Lutron Kit PN",Lutron_CFlex_Lookup[#Headers],0),FALSE),"")</f>
        <v>ELD2T8-2M40-q</v>
      </c>
      <c r="AI204" s="1" t="str">
        <f>_xlfn.IFNA(VLOOKUP(Master_Reference[[#This Row],[C-Flex 5000K Eco Part Number]],Lutron_CFlex_Lookup[],MATCH("Lutron Kit PN",Lutron_CFlex_Lookup[#Headers],0),FALSE),"")</f>
        <v>ELD2T8-2M50-q</v>
      </c>
      <c r="AJ204" s="1" t="str">
        <f>_xlfn.IFNA(VLOOKUP(Master_Reference[[#This Row],[C-Flex 3000K 3W Part Number]],Lutron_CFlex_Lookup[],MATCH("Lutron Kit PN",Lutron_CFlex_Lookup[#Headers],0),FALSE),"")</f>
        <v>3LD2T8-2M30-q</v>
      </c>
      <c r="AK204" s="1" t="str">
        <f>_xlfn.IFNA(VLOOKUP(Master_Reference[[#This Row],[C-Flex 3500K 3W Part Number]],Lutron_CFlex_Lookup[],MATCH("Lutron Kit PN",Lutron_CFlex_Lookup[#Headers],0),FALSE),"")</f>
        <v>3LD2T8-2M35-q</v>
      </c>
      <c r="AL204" s="1" t="str">
        <f>_xlfn.IFNA(VLOOKUP(Master_Reference[[#This Row],[C-Flex 4000K 3W Part Number]],Lutron_CFlex_Lookup[],MATCH("Lutron Kit PN",Lutron_CFlex_Lookup[#Headers],0),FALSE),"")</f>
        <v>3LD2T8-2M40-q</v>
      </c>
      <c r="AM204" s="1" t="str">
        <f>_xlfn.IFNA(VLOOKUP(Master_Reference[[#This Row],[C-Flex 5000K 3W Part Number]],Lutron_CFlex_Lookup[],MATCH("Lutron Kit PN",Lutron_CFlex_Lookup[#Headers],0),FALSE),"")</f>
        <v>3LD2T8-2M50-q</v>
      </c>
      <c r="AN204" s="1" t="b">
        <f>NOT(ISNA(VLOOKUP(Master_Reference[[#This Row],[Model Number]],ObsoleteModels[],1,FALSE)))</f>
        <v>1</v>
      </c>
      <c r="AO204" s="1" t="str">
        <f>IF(LEFT(Master_Reference[[#This Row],[Model Number]],1)="U",LEFT(Master_Reference[[#This Row],[Model Number]],4),LEFT(Master_Reference[[#This Row],[Model Number]],3))</f>
        <v>EC5</v>
      </c>
    </row>
    <row r="205" spans="1:41" x14ac:dyDescent="0.25">
      <c r="A205" s="2" t="s">
        <v>469</v>
      </c>
      <c r="B205" s="1" t="b">
        <v>1</v>
      </c>
      <c r="C205" s="1" t="b">
        <v>1</v>
      </c>
      <c r="F205" s="1" t="b">
        <v>1</v>
      </c>
      <c r="G205" s="1" t="str">
        <f>IF(OR(LEFT(RIGHT(Master_Reference[[#This Row],[Model Number]],3),1)="C",LEFT(RIGHT(Master_Reference[[#This Row],[Model Number]],4),1)="C"),TRUE,"")</f>
        <v/>
      </c>
      <c r="H205" s="1" t="str">
        <f>IF(LEFT(Master_Reference[[#This Row],[Model Number]],1)="U",TRUE,"")</f>
        <v/>
      </c>
      <c r="I205" s="1" t="b">
        <f>IF(Master_Reference[[#This Row],[Lamp Type]]="T4","",IF(Master_Reference[[#This Row],[Case Type]]="M","",TRUE))</f>
        <v>1</v>
      </c>
      <c r="J205" s="1" t="str">
        <f t="shared" si="4"/>
        <v>T8</v>
      </c>
      <c r="K205" s="1">
        <v>17</v>
      </c>
      <c r="L205" s="1" t="s">
        <v>112</v>
      </c>
      <c r="M205" s="1">
        <v>1</v>
      </c>
      <c r="N205" s="1">
        <v>277</v>
      </c>
      <c r="O205" s="1" t="s">
        <v>320</v>
      </c>
      <c r="R205" t="b">
        <f>IF(COUNTBLANK(Master_Reference[[#This Row],[C-Flex 3000K Eco Part Number]:[C-Flex 4000K Eco Part Number]])=3,FALSE,TRUE)</f>
        <v>1</v>
      </c>
      <c r="S205" t="b">
        <f>IF(COUNTBLANK(Master_Reference[[#This Row],[C-Flex 3000K 3W Part Number]:[C-Flex 4000K 3W Part Number]])=3,FALSE,TRUE)</f>
        <v>1</v>
      </c>
      <c r="T205" t="b">
        <f>IF(COUNTBLANK(Master_Reference[[#This Row],[Lutron 3000K Eco Part Number]:[Lutron 4000K Eco Part Number]])=3,FALSE,TRUE)</f>
        <v>1</v>
      </c>
      <c r="U205" t="b">
        <f>IF(COUNTBLANK(Master_Reference[[#This Row],[Lutron 3000K 3W Part Number]:[Lutron 4000K 3W Part Number]])=3,FALSE,TRUE)</f>
        <v>1</v>
      </c>
      <c r="V205" s="12" t="s">
        <v>462</v>
      </c>
      <c r="W205" s="12" t="s">
        <v>463</v>
      </c>
      <c r="X205" s="12" t="s">
        <v>464</v>
      </c>
      <c r="Y205" t="s">
        <v>1735</v>
      </c>
      <c r="Z205" s="12" t="s">
        <v>240</v>
      </c>
      <c r="AA205" s="12" t="s">
        <v>241</v>
      </c>
      <c r="AB205" s="12" t="s">
        <v>242</v>
      </c>
      <c r="AC205" t="s">
        <v>1823</v>
      </c>
      <c r="AD205" t="str">
        <f>SUBSTITUTE(Master_Reference[[#This Row],[C-Flex 4000K Eco Part Number]],"40-","xx-")</f>
        <v>RP-T8-2FT-1L-8xx-E1-M-G2</v>
      </c>
      <c r="AE205" t="str">
        <f>SUBSTITUTE(Master_Reference[[#This Row],[C-Flex 4000K 3W Part Number]],"40-","xx-")</f>
        <v>RP-T8-2FT-1L-8xx-3W-M-G2</v>
      </c>
      <c r="AF205" s="1" t="str">
        <f>_xlfn.IFNA(VLOOKUP(Master_Reference[[#This Row],[C-Flex 3000K Eco Part Number]],Lutron_CFlex_Lookup[],MATCH("Lutron Kit PN",Lutron_CFlex_Lookup[#Headers],0),FALSE),"")</f>
        <v>ELD2T8-1M30-q</v>
      </c>
      <c r="AG205" s="1" t="str">
        <f>_xlfn.IFNA(VLOOKUP(Master_Reference[[#This Row],[C-Flex 3500K Eco Part Number]],Lutron_CFlex_Lookup[],MATCH("Lutron Kit PN",Lutron_CFlex_Lookup[#Headers],0),FALSE),"")</f>
        <v>ELD2T8-1M35-q</v>
      </c>
      <c r="AH205" s="1" t="str">
        <f>_xlfn.IFNA(VLOOKUP(Master_Reference[[#This Row],[C-Flex 4000K Eco Part Number]],Lutron_CFlex_Lookup[],MATCH("Lutron Kit PN",Lutron_CFlex_Lookup[#Headers],0),FALSE),"")</f>
        <v>ELD2T8-1M40-q</v>
      </c>
      <c r="AI205" s="1" t="str">
        <f>_xlfn.IFNA(VLOOKUP(Master_Reference[[#This Row],[C-Flex 5000K Eco Part Number]],Lutron_CFlex_Lookup[],MATCH("Lutron Kit PN",Lutron_CFlex_Lookup[#Headers],0),FALSE),"")</f>
        <v>ELD2T8-1M50-q</v>
      </c>
      <c r="AJ205" s="1" t="str">
        <f>_xlfn.IFNA(VLOOKUP(Master_Reference[[#This Row],[C-Flex 3000K 3W Part Number]],Lutron_CFlex_Lookup[],MATCH("Lutron Kit PN",Lutron_CFlex_Lookup[#Headers],0),FALSE),"")</f>
        <v>3LD2T8-1M30-q</v>
      </c>
      <c r="AK205" s="1" t="str">
        <f>_xlfn.IFNA(VLOOKUP(Master_Reference[[#This Row],[C-Flex 3500K 3W Part Number]],Lutron_CFlex_Lookup[],MATCH("Lutron Kit PN",Lutron_CFlex_Lookup[#Headers],0),FALSE),"")</f>
        <v>3LD2T8-1M35-q</v>
      </c>
      <c r="AL205" s="1" t="str">
        <f>_xlfn.IFNA(VLOOKUP(Master_Reference[[#This Row],[C-Flex 4000K 3W Part Number]],Lutron_CFlex_Lookup[],MATCH("Lutron Kit PN",Lutron_CFlex_Lookup[#Headers],0),FALSE),"")</f>
        <v>3LD2T8-1M40-q</v>
      </c>
      <c r="AM205" s="1" t="str">
        <f>_xlfn.IFNA(VLOOKUP(Master_Reference[[#This Row],[C-Flex 5000K 3W Part Number]],Lutron_CFlex_Lookup[],MATCH("Lutron Kit PN",Lutron_CFlex_Lookup[#Headers],0),FALSE),"")</f>
        <v>3LD2T8-1M50-q</v>
      </c>
      <c r="AN205" s="1" t="b">
        <f>NOT(ISNA(VLOOKUP(Master_Reference[[#This Row],[Model Number]],ObsoleteModels[],1,FALSE)))</f>
        <v>1</v>
      </c>
      <c r="AO205" s="1" t="str">
        <f>IF(LEFT(Master_Reference[[#This Row],[Model Number]],1)="U",LEFT(Master_Reference[[#This Row],[Model Number]],4),LEFT(Master_Reference[[#This Row],[Model Number]],3))</f>
        <v>EC5</v>
      </c>
    </row>
    <row r="206" spans="1:41" x14ac:dyDescent="0.25">
      <c r="A206" s="2" t="s">
        <v>470</v>
      </c>
      <c r="B206" s="1" t="b">
        <v>1</v>
      </c>
      <c r="C206" s="1" t="b">
        <v>1</v>
      </c>
      <c r="F206" s="1" t="b">
        <v>1</v>
      </c>
      <c r="G206" s="1" t="str">
        <f>IF(OR(LEFT(RIGHT(Master_Reference[[#This Row],[Model Number]],3),1)="C",LEFT(RIGHT(Master_Reference[[#This Row],[Model Number]],4),1)="C"),TRUE,"")</f>
        <v/>
      </c>
      <c r="H206" s="1" t="str">
        <f>IF(LEFT(Master_Reference[[#This Row],[Model Number]],1)="U",TRUE,"")</f>
        <v/>
      </c>
      <c r="I206" s="1" t="b">
        <f>IF(Master_Reference[[#This Row],[Lamp Type]]="T4","",IF(Master_Reference[[#This Row],[Case Type]]="M","",TRUE))</f>
        <v>1</v>
      </c>
      <c r="J206" s="1" t="str">
        <f t="shared" si="4"/>
        <v>T8</v>
      </c>
      <c r="K206" s="1">
        <v>17</v>
      </c>
      <c r="L206" s="1" t="s">
        <v>112</v>
      </c>
      <c r="M206" s="1">
        <v>2</v>
      </c>
      <c r="N206" s="1">
        <v>277</v>
      </c>
      <c r="O206" s="1" t="s">
        <v>320</v>
      </c>
      <c r="R206" t="b">
        <f>IF(COUNTBLANK(Master_Reference[[#This Row],[C-Flex 3000K Eco Part Number]:[C-Flex 4000K Eco Part Number]])=3,FALSE,TRUE)</f>
        <v>1</v>
      </c>
      <c r="S206" t="b">
        <f>IF(COUNTBLANK(Master_Reference[[#This Row],[C-Flex 3000K 3W Part Number]:[C-Flex 4000K 3W Part Number]])=3,FALSE,TRUE)</f>
        <v>1</v>
      </c>
      <c r="T206" t="b">
        <f>IF(COUNTBLANK(Master_Reference[[#This Row],[Lutron 3000K Eco Part Number]:[Lutron 4000K Eco Part Number]])=3,FALSE,TRUE)</f>
        <v>1</v>
      </c>
      <c r="U206" t="b">
        <f>IF(COUNTBLANK(Master_Reference[[#This Row],[Lutron 3000K 3W Part Number]:[Lutron 4000K 3W Part Number]])=3,FALSE,TRUE)</f>
        <v>1</v>
      </c>
      <c r="V206" s="12" t="s">
        <v>466</v>
      </c>
      <c r="W206" s="12" t="s">
        <v>467</v>
      </c>
      <c r="X206" s="12" t="s">
        <v>468</v>
      </c>
      <c r="Y206" t="s">
        <v>1736</v>
      </c>
      <c r="Z206" s="12" t="s">
        <v>244</v>
      </c>
      <c r="AA206" s="12" t="s">
        <v>245</v>
      </c>
      <c r="AB206" s="12" t="s">
        <v>246</v>
      </c>
      <c r="AC206" t="s">
        <v>1824</v>
      </c>
      <c r="AD206" t="str">
        <f>SUBSTITUTE(Master_Reference[[#This Row],[C-Flex 4000K Eco Part Number]],"40-","xx-")</f>
        <v>RP-T8-2FT-2L-8xx-E1-M-G2</v>
      </c>
      <c r="AE206" t="str">
        <f>SUBSTITUTE(Master_Reference[[#This Row],[C-Flex 4000K 3W Part Number]],"40-","xx-")</f>
        <v>RP-T8-2FT-2L-8xx-3W-M-G2</v>
      </c>
      <c r="AF206" s="1" t="str">
        <f>_xlfn.IFNA(VLOOKUP(Master_Reference[[#This Row],[C-Flex 3000K Eco Part Number]],Lutron_CFlex_Lookup[],MATCH("Lutron Kit PN",Lutron_CFlex_Lookup[#Headers],0),FALSE),"")</f>
        <v>ELD2T8-2M30-q</v>
      </c>
      <c r="AG206" s="1" t="str">
        <f>_xlfn.IFNA(VLOOKUP(Master_Reference[[#This Row],[C-Flex 3500K Eco Part Number]],Lutron_CFlex_Lookup[],MATCH("Lutron Kit PN",Lutron_CFlex_Lookup[#Headers],0),FALSE),"")</f>
        <v>ELD2T8-2M35-q</v>
      </c>
      <c r="AH206" s="1" t="str">
        <f>_xlfn.IFNA(VLOOKUP(Master_Reference[[#This Row],[C-Flex 4000K Eco Part Number]],Lutron_CFlex_Lookup[],MATCH("Lutron Kit PN",Lutron_CFlex_Lookup[#Headers],0),FALSE),"")</f>
        <v>ELD2T8-2M40-q</v>
      </c>
      <c r="AI206" s="1" t="str">
        <f>_xlfn.IFNA(VLOOKUP(Master_Reference[[#This Row],[C-Flex 5000K Eco Part Number]],Lutron_CFlex_Lookup[],MATCH("Lutron Kit PN",Lutron_CFlex_Lookup[#Headers],0),FALSE),"")</f>
        <v>ELD2T8-2M50-q</v>
      </c>
      <c r="AJ206" s="1" t="str">
        <f>_xlfn.IFNA(VLOOKUP(Master_Reference[[#This Row],[C-Flex 3000K 3W Part Number]],Lutron_CFlex_Lookup[],MATCH("Lutron Kit PN",Lutron_CFlex_Lookup[#Headers],0),FALSE),"")</f>
        <v>3LD2T8-2M30-q</v>
      </c>
      <c r="AK206" s="1" t="str">
        <f>_xlfn.IFNA(VLOOKUP(Master_Reference[[#This Row],[C-Flex 3500K 3W Part Number]],Lutron_CFlex_Lookup[],MATCH("Lutron Kit PN",Lutron_CFlex_Lookup[#Headers],0),FALSE),"")</f>
        <v>3LD2T8-2M35-q</v>
      </c>
      <c r="AL206" s="1" t="str">
        <f>_xlfn.IFNA(VLOOKUP(Master_Reference[[#This Row],[C-Flex 4000K 3W Part Number]],Lutron_CFlex_Lookup[],MATCH("Lutron Kit PN",Lutron_CFlex_Lookup[#Headers],0),FALSE),"")</f>
        <v>3LD2T8-2M40-q</v>
      </c>
      <c r="AM206" s="1" t="str">
        <f>_xlfn.IFNA(VLOOKUP(Master_Reference[[#This Row],[C-Flex 5000K 3W Part Number]],Lutron_CFlex_Lookup[],MATCH("Lutron Kit PN",Lutron_CFlex_Lookup[#Headers],0),FALSE),"")</f>
        <v>3LD2T8-2M50-q</v>
      </c>
      <c r="AN206" s="1" t="b">
        <f>NOT(ISNA(VLOOKUP(Master_Reference[[#This Row],[Model Number]],ObsoleteModels[],1,FALSE)))</f>
        <v>1</v>
      </c>
      <c r="AO206" s="1" t="str">
        <f>IF(LEFT(Master_Reference[[#This Row],[Model Number]],1)="U",LEFT(Master_Reference[[#This Row],[Model Number]],4),LEFT(Master_Reference[[#This Row],[Model Number]],3))</f>
        <v>EC5</v>
      </c>
    </row>
    <row r="207" spans="1:41" x14ac:dyDescent="0.25">
      <c r="A207" s="2" t="s">
        <v>471</v>
      </c>
      <c r="B207" s="1" t="b">
        <v>1</v>
      </c>
      <c r="C207" s="1" t="b">
        <v>1</v>
      </c>
      <c r="F207" s="1" t="b">
        <v>1</v>
      </c>
      <c r="G207" s="1" t="str">
        <f>IF(OR(LEFT(RIGHT(Master_Reference[[#This Row],[Model Number]],3),1)="C",LEFT(RIGHT(Master_Reference[[#This Row],[Model Number]],4),1)="C"),TRUE,"")</f>
        <v/>
      </c>
      <c r="H207" s="1" t="str">
        <f>IF(LEFT(Master_Reference[[#This Row],[Model Number]],1)="U",TRUE,"")</f>
        <v/>
      </c>
      <c r="I207" s="1" t="b">
        <f>IF(Master_Reference[[#This Row],[Lamp Type]]="T4","",IF(Master_Reference[[#This Row],[Case Type]]="M","",TRUE))</f>
        <v>1</v>
      </c>
      <c r="J207" s="1" t="str">
        <f t="shared" si="4"/>
        <v>T8</v>
      </c>
      <c r="K207" s="1">
        <v>17</v>
      </c>
      <c r="L207" s="1" t="s">
        <v>112</v>
      </c>
      <c r="M207" s="1">
        <v>1</v>
      </c>
      <c r="N207" s="1" t="s">
        <v>149</v>
      </c>
      <c r="O207" s="1" t="s">
        <v>320</v>
      </c>
      <c r="R207" t="b">
        <f>IF(COUNTBLANK(Master_Reference[[#This Row],[C-Flex 3000K Eco Part Number]:[C-Flex 4000K Eco Part Number]])=3,FALSE,TRUE)</f>
        <v>1</v>
      </c>
      <c r="S207" t="b">
        <f>IF(COUNTBLANK(Master_Reference[[#This Row],[C-Flex 3000K 3W Part Number]:[C-Flex 4000K 3W Part Number]])=3,FALSE,TRUE)</f>
        <v>1</v>
      </c>
      <c r="T207" t="b">
        <f>IF(COUNTBLANK(Master_Reference[[#This Row],[Lutron 3000K Eco Part Number]:[Lutron 4000K Eco Part Number]])=3,FALSE,TRUE)</f>
        <v>1</v>
      </c>
      <c r="U207" t="b">
        <f>IF(COUNTBLANK(Master_Reference[[#This Row],[Lutron 3000K 3W Part Number]:[Lutron 4000K 3W Part Number]])=3,FALSE,TRUE)</f>
        <v>1</v>
      </c>
      <c r="V207" s="12" t="s">
        <v>462</v>
      </c>
      <c r="W207" s="12" t="s">
        <v>463</v>
      </c>
      <c r="X207" s="12" t="s">
        <v>464</v>
      </c>
      <c r="Y207" t="s">
        <v>1735</v>
      </c>
      <c r="Z207" s="12" t="s">
        <v>240</v>
      </c>
      <c r="AA207" s="12" t="s">
        <v>241</v>
      </c>
      <c r="AB207" s="12" t="s">
        <v>242</v>
      </c>
      <c r="AC207" t="s">
        <v>1823</v>
      </c>
      <c r="AD207" t="str">
        <f>SUBSTITUTE(Master_Reference[[#This Row],[C-Flex 4000K Eco Part Number]],"40-","xx-")</f>
        <v>RP-T8-2FT-1L-8xx-E1-M-G2</v>
      </c>
      <c r="AE207" t="str">
        <f>SUBSTITUTE(Master_Reference[[#This Row],[C-Flex 4000K 3W Part Number]],"40-","xx-")</f>
        <v>RP-T8-2FT-1L-8xx-3W-M-G2</v>
      </c>
      <c r="AF207" s="1" t="str">
        <f>_xlfn.IFNA(VLOOKUP(Master_Reference[[#This Row],[C-Flex 3000K Eco Part Number]],Lutron_CFlex_Lookup[],MATCH("Lutron Kit PN",Lutron_CFlex_Lookup[#Headers],0),FALSE),"")</f>
        <v>ELD2T8-1M30-q</v>
      </c>
      <c r="AG207" s="1" t="str">
        <f>_xlfn.IFNA(VLOOKUP(Master_Reference[[#This Row],[C-Flex 3500K Eco Part Number]],Lutron_CFlex_Lookup[],MATCH("Lutron Kit PN",Lutron_CFlex_Lookup[#Headers],0),FALSE),"")</f>
        <v>ELD2T8-1M35-q</v>
      </c>
      <c r="AH207" s="1" t="str">
        <f>_xlfn.IFNA(VLOOKUP(Master_Reference[[#This Row],[C-Flex 4000K Eco Part Number]],Lutron_CFlex_Lookup[],MATCH("Lutron Kit PN",Lutron_CFlex_Lookup[#Headers],0),FALSE),"")</f>
        <v>ELD2T8-1M40-q</v>
      </c>
      <c r="AI207" s="1" t="str">
        <f>_xlfn.IFNA(VLOOKUP(Master_Reference[[#This Row],[C-Flex 5000K Eco Part Number]],Lutron_CFlex_Lookup[],MATCH("Lutron Kit PN",Lutron_CFlex_Lookup[#Headers],0),FALSE),"")</f>
        <v>ELD2T8-1M50-q</v>
      </c>
      <c r="AJ207" s="1" t="str">
        <f>_xlfn.IFNA(VLOOKUP(Master_Reference[[#This Row],[C-Flex 3000K 3W Part Number]],Lutron_CFlex_Lookup[],MATCH("Lutron Kit PN",Lutron_CFlex_Lookup[#Headers],0),FALSE),"")</f>
        <v>3LD2T8-1M30-q</v>
      </c>
      <c r="AK207" s="1" t="str">
        <f>_xlfn.IFNA(VLOOKUP(Master_Reference[[#This Row],[C-Flex 3500K 3W Part Number]],Lutron_CFlex_Lookup[],MATCH("Lutron Kit PN",Lutron_CFlex_Lookup[#Headers],0),FALSE),"")</f>
        <v>3LD2T8-1M35-q</v>
      </c>
      <c r="AL207" s="1" t="str">
        <f>_xlfn.IFNA(VLOOKUP(Master_Reference[[#This Row],[C-Flex 4000K 3W Part Number]],Lutron_CFlex_Lookup[],MATCH("Lutron Kit PN",Lutron_CFlex_Lookup[#Headers],0),FALSE),"")</f>
        <v>3LD2T8-1M40-q</v>
      </c>
      <c r="AM207" s="1" t="str">
        <f>_xlfn.IFNA(VLOOKUP(Master_Reference[[#This Row],[C-Flex 5000K 3W Part Number]],Lutron_CFlex_Lookup[],MATCH("Lutron Kit PN",Lutron_CFlex_Lookup[#Headers],0),FALSE),"")</f>
        <v>3LD2T8-1M50-q</v>
      </c>
      <c r="AN207" s="1" t="b">
        <f>NOT(ISNA(VLOOKUP(Master_Reference[[#This Row],[Model Number]],ObsoleteModels[],1,FALSE)))</f>
        <v>0</v>
      </c>
      <c r="AO207" s="1" t="str">
        <f>IF(LEFT(Master_Reference[[#This Row],[Model Number]],1)="U",LEFT(Master_Reference[[#This Row],[Model Number]],4),LEFT(Master_Reference[[#This Row],[Model Number]],3))</f>
        <v>EC5</v>
      </c>
    </row>
    <row r="208" spans="1:41" x14ac:dyDescent="0.25">
      <c r="A208" s="2" t="s">
        <v>472</v>
      </c>
      <c r="B208" s="1" t="b">
        <v>1</v>
      </c>
      <c r="C208" s="1" t="b">
        <v>1</v>
      </c>
      <c r="F208" s="1" t="b">
        <v>1</v>
      </c>
      <c r="G208" s="1" t="b">
        <f>IF(OR(LEFT(RIGHT(Master_Reference[[#This Row],[Model Number]],3),1)="C",LEFT(RIGHT(Master_Reference[[#This Row],[Model Number]],4),1)="C"),TRUE,"")</f>
        <v>1</v>
      </c>
      <c r="H208" s="1" t="str">
        <f>IF(LEFT(Master_Reference[[#This Row],[Model Number]],1)="U",TRUE,"")</f>
        <v/>
      </c>
      <c r="I208" s="1" t="b">
        <f>IF(Master_Reference[[#This Row],[Lamp Type]]="T4","",IF(Master_Reference[[#This Row],[Case Type]]="M","",TRUE))</f>
        <v>1</v>
      </c>
      <c r="J208" s="1" t="str">
        <f t="shared" si="4"/>
        <v>T8</v>
      </c>
      <c r="K208" s="1">
        <v>17</v>
      </c>
      <c r="L208" s="1" t="s">
        <v>112</v>
      </c>
      <c r="M208" s="1">
        <v>1</v>
      </c>
      <c r="N208" s="1" t="s">
        <v>149</v>
      </c>
      <c r="O208" s="1" t="s">
        <v>320</v>
      </c>
      <c r="R208" t="b">
        <f>IF(COUNTBLANK(Master_Reference[[#This Row],[C-Flex 3000K Eco Part Number]:[C-Flex 4000K Eco Part Number]])=3,FALSE,TRUE)</f>
        <v>1</v>
      </c>
      <c r="S208" t="b">
        <f>IF(COUNTBLANK(Master_Reference[[#This Row],[C-Flex 3000K 3W Part Number]:[C-Flex 4000K 3W Part Number]])=3,FALSE,TRUE)</f>
        <v>1</v>
      </c>
      <c r="T208" t="b">
        <f>IF(COUNTBLANK(Master_Reference[[#This Row],[Lutron 3000K Eco Part Number]:[Lutron 4000K Eco Part Number]])=3,FALSE,TRUE)</f>
        <v>1</v>
      </c>
      <c r="U208" t="b">
        <f>IF(COUNTBLANK(Master_Reference[[#This Row],[Lutron 3000K 3W Part Number]:[Lutron 4000K 3W Part Number]])=3,FALSE,TRUE)</f>
        <v>1</v>
      </c>
      <c r="V208" s="12" t="s">
        <v>462</v>
      </c>
      <c r="W208" s="12" t="s">
        <v>463</v>
      </c>
      <c r="X208" s="12" t="s">
        <v>464</v>
      </c>
      <c r="Y208" t="s">
        <v>1735</v>
      </c>
      <c r="Z208" s="12" t="s">
        <v>240</v>
      </c>
      <c r="AA208" s="12" t="s">
        <v>241</v>
      </c>
      <c r="AB208" s="12" t="s">
        <v>242</v>
      </c>
      <c r="AC208" t="s">
        <v>1823</v>
      </c>
      <c r="AD208" t="str">
        <f>SUBSTITUTE(Master_Reference[[#This Row],[C-Flex 4000K Eco Part Number]],"40-","xx-")</f>
        <v>RP-T8-2FT-1L-8xx-E1-M-G2</v>
      </c>
      <c r="AE208" t="str">
        <f>SUBSTITUTE(Master_Reference[[#This Row],[C-Flex 4000K 3W Part Number]],"40-","xx-")</f>
        <v>RP-T8-2FT-1L-8xx-3W-M-G2</v>
      </c>
      <c r="AF208" s="1" t="str">
        <f>_xlfn.IFNA(VLOOKUP(Master_Reference[[#This Row],[C-Flex 3000K Eco Part Number]],Lutron_CFlex_Lookup[],MATCH("Lutron Kit PN",Lutron_CFlex_Lookup[#Headers],0),FALSE),"")</f>
        <v>ELD2T8-1M30-q</v>
      </c>
      <c r="AG208" s="1" t="str">
        <f>_xlfn.IFNA(VLOOKUP(Master_Reference[[#This Row],[C-Flex 3500K Eco Part Number]],Lutron_CFlex_Lookup[],MATCH("Lutron Kit PN",Lutron_CFlex_Lookup[#Headers],0),FALSE),"")</f>
        <v>ELD2T8-1M35-q</v>
      </c>
      <c r="AH208" s="1" t="str">
        <f>_xlfn.IFNA(VLOOKUP(Master_Reference[[#This Row],[C-Flex 4000K Eco Part Number]],Lutron_CFlex_Lookup[],MATCH("Lutron Kit PN",Lutron_CFlex_Lookup[#Headers],0),FALSE),"")</f>
        <v>ELD2T8-1M40-q</v>
      </c>
      <c r="AI208" s="1" t="str">
        <f>_xlfn.IFNA(VLOOKUP(Master_Reference[[#This Row],[C-Flex 5000K Eco Part Number]],Lutron_CFlex_Lookup[],MATCH("Lutron Kit PN",Lutron_CFlex_Lookup[#Headers],0),FALSE),"")</f>
        <v>ELD2T8-1M50-q</v>
      </c>
      <c r="AJ208" s="1" t="str">
        <f>_xlfn.IFNA(VLOOKUP(Master_Reference[[#This Row],[C-Flex 3000K 3W Part Number]],Lutron_CFlex_Lookup[],MATCH("Lutron Kit PN",Lutron_CFlex_Lookup[#Headers],0),FALSE),"")</f>
        <v>3LD2T8-1M30-q</v>
      </c>
      <c r="AK208" s="1" t="str">
        <f>_xlfn.IFNA(VLOOKUP(Master_Reference[[#This Row],[C-Flex 3500K 3W Part Number]],Lutron_CFlex_Lookup[],MATCH("Lutron Kit PN",Lutron_CFlex_Lookup[#Headers],0),FALSE),"")</f>
        <v>3LD2T8-1M35-q</v>
      </c>
      <c r="AL208" s="1" t="str">
        <f>_xlfn.IFNA(VLOOKUP(Master_Reference[[#This Row],[C-Flex 4000K 3W Part Number]],Lutron_CFlex_Lookup[],MATCH("Lutron Kit PN",Lutron_CFlex_Lookup[#Headers],0),FALSE),"")</f>
        <v>3LD2T8-1M40-q</v>
      </c>
      <c r="AM208" s="1" t="str">
        <f>_xlfn.IFNA(VLOOKUP(Master_Reference[[#This Row],[C-Flex 5000K 3W Part Number]],Lutron_CFlex_Lookup[],MATCH("Lutron Kit PN",Lutron_CFlex_Lookup[#Headers],0),FALSE),"")</f>
        <v>3LD2T8-1M50-q</v>
      </c>
      <c r="AN208" s="1" t="b">
        <f>NOT(ISNA(VLOOKUP(Master_Reference[[#This Row],[Model Number]],ObsoleteModels[],1,FALSE)))</f>
        <v>1</v>
      </c>
      <c r="AO208" s="1" t="str">
        <f>IF(LEFT(Master_Reference[[#This Row],[Model Number]],1)="U",LEFT(Master_Reference[[#This Row],[Model Number]],4),LEFT(Master_Reference[[#This Row],[Model Number]],3))</f>
        <v>EC5</v>
      </c>
    </row>
    <row r="209" spans="1:41" x14ac:dyDescent="0.25">
      <c r="A209" s="2" t="s">
        <v>473</v>
      </c>
      <c r="B209" s="1" t="b">
        <v>1</v>
      </c>
      <c r="C209" s="1" t="b">
        <v>1</v>
      </c>
      <c r="F209" s="1" t="b">
        <v>1</v>
      </c>
      <c r="G209" s="1" t="str">
        <f>IF(OR(LEFT(RIGHT(Master_Reference[[#This Row],[Model Number]],3),1)="C",LEFT(RIGHT(Master_Reference[[#This Row],[Model Number]],4),1)="C"),TRUE,"")</f>
        <v/>
      </c>
      <c r="H209" s="1" t="str">
        <f>IF(LEFT(Master_Reference[[#This Row],[Model Number]],1)="U",TRUE,"")</f>
        <v/>
      </c>
      <c r="I209" s="1" t="b">
        <f>IF(Master_Reference[[#This Row],[Lamp Type]]="T4","",IF(Master_Reference[[#This Row],[Case Type]]="M","",TRUE))</f>
        <v>1</v>
      </c>
      <c r="J209" s="1" t="str">
        <f t="shared" si="4"/>
        <v>T8</v>
      </c>
      <c r="K209" s="1">
        <v>17</v>
      </c>
      <c r="L209" s="1" t="s">
        <v>112</v>
      </c>
      <c r="M209" s="1">
        <v>1</v>
      </c>
      <c r="N209" s="1" t="s">
        <v>149</v>
      </c>
      <c r="O209" s="1" t="s">
        <v>320</v>
      </c>
      <c r="Q209" s="1" t="s">
        <v>91</v>
      </c>
      <c r="R209" t="b">
        <f>IF(COUNTBLANK(Master_Reference[[#This Row],[C-Flex 3000K Eco Part Number]:[C-Flex 4000K Eco Part Number]])=3,FALSE,TRUE)</f>
        <v>0</v>
      </c>
      <c r="S209" t="b">
        <f>IF(COUNTBLANK(Master_Reference[[#This Row],[C-Flex 3000K 3W Part Number]:[C-Flex 4000K 3W Part Number]])=3,FALSE,TRUE)</f>
        <v>0</v>
      </c>
      <c r="T209" t="b">
        <f>IF(COUNTBLANK(Master_Reference[[#This Row],[Lutron 3000K Eco Part Number]:[Lutron 4000K Eco Part Number]])=3,FALSE,TRUE)</f>
        <v>0</v>
      </c>
      <c r="U209" t="b">
        <f>IF(COUNTBLANK(Master_Reference[[#This Row],[Lutron 3000K 3W Part Number]:[Lutron 4000K 3W Part Number]])=3,FALSE,TRUE)</f>
        <v>0</v>
      </c>
      <c r="V209" s="12"/>
      <c r="W209" s="12"/>
      <c r="X209" s="12"/>
      <c r="Y209" t="s">
        <v>2125</v>
      </c>
      <c r="Z209" s="12"/>
      <c r="AA209" s="12"/>
      <c r="AB209" s="12"/>
      <c r="AC209" t="s">
        <v>2125</v>
      </c>
      <c r="AD209" t="str">
        <f>SUBSTITUTE(Master_Reference[[#This Row],[C-Flex 4000K Eco Part Number]],"40-","xx-")</f>
        <v/>
      </c>
      <c r="AE209" t="str">
        <f>SUBSTITUTE(Master_Reference[[#This Row],[C-Flex 4000K 3W Part Number]],"40-","xx-")</f>
        <v/>
      </c>
      <c r="AF209" s="1" t="str">
        <f>_xlfn.IFNA(VLOOKUP(Master_Reference[[#This Row],[C-Flex 3000K Eco Part Number]],Lutron_CFlex_Lookup[],MATCH("Lutron Kit PN",Lutron_CFlex_Lookup[#Headers],0),FALSE),"")</f>
        <v/>
      </c>
      <c r="AG209" s="1" t="str">
        <f>_xlfn.IFNA(VLOOKUP(Master_Reference[[#This Row],[C-Flex 3500K Eco Part Number]],Lutron_CFlex_Lookup[],MATCH("Lutron Kit PN",Lutron_CFlex_Lookup[#Headers],0),FALSE),"")</f>
        <v/>
      </c>
      <c r="AH209" s="1" t="str">
        <f>_xlfn.IFNA(VLOOKUP(Master_Reference[[#This Row],[C-Flex 4000K Eco Part Number]],Lutron_CFlex_Lookup[],MATCH("Lutron Kit PN",Lutron_CFlex_Lookup[#Headers],0),FALSE),"")</f>
        <v/>
      </c>
      <c r="AI209" s="1" t="str">
        <f>_xlfn.IFNA(VLOOKUP(Master_Reference[[#This Row],[C-Flex 5000K Eco Part Number]],Lutron_CFlex_Lookup[],MATCH("Lutron Kit PN",Lutron_CFlex_Lookup[#Headers],0),FALSE),"")</f>
        <v/>
      </c>
      <c r="AJ209" s="1" t="str">
        <f>_xlfn.IFNA(VLOOKUP(Master_Reference[[#This Row],[C-Flex 3000K 3W Part Number]],Lutron_CFlex_Lookup[],MATCH("Lutron Kit PN",Lutron_CFlex_Lookup[#Headers],0),FALSE),"")</f>
        <v/>
      </c>
      <c r="AK209" s="1" t="str">
        <f>_xlfn.IFNA(VLOOKUP(Master_Reference[[#This Row],[C-Flex 3500K 3W Part Number]],Lutron_CFlex_Lookup[],MATCH("Lutron Kit PN",Lutron_CFlex_Lookup[#Headers],0),FALSE),"")</f>
        <v/>
      </c>
      <c r="AL209" s="1" t="str">
        <f>_xlfn.IFNA(VLOOKUP(Master_Reference[[#This Row],[C-Flex 4000K 3W Part Number]],Lutron_CFlex_Lookup[],MATCH("Lutron Kit PN",Lutron_CFlex_Lookup[#Headers],0),FALSE),"")</f>
        <v/>
      </c>
      <c r="AM209" s="1" t="str">
        <f>_xlfn.IFNA(VLOOKUP(Master_Reference[[#This Row],[C-Flex 5000K 3W Part Number]],Lutron_CFlex_Lookup[],MATCH("Lutron Kit PN",Lutron_CFlex_Lookup[#Headers],0),FALSE),"")</f>
        <v/>
      </c>
      <c r="AN209" s="1" t="b">
        <f>NOT(ISNA(VLOOKUP(Master_Reference[[#This Row],[Model Number]],ObsoleteModels[],1,FALSE)))</f>
        <v>0</v>
      </c>
      <c r="AO209" s="1" t="str">
        <f>IF(LEFT(Master_Reference[[#This Row],[Model Number]],1)="U",LEFT(Master_Reference[[#This Row],[Model Number]],4),LEFT(Master_Reference[[#This Row],[Model Number]],3))</f>
        <v>EC5</v>
      </c>
    </row>
    <row r="210" spans="1:41" x14ac:dyDescent="0.25">
      <c r="A210" s="2" t="s">
        <v>474</v>
      </c>
      <c r="B210" s="1" t="b">
        <v>1</v>
      </c>
      <c r="C210" s="1" t="b">
        <v>1</v>
      </c>
      <c r="F210" s="1" t="b">
        <v>1</v>
      </c>
      <c r="G210" s="1" t="str">
        <f>IF(OR(LEFT(RIGHT(Master_Reference[[#This Row],[Model Number]],3),1)="C",LEFT(RIGHT(Master_Reference[[#This Row],[Model Number]],4),1)="C"),TRUE,"")</f>
        <v/>
      </c>
      <c r="H210" s="1" t="str">
        <f>IF(LEFT(Master_Reference[[#This Row],[Model Number]],1)="U",TRUE,"")</f>
        <v/>
      </c>
      <c r="I210" s="1" t="b">
        <f>IF(Master_Reference[[#This Row],[Lamp Type]]="T4","",IF(Master_Reference[[#This Row],[Case Type]]="M","",TRUE))</f>
        <v>1</v>
      </c>
      <c r="J210" s="1" t="str">
        <f t="shared" si="4"/>
        <v>T8</v>
      </c>
      <c r="K210" s="1">
        <v>17</v>
      </c>
      <c r="L210" s="1" t="s">
        <v>112</v>
      </c>
      <c r="M210" s="1">
        <v>2</v>
      </c>
      <c r="N210" s="1" t="s">
        <v>149</v>
      </c>
      <c r="O210" s="1" t="s">
        <v>320</v>
      </c>
      <c r="R210" t="b">
        <f>IF(COUNTBLANK(Master_Reference[[#This Row],[C-Flex 3000K Eco Part Number]:[C-Flex 4000K Eco Part Number]])=3,FALSE,TRUE)</f>
        <v>1</v>
      </c>
      <c r="S210" t="b">
        <f>IF(COUNTBLANK(Master_Reference[[#This Row],[C-Flex 3000K 3W Part Number]:[C-Flex 4000K 3W Part Number]])=3,FALSE,TRUE)</f>
        <v>1</v>
      </c>
      <c r="T210" t="b">
        <f>IF(COUNTBLANK(Master_Reference[[#This Row],[Lutron 3000K Eco Part Number]:[Lutron 4000K Eco Part Number]])=3,FALSE,TRUE)</f>
        <v>1</v>
      </c>
      <c r="U210" t="b">
        <f>IF(COUNTBLANK(Master_Reference[[#This Row],[Lutron 3000K 3W Part Number]:[Lutron 4000K 3W Part Number]])=3,FALSE,TRUE)</f>
        <v>1</v>
      </c>
      <c r="V210" s="12" t="s">
        <v>466</v>
      </c>
      <c r="W210" s="12" t="s">
        <v>467</v>
      </c>
      <c r="X210" s="12" t="s">
        <v>468</v>
      </c>
      <c r="Y210" t="s">
        <v>1736</v>
      </c>
      <c r="Z210" s="12" t="s">
        <v>244</v>
      </c>
      <c r="AA210" s="12" t="s">
        <v>245</v>
      </c>
      <c r="AB210" s="12" t="s">
        <v>246</v>
      </c>
      <c r="AC210" t="s">
        <v>1824</v>
      </c>
      <c r="AD210" t="str">
        <f>SUBSTITUTE(Master_Reference[[#This Row],[C-Flex 4000K Eco Part Number]],"40-","xx-")</f>
        <v>RP-T8-2FT-2L-8xx-E1-M-G2</v>
      </c>
      <c r="AE210" t="str">
        <f>SUBSTITUTE(Master_Reference[[#This Row],[C-Flex 4000K 3W Part Number]],"40-","xx-")</f>
        <v>RP-T8-2FT-2L-8xx-3W-M-G2</v>
      </c>
      <c r="AF210" s="1" t="str">
        <f>_xlfn.IFNA(VLOOKUP(Master_Reference[[#This Row],[C-Flex 3000K Eco Part Number]],Lutron_CFlex_Lookup[],MATCH("Lutron Kit PN",Lutron_CFlex_Lookup[#Headers],0),FALSE),"")</f>
        <v>ELD2T8-2M30-q</v>
      </c>
      <c r="AG210" s="1" t="str">
        <f>_xlfn.IFNA(VLOOKUP(Master_Reference[[#This Row],[C-Flex 3500K Eco Part Number]],Lutron_CFlex_Lookup[],MATCH("Lutron Kit PN",Lutron_CFlex_Lookup[#Headers],0),FALSE),"")</f>
        <v>ELD2T8-2M35-q</v>
      </c>
      <c r="AH210" s="1" t="str">
        <f>_xlfn.IFNA(VLOOKUP(Master_Reference[[#This Row],[C-Flex 4000K Eco Part Number]],Lutron_CFlex_Lookup[],MATCH("Lutron Kit PN",Lutron_CFlex_Lookup[#Headers],0),FALSE),"")</f>
        <v>ELD2T8-2M40-q</v>
      </c>
      <c r="AI210" s="1" t="str">
        <f>_xlfn.IFNA(VLOOKUP(Master_Reference[[#This Row],[C-Flex 5000K Eco Part Number]],Lutron_CFlex_Lookup[],MATCH("Lutron Kit PN",Lutron_CFlex_Lookup[#Headers],0),FALSE),"")</f>
        <v>ELD2T8-2M50-q</v>
      </c>
      <c r="AJ210" s="1" t="str">
        <f>_xlfn.IFNA(VLOOKUP(Master_Reference[[#This Row],[C-Flex 3000K 3W Part Number]],Lutron_CFlex_Lookup[],MATCH("Lutron Kit PN",Lutron_CFlex_Lookup[#Headers],0),FALSE),"")</f>
        <v>3LD2T8-2M30-q</v>
      </c>
      <c r="AK210" s="1" t="str">
        <f>_xlfn.IFNA(VLOOKUP(Master_Reference[[#This Row],[C-Flex 3500K 3W Part Number]],Lutron_CFlex_Lookup[],MATCH("Lutron Kit PN",Lutron_CFlex_Lookup[#Headers],0),FALSE),"")</f>
        <v>3LD2T8-2M35-q</v>
      </c>
      <c r="AL210" s="1" t="str">
        <f>_xlfn.IFNA(VLOOKUP(Master_Reference[[#This Row],[C-Flex 4000K 3W Part Number]],Lutron_CFlex_Lookup[],MATCH("Lutron Kit PN",Lutron_CFlex_Lookup[#Headers],0),FALSE),"")</f>
        <v>3LD2T8-2M40-q</v>
      </c>
      <c r="AM210" s="1" t="str">
        <f>_xlfn.IFNA(VLOOKUP(Master_Reference[[#This Row],[C-Flex 5000K 3W Part Number]],Lutron_CFlex_Lookup[],MATCH("Lutron Kit PN",Lutron_CFlex_Lookup[#Headers],0),FALSE),"")</f>
        <v>3LD2T8-2M50-q</v>
      </c>
      <c r="AN210" s="1" t="b">
        <f>NOT(ISNA(VLOOKUP(Master_Reference[[#This Row],[Model Number]],ObsoleteModels[],1,FALSE)))</f>
        <v>0</v>
      </c>
      <c r="AO210" s="1" t="str">
        <f>IF(LEFT(Master_Reference[[#This Row],[Model Number]],1)="U",LEFT(Master_Reference[[#This Row],[Model Number]],4),LEFT(Master_Reference[[#This Row],[Model Number]],3))</f>
        <v>EC5</v>
      </c>
    </row>
    <row r="211" spans="1:41" x14ac:dyDescent="0.25">
      <c r="A211" s="2" t="s">
        <v>475</v>
      </c>
      <c r="B211" s="1" t="b">
        <v>1</v>
      </c>
      <c r="C211" s="1" t="b">
        <v>1</v>
      </c>
      <c r="F211" s="1" t="b">
        <v>1</v>
      </c>
      <c r="G211" s="1" t="b">
        <f>IF(OR(LEFT(RIGHT(Master_Reference[[#This Row],[Model Number]],3),1)="C",LEFT(RIGHT(Master_Reference[[#This Row],[Model Number]],4),1)="C"),TRUE,"")</f>
        <v>1</v>
      </c>
      <c r="H211" s="1" t="str">
        <f>IF(LEFT(Master_Reference[[#This Row],[Model Number]],1)="U",TRUE,"")</f>
        <v/>
      </c>
      <c r="I211" s="1" t="b">
        <f>IF(Master_Reference[[#This Row],[Lamp Type]]="T4","",IF(Master_Reference[[#This Row],[Case Type]]="M","",TRUE))</f>
        <v>1</v>
      </c>
      <c r="J211" s="1" t="str">
        <f t="shared" si="4"/>
        <v>T8</v>
      </c>
      <c r="K211" s="1">
        <v>17</v>
      </c>
      <c r="L211" s="1" t="s">
        <v>112</v>
      </c>
      <c r="M211" s="1">
        <v>2</v>
      </c>
      <c r="N211" s="1" t="s">
        <v>149</v>
      </c>
      <c r="O211" s="1" t="s">
        <v>320</v>
      </c>
      <c r="R211" t="b">
        <f>IF(COUNTBLANK(Master_Reference[[#This Row],[C-Flex 3000K Eco Part Number]:[C-Flex 4000K Eco Part Number]])=3,FALSE,TRUE)</f>
        <v>1</v>
      </c>
      <c r="S211" t="b">
        <f>IF(COUNTBLANK(Master_Reference[[#This Row],[C-Flex 3000K 3W Part Number]:[C-Flex 4000K 3W Part Number]])=3,FALSE,TRUE)</f>
        <v>1</v>
      </c>
      <c r="T211" t="b">
        <f>IF(COUNTBLANK(Master_Reference[[#This Row],[Lutron 3000K Eco Part Number]:[Lutron 4000K Eco Part Number]])=3,FALSE,TRUE)</f>
        <v>1</v>
      </c>
      <c r="U211" t="b">
        <f>IF(COUNTBLANK(Master_Reference[[#This Row],[Lutron 3000K 3W Part Number]:[Lutron 4000K 3W Part Number]])=3,FALSE,TRUE)</f>
        <v>1</v>
      </c>
      <c r="V211" s="12" t="s">
        <v>466</v>
      </c>
      <c r="W211" s="12" t="s">
        <v>467</v>
      </c>
      <c r="X211" s="12" t="s">
        <v>468</v>
      </c>
      <c r="Y211" t="s">
        <v>1736</v>
      </c>
      <c r="Z211" s="12" t="s">
        <v>244</v>
      </c>
      <c r="AA211" s="12" t="s">
        <v>245</v>
      </c>
      <c r="AB211" s="12" t="s">
        <v>246</v>
      </c>
      <c r="AC211" t="s">
        <v>1824</v>
      </c>
      <c r="AD211" t="str">
        <f>SUBSTITUTE(Master_Reference[[#This Row],[C-Flex 4000K Eco Part Number]],"40-","xx-")</f>
        <v>RP-T8-2FT-2L-8xx-E1-M-G2</v>
      </c>
      <c r="AE211" t="str">
        <f>SUBSTITUTE(Master_Reference[[#This Row],[C-Flex 4000K 3W Part Number]],"40-","xx-")</f>
        <v>RP-T8-2FT-2L-8xx-3W-M-G2</v>
      </c>
      <c r="AF211" s="1" t="str">
        <f>_xlfn.IFNA(VLOOKUP(Master_Reference[[#This Row],[C-Flex 3000K Eco Part Number]],Lutron_CFlex_Lookup[],MATCH("Lutron Kit PN",Lutron_CFlex_Lookup[#Headers],0),FALSE),"")</f>
        <v>ELD2T8-2M30-q</v>
      </c>
      <c r="AG211" s="1" t="str">
        <f>_xlfn.IFNA(VLOOKUP(Master_Reference[[#This Row],[C-Flex 3500K Eco Part Number]],Lutron_CFlex_Lookup[],MATCH("Lutron Kit PN",Lutron_CFlex_Lookup[#Headers],0),FALSE),"")</f>
        <v>ELD2T8-2M35-q</v>
      </c>
      <c r="AH211" s="1" t="str">
        <f>_xlfn.IFNA(VLOOKUP(Master_Reference[[#This Row],[C-Flex 4000K Eco Part Number]],Lutron_CFlex_Lookup[],MATCH("Lutron Kit PN",Lutron_CFlex_Lookup[#Headers],0),FALSE),"")</f>
        <v>ELD2T8-2M40-q</v>
      </c>
      <c r="AI211" s="1" t="str">
        <f>_xlfn.IFNA(VLOOKUP(Master_Reference[[#This Row],[C-Flex 5000K Eco Part Number]],Lutron_CFlex_Lookup[],MATCH("Lutron Kit PN",Lutron_CFlex_Lookup[#Headers],0),FALSE),"")</f>
        <v>ELD2T8-2M50-q</v>
      </c>
      <c r="AJ211" s="1" t="str">
        <f>_xlfn.IFNA(VLOOKUP(Master_Reference[[#This Row],[C-Flex 3000K 3W Part Number]],Lutron_CFlex_Lookup[],MATCH("Lutron Kit PN",Lutron_CFlex_Lookup[#Headers],0),FALSE),"")</f>
        <v>3LD2T8-2M30-q</v>
      </c>
      <c r="AK211" s="1" t="str">
        <f>_xlfn.IFNA(VLOOKUP(Master_Reference[[#This Row],[C-Flex 3500K 3W Part Number]],Lutron_CFlex_Lookup[],MATCH("Lutron Kit PN",Lutron_CFlex_Lookup[#Headers],0),FALSE),"")</f>
        <v>3LD2T8-2M35-q</v>
      </c>
      <c r="AL211" s="1" t="str">
        <f>_xlfn.IFNA(VLOOKUP(Master_Reference[[#This Row],[C-Flex 4000K 3W Part Number]],Lutron_CFlex_Lookup[],MATCH("Lutron Kit PN",Lutron_CFlex_Lookup[#Headers],0),FALSE),"")</f>
        <v>3LD2T8-2M40-q</v>
      </c>
      <c r="AM211" s="1" t="str">
        <f>_xlfn.IFNA(VLOOKUP(Master_Reference[[#This Row],[C-Flex 5000K 3W Part Number]],Lutron_CFlex_Lookup[],MATCH("Lutron Kit PN",Lutron_CFlex_Lookup[#Headers],0),FALSE),"")</f>
        <v>3LD2T8-2M50-q</v>
      </c>
      <c r="AN211" s="1" t="b">
        <f>NOT(ISNA(VLOOKUP(Master_Reference[[#This Row],[Model Number]],ObsoleteModels[],1,FALSE)))</f>
        <v>1</v>
      </c>
      <c r="AO211" s="1" t="str">
        <f>IF(LEFT(Master_Reference[[#This Row],[Model Number]],1)="U",LEFT(Master_Reference[[#This Row],[Model Number]],4),LEFT(Master_Reference[[#This Row],[Model Number]],3))</f>
        <v>EC5</v>
      </c>
    </row>
    <row r="212" spans="1:41" x14ac:dyDescent="0.25">
      <c r="A212" s="2" t="s">
        <v>476</v>
      </c>
      <c r="B212" s="1" t="b">
        <v>1</v>
      </c>
      <c r="C212" s="1" t="b">
        <v>1</v>
      </c>
      <c r="F212" s="1" t="b">
        <v>1</v>
      </c>
      <c r="G212" s="1" t="str">
        <f>IF(OR(LEFT(RIGHT(Master_Reference[[#This Row],[Model Number]],3),1)="C",LEFT(RIGHT(Master_Reference[[#This Row],[Model Number]],4),1)="C"),TRUE,"")</f>
        <v/>
      </c>
      <c r="H212" s="1" t="str">
        <f>IF(LEFT(Master_Reference[[#This Row],[Model Number]],1)="U",TRUE,"")</f>
        <v/>
      </c>
      <c r="I212" s="1" t="b">
        <f>IF(Master_Reference[[#This Row],[Lamp Type]]="T4","",IF(Master_Reference[[#This Row],[Case Type]]="M","",TRUE))</f>
        <v>1</v>
      </c>
      <c r="J212" s="1" t="str">
        <f t="shared" si="4"/>
        <v>T8</v>
      </c>
      <c r="K212" s="1">
        <v>17</v>
      </c>
      <c r="L212" s="1" t="s">
        <v>112</v>
      </c>
      <c r="M212" s="1">
        <v>2</v>
      </c>
      <c r="N212" s="1" t="s">
        <v>149</v>
      </c>
      <c r="O212" s="1" t="s">
        <v>320</v>
      </c>
      <c r="Q212" s="1" t="s">
        <v>91</v>
      </c>
      <c r="R212" t="b">
        <f>IF(COUNTBLANK(Master_Reference[[#This Row],[C-Flex 3000K Eco Part Number]:[C-Flex 4000K Eco Part Number]])=3,FALSE,TRUE)</f>
        <v>0</v>
      </c>
      <c r="S212" t="b">
        <f>IF(COUNTBLANK(Master_Reference[[#This Row],[C-Flex 3000K 3W Part Number]:[C-Flex 4000K 3W Part Number]])=3,FALSE,TRUE)</f>
        <v>0</v>
      </c>
      <c r="T212" t="b">
        <f>IF(COUNTBLANK(Master_Reference[[#This Row],[Lutron 3000K Eco Part Number]:[Lutron 4000K Eco Part Number]])=3,FALSE,TRUE)</f>
        <v>0</v>
      </c>
      <c r="U212" t="b">
        <f>IF(COUNTBLANK(Master_Reference[[#This Row],[Lutron 3000K 3W Part Number]:[Lutron 4000K 3W Part Number]])=3,FALSE,TRUE)</f>
        <v>0</v>
      </c>
      <c r="V212" s="12"/>
      <c r="W212" s="12"/>
      <c r="X212" s="12"/>
      <c r="Y212" t="s">
        <v>2125</v>
      </c>
      <c r="Z212" s="12"/>
      <c r="AA212" s="12"/>
      <c r="AB212" s="12"/>
      <c r="AC212" t="s">
        <v>2125</v>
      </c>
      <c r="AD212" t="str">
        <f>SUBSTITUTE(Master_Reference[[#This Row],[C-Flex 4000K Eco Part Number]],"40-","xx-")</f>
        <v/>
      </c>
      <c r="AE212" t="str">
        <f>SUBSTITUTE(Master_Reference[[#This Row],[C-Flex 4000K 3W Part Number]],"40-","xx-")</f>
        <v/>
      </c>
      <c r="AF212" s="1" t="str">
        <f>_xlfn.IFNA(VLOOKUP(Master_Reference[[#This Row],[C-Flex 3000K Eco Part Number]],Lutron_CFlex_Lookup[],MATCH("Lutron Kit PN",Lutron_CFlex_Lookup[#Headers],0),FALSE),"")</f>
        <v/>
      </c>
      <c r="AG212" s="1" t="str">
        <f>_xlfn.IFNA(VLOOKUP(Master_Reference[[#This Row],[C-Flex 3500K Eco Part Number]],Lutron_CFlex_Lookup[],MATCH("Lutron Kit PN",Lutron_CFlex_Lookup[#Headers],0),FALSE),"")</f>
        <v/>
      </c>
      <c r="AH212" s="1" t="str">
        <f>_xlfn.IFNA(VLOOKUP(Master_Reference[[#This Row],[C-Flex 4000K Eco Part Number]],Lutron_CFlex_Lookup[],MATCH("Lutron Kit PN",Lutron_CFlex_Lookup[#Headers],0),FALSE),"")</f>
        <v/>
      </c>
      <c r="AI212" s="1" t="str">
        <f>_xlfn.IFNA(VLOOKUP(Master_Reference[[#This Row],[C-Flex 5000K Eco Part Number]],Lutron_CFlex_Lookup[],MATCH("Lutron Kit PN",Lutron_CFlex_Lookup[#Headers],0),FALSE),"")</f>
        <v/>
      </c>
      <c r="AJ212" s="1" t="str">
        <f>_xlfn.IFNA(VLOOKUP(Master_Reference[[#This Row],[C-Flex 3000K 3W Part Number]],Lutron_CFlex_Lookup[],MATCH("Lutron Kit PN",Lutron_CFlex_Lookup[#Headers],0),FALSE),"")</f>
        <v/>
      </c>
      <c r="AK212" s="1" t="str">
        <f>_xlfn.IFNA(VLOOKUP(Master_Reference[[#This Row],[C-Flex 3500K 3W Part Number]],Lutron_CFlex_Lookup[],MATCH("Lutron Kit PN",Lutron_CFlex_Lookup[#Headers],0),FALSE),"")</f>
        <v/>
      </c>
      <c r="AL212" s="1" t="str">
        <f>_xlfn.IFNA(VLOOKUP(Master_Reference[[#This Row],[C-Flex 4000K 3W Part Number]],Lutron_CFlex_Lookup[],MATCH("Lutron Kit PN",Lutron_CFlex_Lookup[#Headers],0),FALSE),"")</f>
        <v/>
      </c>
      <c r="AM212" s="1" t="str">
        <f>_xlfn.IFNA(VLOOKUP(Master_Reference[[#This Row],[C-Flex 5000K 3W Part Number]],Lutron_CFlex_Lookup[],MATCH("Lutron Kit PN",Lutron_CFlex_Lookup[#Headers],0),FALSE),"")</f>
        <v/>
      </c>
      <c r="AN212" s="1" t="b">
        <f>NOT(ISNA(VLOOKUP(Master_Reference[[#This Row],[Model Number]],ObsoleteModels[],1,FALSE)))</f>
        <v>0</v>
      </c>
      <c r="AO212" s="1" t="str">
        <f>IF(LEFT(Master_Reference[[#This Row],[Model Number]],1)="U",LEFT(Master_Reference[[#This Row],[Model Number]],4),LEFT(Master_Reference[[#This Row],[Model Number]],3))</f>
        <v>EC5</v>
      </c>
    </row>
    <row r="213" spans="1:41" x14ac:dyDescent="0.25">
      <c r="A213" s="2" t="s">
        <v>477</v>
      </c>
      <c r="B213" s="1" t="b">
        <v>1</v>
      </c>
      <c r="C213" s="1" t="b">
        <v>1</v>
      </c>
      <c r="F213" s="1" t="b">
        <v>1</v>
      </c>
      <c r="G213" s="1" t="str">
        <f>IF(OR(LEFT(RIGHT(Master_Reference[[#This Row],[Model Number]],3),1)="C",LEFT(RIGHT(Master_Reference[[#This Row],[Model Number]],4),1)="C"),TRUE,"")</f>
        <v/>
      </c>
      <c r="H213" s="1" t="str">
        <f>IF(LEFT(Master_Reference[[#This Row],[Model Number]],1)="U",TRUE,"")</f>
        <v/>
      </c>
      <c r="I213" s="1" t="b">
        <f>IF(Master_Reference[[#This Row],[Lamp Type]]="T4","",IF(Master_Reference[[#This Row],[Case Type]]="M","",TRUE))</f>
        <v>1</v>
      </c>
      <c r="J213" s="1" t="str">
        <f t="shared" si="4"/>
        <v>T8</v>
      </c>
      <c r="K213" s="1">
        <v>25</v>
      </c>
      <c r="L213" s="1" t="s">
        <v>115</v>
      </c>
      <c r="M213" s="1">
        <v>1</v>
      </c>
      <c r="N213" s="1">
        <v>120</v>
      </c>
      <c r="O213" s="1" t="s">
        <v>320</v>
      </c>
      <c r="R213" t="b">
        <f>IF(COUNTBLANK(Master_Reference[[#This Row],[C-Flex 3000K Eco Part Number]:[C-Flex 4000K Eco Part Number]])=3,FALSE,TRUE)</f>
        <v>1</v>
      </c>
      <c r="S213" t="b">
        <f>IF(COUNTBLANK(Master_Reference[[#This Row],[C-Flex 3000K 3W Part Number]:[C-Flex 4000K 3W Part Number]])=3,FALSE,TRUE)</f>
        <v>1</v>
      </c>
      <c r="T213" t="b">
        <f>IF(COUNTBLANK(Master_Reference[[#This Row],[Lutron 3000K Eco Part Number]:[Lutron 4000K Eco Part Number]])=3,FALSE,TRUE)</f>
        <v>1</v>
      </c>
      <c r="U213" t="b">
        <f>IF(COUNTBLANK(Master_Reference[[#This Row],[Lutron 3000K 3W Part Number]:[Lutron 4000K 3W Part Number]])=3,FALSE,TRUE)</f>
        <v>1</v>
      </c>
      <c r="V213" s="12" t="s">
        <v>478</v>
      </c>
      <c r="W213" s="12" t="s">
        <v>479</v>
      </c>
      <c r="X213" s="12" t="s">
        <v>480</v>
      </c>
      <c r="Y213" t="s">
        <v>1738</v>
      </c>
      <c r="Z213" s="12" t="s">
        <v>255</v>
      </c>
      <c r="AA213" s="12" t="s">
        <v>256</v>
      </c>
      <c r="AB213" s="12" t="s">
        <v>257</v>
      </c>
      <c r="AC213" t="s">
        <v>1826</v>
      </c>
      <c r="AD213" t="str">
        <f>SUBSTITUTE(Master_Reference[[#This Row],[C-Flex 4000K Eco Part Number]],"40-","xx-")</f>
        <v>RP-T8-3FT-1L-8xx-E1-M-G2</v>
      </c>
      <c r="AE213" t="str">
        <f>SUBSTITUTE(Master_Reference[[#This Row],[C-Flex 4000K 3W Part Number]],"40-","xx-")</f>
        <v>RP-T8-3FT-1L-8xx-3W-M-G2</v>
      </c>
      <c r="AF213" s="1" t="str">
        <f>_xlfn.IFNA(VLOOKUP(Master_Reference[[#This Row],[C-Flex 3000K Eco Part Number]],Lutron_CFlex_Lookup[],MATCH("Lutron Kit PN",Lutron_CFlex_Lookup[#Headers],0),FALSE),"")</f>
        <v>ELD3T8-1M30-q</v>
      </c>
      <c r="AG213" s="1" t="str">
        <f>_xlfn.IFNA(VLOOKUP(Master_Reference[[#This Row],[C-Flex 3500K Eco Part Number]],Lutron_CFlex_Lookup[],MATCH("Lutron Kit PN",Lutron_CFlex_Lookup[#Headers],0),FALSE),"")</f>
        <v>ELD3T8-1M35-q</v>
      </c>
      <c r="AH213" s="1" t="str">
        <f>_xlfn.IFNA(VLOOKUP(Master_Reference[[#This Row],[C-Flex 4000K Eco Part Number]],Lutron_CFlex_Lookup[],MATCH("Lutron Kit PN",Lutron_CFlex_Lookup[#Headers],0),FALSE),"")</f>
        <v>ELD3T8-1M40-q</v>
      </c>
      <c r="AI213" s="1" t="str">
        <f>_xlfn.IFNA(VLOOKUP(Master_Reference[[#This Row],[C-Flex 5000K Eco Part Number]],Lutron_CFlex_Lookup[],MATCH("Lutron Kit PN",Lutron_CFlex_Lookup[#Headers],0),FALSE),"")</f>
        <v>ELD3T8-1M50-q</v>
      </c>
      <c r="AJ213" s="1" t="str">
        <f>_xlfn.IFNA(VLOOKUP(Master_Reference[[#This Row],[C-Flex 3000K 3W Part Number]],Lutron_CFlex_Lookup[],MATCH("Lutron Kit PN",Lutron_CFlex_Lookup[#Headers],0),FALSE),"")</f>
        <v>3LD3T8-1M30-q</v>
      </c>
      <c r="AK213" s="1" t="str">
        <f>_xlfn.IFNA(VLOOKUP(Master_Reference[[#This Row],[C-Flex 3500K 3W Part Number]],Lutron_CFlex_Lookup[],MATCH("Lutron Kit PN",Lutron_CFlex_Lookup[#Headers],0),FALSE),"")</f>
        <v>3LD3T8-1M35-q</v>
      </c>
      <c r="AL213" s="1" t="str">
        <f>_xlfn.IFNA(VLOOKUP(Master_Reference[[#This Row],[C-Flex 4000K 3W Part Number]],Lutron_CFlex_Lookup[],MATCH("Lutron Kit PN",Lutron_CFlex_Lookup[#Headers],0),FALSE),"")</f>
        <v>3LD3T8-1M40-q</v>
      </c>
      <c r="AM213" s="1" t="str">
        <f>_xlfn.IFNA(VLOOKUP(Master_Reference[[#This Row],[C-Flex 5000K 3W Part Number]],Lutron_CFlex_Lookup[],MATCH("Lutron Kit PN",Lutron_CFlex_Lookup[#Headers],0),FALSE),"")</f>
        <v>3LD3T8-1M50-q</v>
      </c>
      <c r="AN213" s="1" t="b">
        <f>NOT(ISNA(VLOOKUP(Master_Reference[[#This Row],[Model Number]],ObsoleteModels[],1,FALSE)))</f>
        <v>1</v>
      </c>
      <c r="AO213" s="1" t="str">
        <f>IF(LEFT(Master_Reference[[#This Row],[Model Number]],1)="U",LEFT(Master_Reference[[#This Row],[Model Number]],4),LEFT(Master_Reference[[#This Row],[Model Number]],3))</f>
        <v>EC5</v>
      </c>
    </row>
    <row r="214" spans="1:41" x14ac:dyDescent="0.25">
      <c r="A214" s="2" t="s">
        <v>481</v>
      </c>
      <c r="B214" s="1" t="b">
        <v>1</v>
      </c>
      <c r="C214" s="1" t="b">
        <v>1</v>
      </c>
      <c r="F214" s="1" t="b">
        <v>1</v>
      </c>
      <c r="G214" s="1" t="str">
        <f>IF(OR(LEFT(RIGHT(Master_Reference[[#This Row],[Model Number]],3),1)="C",LEFT(RIGHT(Master_Reference[[#This Row],[Model Number]],4),1)="C"),TRUE,"")</f>
        <v/>
      </c>
      <c r="H214" s="1" t="str">
        <f>IF(LEFT(Master_Reference[[#This Row],[Model Number]],1)="U",TRUE,"")</f>
        <v/>
      </c>
      <c r="I214" s="1" t="b">
        <f>IF(Master_Reference[[#This Row],[Lamp Type]]="T4","",IF(Master_Reference[[#This Row],[Case Type]]="M","",TRUE))</f>
        <v>1</v>
      </c>
      <c r="J214" s="1" t="str">
        <f t="shared" si="4"/>
        <v>T8</v>
      </c>
      <c r="K214" s="1">
        <v>25</v>
      </c>
      <c r="L214" s="1" t="s">
        <v>115</v>
      </c>
      <c r="M214" s="1">
        <v>2</v>
      </c>
      <c r="N214" s="1">
        <v>120</v>
      </c>
      <c r="O214" s="1" t="s">
        <v>320</v>
      </c>
      <c r="R214" t="b">
        <f>IF(COUNTBLANK(Master_Reference[[#This Row],[C-Flex 3000K Eco Part Number]:[C-Flex 4000K Eco Part Number]])=3,FALSE,TRUE)</f>
        <v>1</v>
      </c>
      <c r="S214" t="b">
        <f>IF(COUNTBLANK(Master_Reference[[#This Row],[C-Flex 3000K 3W Part Number]:[C-Flex 4000K 3W Part Number]])=3,FALSE,TRUE)</f>
        <v>1</v>
      </c>
      <c r="T214" t="b">
        <f>IF(COUNTBLANK(Master_Reference[[#This Row],[Lutron 3000K Eco Part Number]:[Lutron 4000K Eco Part Number]])=3,FALSE,TRUE)</f>
        <v>1</v>
      </c>
      <c r="U214" t="b">
        <f>IF(COUNTBLANK(Master_Reference[[#This Row],[Lutron 3000K 3W Part Number]:[Lutron 4000K 3W Part Number]])=3,FALSE,TRUE)</f>
        <v>1</v>
      </c>
      <c r="V214" s="12" t="s">
        <v>482</v>
      </c>
      <c r="W214" s="12" t="s">
        <v>483</v>
      </c>
      <c r="X214" s="12" t="s">
        <v>484</v>
      </c>
      <c r="Y214" t="s">
        <v>1739</v>
      </c>
      <c r="Z214" s="12" t="s">
        <v>259</v>
      </c>
      <c r="AA214" s="12" t="s">
        <v>260</v>
      </c>
      <c r="AB214" s="12" t="s">
        <v>261</v>
      </c>
      <c r="AC214" t="s">
        <v>1827</v>
      </c>
      <c r="AD214" t="str">
        <f>SUBSTITUTE(Master_Reference[[#This Row],[C-Flex 4000K Eco Part Number]],"40-","xx-")</f>
        <v>RP-T8-3FT-2L-8xx-E1-M-G2</v>
      </c>
      <c r="AE214" t="str">
        <f>SUBSTITUTE(Master_Reference[[#This Row],[C-Flex 4000K 3W Part Number]],"40-","xx-")</f>
        <v>RP-T8-3FT-2L-8xx-3W-M-G2</v>
      </c>
      <c r="AF214" s="1" t="str">
        <f>_xlfn.IFNA(VLOOKUP(Master_Reference[[#This Row],[C-Flex 3000K Eco Part Number]],Lutron_CFlex_Lookup[],MATCH("Lutron Kit PN",Lutron_CFlex_Lookup[#Headers],0),FALSE),"")</f>
        <v>ELD3T8-2M30-q</v>
      </c>
      <c r="AG214" s="1" t="str">
        <f>_xlfn.IFNA(VLOOKUP(Master_Reference[[#This Row],[C-Flex 3500K Eco Part Number]],Lutron_CFlex_Lookup[],MATCH("Lutron Kit PN",Lutron_CFlex_Lookup[#Headers],0),FALSE),"")</f>
        <v>ELD3T8-2M35-q</v>
      </c>
      <c r="AH214" s="1" t="str">
        <f>_xlfn.IFNA(VLOOKUP(Master_Reference[[#This Row],[C-Flex 4000K Eco Part Number]],Lutron_CFlex_Lookup[],MATCH("Lutron Kit PN",Lutron_CFlex_Lookup[#Headers],0),FALSE),"")</f>
        <v>ELD3T8-2M40-q</v>
      </c>
      <c r="AI214" s="1" t="str">
        <f>_xlfn.IFNA(VLOOKUP(Master_Reference[[#This Row],[C-Flex 5000K Eco Part Number]],Lutron_CFlex_Lookup[],MATCH("Lutron Kit PN",Lutron_CFlex_Lookup[#Headers],0),FALSE),"")</f>
        <v>ELD3T8-2M50-q</v>
      </c>
      <c r="AJ214" s="1" t="str">
        <f>_xlfn.IFNA(VLOOKUP(Master_Reference[[#This Row],[C-Flex 3000K 3W Part Number]],Lutron_CFlex_Lookup[],MATCH("Lutron Kit PN",Lutron_CFlex_Lookup[#Headers],0),FALSE),"")</f>
        <v>3LD3T8-2M30-q</v>
      </c>
      <c r="AK214" s="1" t="str">
        <f>_xlfn.IFNA(VLOOKUP(Master_Reference[[#This Row],[C-Flex 3500K 3W Part Number]],Lutron_CFlex_Lookup[],MATCH("Lutron Kit PN",Lutron_CFlex_Lookup[#Headers],0),FALSE),"")</f>
        <v>3LD3T8-2M35-q</v>
      </c>
      <c r="AL214" s="1" t="str">
        <f>_xlfn.IFNA(VLOOKUP(Master_Reference[[#This Row],[C-Flex 4000K 3W Part Number]],Lutron_CFlex_Lookup[],MATCH("Lutron Kit PN",Lutron_CFlex_Lookup[#Headers],0),FALSE),"")</f>
        <v>3LD3T8-2M40-q</v>
      </c>
      <c r="AM214" s="1" t="str">
        <f>_xlfn.IFNA(VLOOKUP(Master_Reference[[#This Row],[C-Flex 5000K 3W Part Number]],Lutron_CFlex_Lookup[],MATCH("Lutron Kit PN",Lutron_CFlex_Lookup[#Headers],0),FALSE),"")</f>
        <v>3LD3T8-2M50-q</v>
      </c>
      <c r="AN214" s="1" t="b">
        <f>NOT(ISNA(VLOOKUP(Master_Reference[[#This Row],[Model Number]],ObsoleteModels[],1,FALSE)))</f>
        <v>1</v>
      </c>
      <c r="AO214" s="1" t="str">
        <f>IF(LEFT(Master_Reference[[#This Row],[Model Number]],1)="U",LEFT(Master_Reference[[#This Row],[Model Number]],4),LEFT(Master_Reference[[#This Row],[Model Number]],3))</f>
        <v>EC5</v>
      </c>
    </row>
    <row r="215" spans="1:41" x14ac:dyDescent="0.25">
      <c r="A215" s="2" t="s">
        <v>485</v>
      </c>
      <c r="B215" s="1" t="b">
        <v>1</v>
      </c>
      <c r="C215" s="1" t="b">
        <v>1</v>
      </c>
      <c r="F215" s="1" t="b">
        <v>1</v>
      </c>
      <c r="G215" s="1" t="str">
        <f>IF(OR(LEFT(RIGHT(Master_Reference[[#This Row],[Model Number]],3),1)="C",LEFT(RIGHT(Master_Reference[[#This Row],[Model Number]],4),1)="C"),TRUE,"")</f>
        <v/>
      </c>
      <c r="H215" s="1" t="str">
        <f>IF(LEFT(Master_Reference[[#This Row],[Model Number]],1)="U",TRUE,"")</f>
        <v/>
      </c>
      <c r="I215" s="1" t="b">
        <f>IF(Master_Reference[[#This Row],[Lamp Type]]="T4","",IF(Master_Reference[[#This Row],[Case Type]]="M","",TRUE))</f>
        <v>1</v>
      </c>
      <c r="J215" s="1" t="str">
        <f t="shared" si="4"/>
        <v>T8</v>
      </c>
      <c r="K215" s="1">
        <v>25</v>
      </c>
      <c r="L215" s="1" t="s">
        <v>115</v>
      </c>
      <c r="M215" s="1">
        <v>1</v>
      </c>
      <c r="N215" s="1">
        <v>277</v>
      </c>
      <c r="O215" s="1" t="s">
        <v>320</v>
      </c>
      <c r="R215" t="b">
        <f>IF(COUNTBLANK(Master_Reference[[#This Row],[C-Flex 3000K Eco Part Number]:[C-Flex 4000K Eco Part Number]])=3,FALSE,TRUE)</f>
        <v>1</v>
      </c>
      <c r="S215" t="b">
        <f>IF(COUNTBLANK(Master_Reference[[#This Row],[C-Flex 3000K 3W Part Number]:[C-Flex 4000K 3W Part Number]])=3,FALSE,TRUE)</f>
        <v>1</v>
      </c>
      <c r="T215" t="b">
        <f>IF(COUNTBLANK(Master_Reference[[#This Row],[Lutron 3000K Eco Part Number]:[Lutron 4000K Eco Part Number]])=3,FALSE,TRUE)</f>
        <v>1</v>
      </c>
      <c r="U215" t="b">
        <f>IF(COUNTBLANK(Master_Reference[[#This Row],[Lutron 3000K 3W Part Number]:[Lutron 4000K 3W Part Number]])=3,FALSE,TRUE)</f>
        <v>1</v>
      </c>
      <c r="V215" s="12" t="s">
        <v>478</v>
      </c>
      <c r="W215" s="12" t="s">
        <v>479</v>
      </c>
      <c r="X215" s="12" t="s">
        <v>480</v>
      </c>
      <c r="Y215" t="s">
        <v>1738</v>
      </c>
      <c r="Z215" s="12" t="s">
        <v>255</v>
      </c>
      <c r="AA215" s="12" t="s">
        <v>256</v>
      </c>
      <c r="AB215" s="12" t="s">
        <v>257</v>
      </c>
      <c r="AC215" t="s">
        <v>1826</v>
      </c>
      <c r="AD215" t="str">
        <f>SUBSTITUTE(Master_Reference[[#This Row],[C-Flex 4000K Eco Part Number]],"40-","xx-")</f>
        <v>RP-T8-3FT-1L-8xx-E1-M-G2</v>
      </c>
      <c r="AE215" t="str">
        <f>SUBSTITUTE(Master_Reference[[#This Row],[C-Flex 4000K 3W Part Number]],"40-","xx-")</f>
        <v>RP-T8-3FT-1L-8xx-3W-M-G2</v>
      </c>
      <c r="AF215" s="1" t="str">
        <f>_xlfn.IFNA(VLOOKUP(Master_Reference[[#This Row],[C-Flex 3000K Eco Part Number]],Lutron_CFlex_Lookup[],MATCH("Lutron Kit PN",Lutron_CFlex_Lookup[#Headers],0),FALSE),"")</f>
        <v>ELD3T8-1M30-q</v>
      </c>
      <c r="AG215" s="1" t="str">
        <f>_xlfn.IFNA(VLOOKUP(Master_Reference[[#This Row],[C-Flex 3500K Eco Part Number]],Lutron_CFlex_Lookup[],MATCH("Lutron Kit PN",Lutron_CFlex_Lookup[#Headers],0),FALSE),"")</f>
        <v>ELD3T8-1M35-q</v>
      </c>
      <c r="AH215" s="1" t="str">
        <f>_xlfn.IFNA(VLOOKUP(Master_Reference[[#This Row],[C-Flex 4000K Eco Part Number]],Lutron_CFlex_Lookup[],MATCH("Lutron Kit PN",Lutron_CFlex_Lookup[#Headers],0),FALSE),"")</f>
        <v>ELD3T8-1M40-q</v>
      </c>
      <c r="AI215" s="1" t="str">
        <f>_xlfn.IFNA(VLOOKUP(Master_Reference[[#This Row],[C-Flex 5000K Eco Part Number]],Lutron_CFlex_Lookup[],MATCH("Lutron Kit PN",Lutron_CFlex_Lookup[#Headers],0),FALSE),"")</f>
        <v>ELD3T8-1M50-q</v>
      </c>
      <c r="AJ215" s="1" t="str">
        <f>_xlfn.IFNA(VLOOKUP(Master_Reference[[#This Row],[C-Flex 3000K 3W Part Number]],Lutron_CFlex_Lookup[],MATCH("Lutron Kit PN",Lutron_CFlex_Lookup[#Headers],0),FALSE),"")</f>
        <v>3LD3T8-1M30-q</v>
      </c>
      <c r="AK215" s="1" t="str">
        <f>_xlfn.IFNA(VLOOKUP(Master_Reference[[#This Row],[C-Flex 3500K 3W Part Number]],Lutron_CFlex_Lookup[],MATCH("Lutron Kit PN",Lutron_CFlex_Lookup[#Headers],0),FALSE),"")</f>
        <v>3LD3T8-1M35-q</v>
      </c>
      <c r="AL215" s="1" t="str">
        <f>_xlfn.IFNA(VLOOKUP(Master_Reference[[#This Row],[C-Flex 4000K 3W Part Number]],Lutron_CFlex_Lookup[],MATCH("Lutron Kit PN",Lutron_CFlex_Lookup[#Headers],0),FALSE),"")</f>
        <v>3LD3T8-1M40-q</v>
      </c>
      <c r="AM215" s="1" t="str">
        <f>_xlfn.IFNA(VLOOKUP(Master_Reference[[#This Row],[C-Flex 5000K 3W Part Number]],Lutron_CFlex_Lookup[],MATCH("Lutron Kit PN",Lutron_CFlex_Lookup[#Headers],0),FALSE),"")</f>
        <v>3LD3T8-1M50-q</v>
      </c>
      <c r="AN215" s="1" t="b">
        <f>NOT(ISNA(VLOOKUP(Master_Reference[[#This Row],[Model Number]],ObsoleteModels[],1,FALSE)))</f>
        <v>1</v>
      </c>
      <c r="AO215" s="1" t="str">
        <f>IF(LEFT(Master_Reference[[#This Row],[Model Number]],1)="U",LEFT(Master_Reference[[#This Row],[Model Number]],4),LEFT(Master_Reference[[#This Row],[Model Number]],3))</f>
        <v>EC5</v>
      </c>
    </row>
    <row r="216" spans="1:41" x14ac:dyDescent="0.25">
      <c r="A216" s="2" t="s">
        <v>486</v>
      </c>
      <c r="B216" s="1" t="b">
        <v>1</v>
      </c>
      <c r="C216" s="1" t="b">
        <v>1</v>
      </c>
      <c r="F216" s="1" t="b">
        <v>1</v>
      </c>
      <c r="G216" s="1" t="str">
        <f>IF(OR(LEFT(RIGHT(Master_Reference[[#This Row],[Model Number]],3),1)="C",LEFT(RIGHT(Master_Reference[[#This Row],[Model Number]],4),1)="C"),TRUE,"")</f>
        <v/>
      </c>
      <c r="H216" s="1" t="str">
        <f>IF(LEFT(Master_Reference[[#This Row],[Model Number]],1)="U",TRUE,"")</f>
        <v/>
      </c>
      <c r="I216" s="1" t="b">
        <f>IF(Master_Reference[[#This Row],[Lamp Type]]="T4","",IF(Master_Reference[[#This Row],[Case Type]]="M","",TRUE))</f>
        <v>1</v>
      </c>
      <c r="J216" s="1" t="str">
        <f t="shared" si="4"/>
        <v>T8</v>
      </c>
      <c r="K216" s="1">
        <v>25</v>
      </c>
      <c r="L216" s="1" t="s">
        <v>115</v>
      </c>
      <c r="M216" s="1">
        <v>2</v>
      </c>
      <c r="N216" s="1">
        <v>277</v>
      </c>
      <c r="O216" s="1" t="s">
        <v>320</v>
      </c>
      <c r="R216" t="b">
        <f>IF(COUNTBLANK(Master_Reference[[#This Row],[C-Flex 3000K Eco Part Number]:[C-Flex 4000K Eco Part Number]])=3,FALSE,TRUE)</f>
        <v>1</v>
      </c>
      <c r="S216" t="b">
        <f>IF(COUNTBLANK(Master_Reference[[#This Row],[C-Flex 3000K 3W Part Number]:[C-Flex 4000K 3W Part Number]])=3,FALSE,TRUE)</f>
        <v>1</v>
      </c>
      <c r="T216" t="b">
        <f>IF(COUNTBLANK(Master_Reference[[#This Row],[Lutron 3000K Eco Part Number]:[Lutron 4000K Eco Part Number]])=3,FALSE,TRUE)</f>
        <v>1</v>
      </c>
      <c r="U216" t="b">
        <f>IF(COUNTBLANK(Master_Reference[[#This Row],[Lutron 3000K 3W Part Number]:[Lutron 4000K 3W Part Number]])=3,FALSE,TRUE)</f>
        <v>1</v>
      </c>
      <c r="V216" s="12" t="s">
        <v>482</v>
      </c>
      <c r="W216" s="12" t="s">
        <v>483</v>
      </c>
      <c r="X216" s="12" t="s">
        <v>484</v>
      </c>
      <c r="Y216" t="s">
        <v>1739</v>
      </c>
      <c r="Z216" s="12" t="s">
        <v>259</v>
      </c>
      <c r="AA216" s="12" t="s">
        <v>260</v>
      </c>
      <c r="AB216" s="12" t="s">
        <v>261</v>
      </c>
      <c r="AC216" t="s">
        <v>1827</v>
      </c>
      <c r="AD216" t="str">
        <f>SUBSTITUTE(Master_Reference[[#This Row],[C-Flex 4000K Eco Part Number]],"40-","xx-")</f>
        <v>RP-T8-3FT-2L-8xx-E1-M-G2</v>
      </c>
      <c r="AE216" t="str">
        <f>SUBSTITUTE(Master_Reference[[#This Row],[C-Flex 4000K 3W Part Number]],"40-","xx-")</f>
        <v>RP-T8-3FT-2L-8xx-3W-M-G2</v>
      </c>
      <c r="AF216" s="1" t="str">
        <f>_xlfn.IFNA(VLOOKUP(Master_Reference[[#This Row],[C-Flex 3000K Eco Part Number]],Lutron_CFlex_Lookup[],MATCH("Lutron Kit PN",Lutron_CFlex_Lookup[#Headers],0),FALSE),"")</f>
        <v>ELD3T8-2M30-q</v>
      </c>
      <c r="AG216" s="1" t="str">
        <f>_xlfn.IFNA(VLOOKUP(Master_Reference[[#This Row],[C-Flex 3500K Eco Part Number]],Lutron_CFlex_Lookup[],MATCH("Lutron Kit PN",Lutron_CFlex_Lookup[#Headers],0),FALSE),"")</f>
        <v>ELD3T8-2M35-q</v>
      </c>
      <c r="AH216" s="1" t="str">
        <f>_xlfn.IFNA(VLOOKUP(Master_Reference[[#This Row],[C-Flex 4000K Eco Part Number]],Lutron_CFlex_Lookup[],MATCH("Lutron Kit PN",Lutron_CFlex_Lookup[#Headers],0),FALSE),"")</f>
        <v>ELD3T8-2M40-q</v>
      </c>
      <c r="AI216" s="1" t="str">
        <f>_xlfn.IFNA(VLOOKUP(Master_Reference[[#This Row],[C-Flex 5000K Eco Part Number]],Lutron_CFlex_Lookup[],MATCH("Lutron Kit PN",Lutron_CFlex_Lookup[#Headers],0),FALSE),"")</f>
        <v>ELD3T8-2M50-q</v>
      </c>
      <c r="AJ216" s="1" t="str">
        <f>_xlfn.IFNA(VLOOKUP(Master_Reference[[#This Row],[C-Flex 3000K 3W Part Number]],Lutron_CFlex_Lookup[],MATCH("Lutron Kit PN",Lutron_CFlex_Lookup[#Headers],0),FALSE),"")</f>
        <v>3LD3T8-2M30-q</v>
      </c>
      <c r="AK216" s="1" t="str">
        <f>_xlfn.IFNA(VLOOKUP(Master_Reference[[#This Row],[C-Flex 3500K 3W Part Number]],Lutron_CFlex_Lookup[],MATCH("Lutron Kit PN",Lutron_CFlex_Lookup[#Headers],0),FALSE),"")</f>
        <v>3LD3T8-2M35-q</v>
      </c>
      <c r="AL216" s="1" t="str">
        <f>_xlfn.IFNA(VLOOKUP(Master_Reference[[#This Row],[C-Flex 4000K 3W Part Number]],Lutron_CFlex_Lookup[],MATCH("Lutron Kit PN",Lutron_CFlex_Lookup[#Headers],0),FALSE),"")</f>
        <v>3LD3T8-2M40-q</v>
      </c>
      <c r="AM216" s="1" t="str">
        <f>_xlfn.IFNA(VLOOKUP(Master_Reference[[#This Row],[C-Flex 5000K 3W Part Number]],Lutron_CFlex_Lookup[],MATCH("Lutron Kit PN",Lutron_CFlex_Lookup[#Headers],0),FALSE),"")</f>
        <v>3LD3T8-2M50-q</v>
      </c>
      <c r="AN216" s="1" t="b">
        <f>NOT(ISNA(VLOOKUP(Master_Reference[[#This Row],[Model Number]],ObsoleteModels[],1,FALSE)))</f>
        <v>1</v>
      </c>
      <c r="AO216" s="1" t="str">
        <f>IF(LEFT(Master_Reference[[#This Row],[Model Number]],1)="U",LEFT(Master_Reference[[#This Row],[Model Number]],4),LEFT(Master_Reference[[#This Row],[Model Number]],3))</f>
        <v>EC5</v>
      </c>
    </row>
    <row r="217" spans="1:41" x14ac:dyDescent="0.25">
      <c r="A217" s="2" t="s">
        <v>487</v>
      </c>
      <c r="B217" s="1" t="b">
        <v>1</v>
      </c>
      <c r="C217" s="1" t="b">
        <v>1</v>
      </c>
      <c r="F217" s="1" t="b">
        <v>1</v>
      </c>
      <c r="G217" s="1" t="str">
        <f>IF(OR(LEFT(RIGHT(Master_Reference[[#This Row],[Model Number]],3),1)="C",LEFT(RIGHT(Master_Reference[[#This Row],[Model Number]],4),1)="C"),TRUE,"")</f>
        <v/>
      </c>
      <c r="H217" s="1" t="str">
        <f>IF(LEFT(Master_Reference[[#This Row],[Model Number]],1)="U",TRUE,"")</f>
        <v/>
      </c>
      <c r="I217" s="1" t="b">
        <f>IF(Master_Reference[[#This Row],[Lamp Type]]="T4","",IF(Master_Reference[[#This Row],[Case Type]]="M","",TRUE))</f>
        <v>1</v>
      </c>
      <c r="J217" s="1" t="str">
        <f t="shared" si="4"/>
        <v>T8</v>
      </c>
      <c r="K217" s="1">
        <v>25</v>
      </c>
      <c r="L217" s="1" t="s">
        <v>115</v>
      </c>
      <c r="M217" s="1">
        <v>1</v>
      </c>
      <c r="N217" s="1" t="s">
        <v>149</v>
      </c>
      <c r="O217" s="1" t="s">
        <v>320</v>
      </c>
      <c r="R217" t="b">
        <f>IF(COUNTBLANK(Master_Reference[[#This Row],[C-Flex 3000K Eco Part Number]:[C-Flex 4000K Eco Part Number]])=3,FALSE,TRUE)</f>
        <v>1</v>
      </c>
      <c r="S217" t="b">
        <f>IF(COUNTBLANK(Master_Reference[[#This Row],[C-Flex 3000K 3W Part Number]:[C-Flex 4000K 3W Part Number]])=3,FALSE,TRUE)</f>
        <v>1</v>
      </c>
      <c r="T217" t="b">
        <f>IF(COUNTBLANK(Master_Reference[[#This Row],[Lutron 3000K Eco Part Number]:[Lutron 4000K Eco Part Number]])=3,FALSE,TRUE)</f>
        <v>1</v>
      </c>
      <c r="U217" t="b">
        <f>IF(COUNTBLANK(Master_Reference[[#This Row],[Lutron 3000K 3W Part Number]:[Lutron 4000K 3W Part Number]])=3,FALSE,TRUE)</f>
        <v>1</v>
      </c>
      <c r="V217" s="12" t="s">
        <v>478</v>
      </c>
      <c r="W217" s="12" t="s">
        <v>479</v>
      </c>
      <c r="X217" s="12" t="s">
        <v>480</v>
      </c>
      <c r="Y217" t="s">
        <v>1738</v>
      </c>
      <c r="Z217" s="12" t="s">
        <v>255</v>
      </c>
      <c r="AA217" s="12" t="s">
        <v>256</v>
      </c>
      <c r="AB217" s="12" t="s">
        <v>257</v>
      </c>
      <c r="AC217" t="s">
        <v>1826</v>
      </c>
      <c r="AD217" t="str">
        <f>SUBSTITUTE(Master_Reference[[#This Row],[C-Flex 4000K Eco Part Number]],"40-","xx-")</f>
        <v>RP-T8-3FT-1L-8xx-E1-M-G2</v>
      </c>
      <c r="AE217" t="str">
        <f>SUBSTITUTE(Master_Reference[[#This Row],[C-Flex 4000K 3W Part Number]],"40-","xx-")</f>
        <v>RP-T8-3FT-1L-8xx-3W-M-G2</v>
      </c>
      <c r="AF217" s="1" t="str">
        <f>_xlfn.IFNA(VLOOKUP(Master_Reference[[#This Row],[C-Flex 3000K Eco Part Number]],Lutron_CFlex_Lookup[],MATCH("Lutron Kit PN",Lutron_CFlex_Lookup[#Headers],0),FALSE),"")</f>
        <v>ELD3T8-1M30-q</v>
      </c>
      <c r="AG217" s="1" t="str">
        <f>_xlfn.IFNA(VLOOKUP(Master_Reference[[#This Row],[C-Flex 3500K Eco Part Number]],Lutron_CFlex_Lookup[],MATCH("Lutron Kit PN",Lutron_CFlex_Lookup[#Headers],0),FALSE),"")</f>
        <v>ELD3T8-1M35-q</v>
      </c>
      <c r="AH217" s="1" t="str">
        <f>_xlfn.IFNA(VLOOKUP(Master_Reference[[#This Row],[C-Flex 4000K Eco Part Number]],Lutron_CFlex_Lookup[],MATCH("Lutron Kit PN",Lutron_CFlex_Lookup[#Headers],0),FALSE),"")</f>
        <v>ELD3T8-1M40-q</v>
      </c>
      <c r="AI217" s="1" t="str">
        <f>_xlfn.IFNA(VLOOKUP(Master_Reference[[#This Row],[C-Flex 5000K Eco Part Number]],Lutron_CFlex_Lookup[],MATCH("Lutron Kit PN",Lutron_CFlex_Lookup[#Headers],0),FALSE),"")</f>
        <v>ELD3T8-1M50-q</v>
      </c>
      <c r="AJ217" s="1" t="str">
        <f>_xlfn.IFNA(VLOOKUP(Master_Reference[[#This Row],[C-Flex 3000K 3W Part Number]],Lutron_CFlex_Lookup[],MATCH("Lutron Kit PN",Lutron_CFlex_Lookup[#Headers],0),FALSE),"")</f>
        <v>3LD3T8-1M30-q</v>
      </c>
      <c r="AK217" s="1" t="str">
        <f>_xlfn.IFNA(VLOOKUP(Master_Reference[[#This Row],[C-Flex 3500K 3W Part Number]],Lutron_CFlex_Lookup[],MATCH("Lutron Kit PN",Lutron_CFlex_Lookup[#Headers],0),FALSE),"")</f>
        <v>3LD3T8-1M35-q</v>
      </c>
      <c r="AL217" s="1" t="str">
        <f>_xlfn.IFNA(VLOOKUP(Master_Reference[[#This Row],[C-Flex 4000K 3W Part Number]],Lutron_CFlex_Lookup[],MATCH("Lutron Kit PN",Lutron_CFlex_Lookup[#Headers],0),FALSE),"")</f>
        <v>3LD3T8-1M40-q</v>
      </c>
      <c r="AM217" s="1" t="str">
        <f>_xlfn.IFNA(VLOOKUP(Master_Reference[[#This Row],[C-Flex 5000K 3W Part Number]],Lutron_CFlex_Lookup[],MATCH("Lutron Kit PN",Lutron_CFlex_Lookup[#Headers],0),FALSE),"")</f>
        <v>3LD3T8-1M50-q</v>
      </c>
      <c r="AN217" s="1" t="b">
        <f>NOT(ISNA(VLOOKUP(Master_Reference[[#This Row],[Model Number]],ObsoleteModels[],1,FALSE)))</f>
        <v>0</v>
      </c>
      <c r="AO217" s="1" t="str">
        <f>IF(LEFT(Master_Reference[[#This Row],[Model Number]],1)="U",LEFT(Master_Reference[[#This Row],[Model Number]],4),LEFT(Master_Reference[[#This Row],[Model Number]],3))</f>
        <v>EC5</v>
      </c>
    </row>
    <row r="218" spans="1:41" x14ac:dyDescent="0.25">
      <c r="A218" s="2" t="s">
        <v>488</v>
      </c>
      <c r="B218" s="1" t="b">
        <v>1</v>
      </c>
      <c r="C218" s="1" t="b">
        <v>1</v>
      </c>
      <c r="F218" s="1" t="b">
        <v>1</v>
      </c>
      <c r="G218" s="1" t="b">
        <f>IF(OR(LEFT(RIGHT(Master_Reference[[#This Row],[Model Number]],3),1)="C",LEFT(RIGHT(Master_Reference[[#This Row],[Model Number]],4),1)="C"),TRUE,"")</f>
        <v>1</v>
      </c>
      <c r="H218" s="1" t="str">
        <f>IF(LEFT(Master_Reference[[#This Row],[Model Number]],1)="U",TRUE,"")</f>
        <v/>
      </c>
      <c r="I218" s="1" t="b">
        <f>IF(Master_Reference[[#This Row],[Lamp Type]]="T4","",IF(Master_Reference[[#This Row],[Case Type]]="M","",TRUE))</f>
        <v>1</v>
      </c>
      <c r="J218" s="1" t="str">
        <f t="shared" si="4"/>
        <v>T8</v>
      </c>
      <c r="K218" s="1">
        <v>25</v>
      </c>
      <c r="L218" s="1" t="s">
        <v>115</v>
      </c>
      <c r="M218" s="1">
        <v>1</v>
      </c>
      <c r="N218" s="1" t="s">
        <v>149</v>
      </c>
      <c r="O218" s="1" t="s">
        <v>320</v>
      </c>
      <c r="R218" t="b">
        <f>IF(COUNTBLANK(Master_Reference[[#This Row],[C-Flex 3000K Eco Part Number]:[C-Flex 4000K Eco Part Number]])=3,FALSE,TRUE)</f>
        <v>1</v>
      </c>
      <c r="S218" t="b">
        <f>IF(COUNTBLANK(Master_Reference[[#This Row],[C-Flex 3000K 3W Part Number]:[C-Flex 4000K 3W Part Number]])=3,FALSE,TRUE)</f>
        <v>1</v>
      </c>
      <c r="T218" t="b">
        <f>IF(COUNTBLANK(Master_Reference[[#This Row],[Lutron 3000K Eco Part Number]:[Lutron 4000K Eco Part Number]])=3,FALSE,TRUE)</f>
        <v>1</v>
      </c>
      <c r="U218" t="b">
        <f>IF(COUNTBLANK(Master_Reference[[#This Row],[Lutron 3000K 3W Part Number]:[Lutron 4000K 3W Part Number]])=3,FALSE,TRUE)</f>
        <v>1</v>
      </c>
      <c r="V218" s="12" t="s">
        <v>478</v>
      </c>
      <c r="W218" s="12" t="s">
        <v>479</v>
      </c>
      <c r="X218" s="12" t="s">
        <v>480</v>
      </c>
      <c r="Y218" t="s">
        <v>1738</v>
      </c>
      <c r="Z218" s="12" t="s">
        <v>255</v>
      </c>
      <c r="AA218" s="12" t="s">
        <v>256</v>
      </c>
      <c r="AB218" s="12" t="s">
        <v>257</v>
      </c>
      <c r="AC218" t="s">
        <v>1826</v>
      </c>
      <c r="AD218" t="str">
        <f>SUBSTITUTE(Master_Reference[[#This Row],[C-Flex 4000K Eco Part Number]],"40-","xx-")</f>
        <v>RP-T8-3FT-1L-8xx-E1-M-G2</v>
      </c>
      <c r="AE218" t="str">
        <f>SUBSTITUTE(Master_Reference[[#This Row],[C-Flex 4000K 3W Part Number]],"40-","xx-")</f>
        <v>RP-T8-3FT-1L-8xx-3W-M-G2</v>
      </c>
      <c r="AF218" s="1" t="str">
        <f>_xlfn.IFNA(VLOOKUP(Master_Reference[[#This Row],[C-Flex 3000K Eco Part Number]],Lutron_CFlex_Lookup[],MATCH("Lutron Kit PN",Lutron_CFlex_Lookup[#Headers],0),FALSE),"")</f>
        <v>ELD3T8-1M30-q</v>
      </c>
      <c r="AG218" s="1" t="str">
        <f>_xlfn.IFNA(VLOOKUP(Master_Reference[[#This Row],[C-Flex 3500K Eco Part Number]],Lutron_CFlex_Lookup[],MATCH("Lutron Kit PN",Lutron_CFlex_Lookup[#Headers],0),FALSE),"")</f>
        <v>ELD3T8-1M35-q</v>
      </c>
      <c r="AH218" s="1" t="str">
        <f>_xlfn.IFNA(VLOOKUP(Master_Reference[[#This Row],[C-Flex 4000K Eco Part Number]],Lutron_CFlex_Lookup[],MATCH("Lutron Kit PN",Lutron_CFlex_Lookup[#Headers],0),FALSE),"")</f>
        <v>ELD3T8-1M40-q</v>
      </c>
      <c r="AI218" s="1" t="str">
        <f>_xlfn.IFNA(VLOOKUP(Master_Reference[[#This Row],[C-Flex 5000K Eco Part Number]],Lutron_CFlex_Lookup[],MATCH("Lutron Kit PN",Lutron_CFlex_Lookup[#Headers],0),FALSE),"")</f>
        <v>ELD3T8-1M50-q</v>
      </c>
      <c r="AJ218" s="1" t="str">
        <f>_xlfn.IFNA(VLOOKUP(Master_Reference[[#This Row],[C-Flex 3000K 3W Part Number]],Lutron_CFlex_Lookup[],MATCH("Lutron Kit PN",Lutron_CFlex_Lookup[#Headers],0),FALSE),"")</f>
        <v>3LD3T8-1M30-q</v>
      </c>
      <c r="AK218" s="1" t="str">
        <f>_xlfn.IFNA(VLOOKUP(Master_Reference[[#This Row],[C-Flex 3500K 3W Part Number]],Lutron_CFlex_Lookup[],MATCH("Lutron Kit PN",Lutron_CFlex_Lookup[#Headers],0),FALSE),"")</f>
        <v>3LD3T8-1M35-q</v>
      </c>
      <c r="AL218" s="1" t="str">
        <f>_xlfn.IFNA(VLOOKUP(Master_Reference[[#This Row],[C-Flex 4000K 3W Part Number]],Lutron_CFlex_Lookup[],MATCH("Lutron Kit PN",Lutron_CFlex_Lookup[#Headers],0),FALSE),"")</f>
        <v>3LD3T8-1M40-q</v>
      </c>
      <c r="AM218" s="1" t="str">
        <f>_xlfn.IFNA(VLOOKUP(Master_Reference[[#This Row],[C-Flex 5000K 3W Part Number]],Lutron_CFlex_Lookup[],MATCH("Lutron Kit PN",Lutron_CFlex_Lookup[#Headers],0),FALSE),"")</f>
        <v>3LD3T8-1M50-q</v>
      </c>
      <c r="AN218" s="1" t="b">
        <f>NOT(ISNA(VLOOKUP(Master_Reference[[#This Row],[Model Number]],ObsoleteModels[],1,FALSE)))</f>
        <v>1</v>
      </c>
      <c r="AO218" s="1" t="str">
        <f>IF(LEFT(Master_Reference[[#This Row],[Model Number]],1)="U",LEFT(Master_Reference[[#This Row],[Model Number]],4),LEFT(Master_Reference[[#This Row],[Model Number]],3))</f>
        <v>EC5</v>
      </c>
    </row>
    <row r="219" spans="1:41" x14ac:dyDescent="0.25">
      <c r="A219" s="2" t="s">
        <v>489</v>
      </c>
      <c r="B219" s="1" t="b">
        <v>1</v>
      </c>
      <c r="C219" s="1" t="b">
        <v>1</v>
      </c>
      <c r="F219" s="1" t="b">
        <v>1</v>
      </c>
      <c r="G219" s="1" t="str">
        <f>IF(OR(LEFT(RIGHT(Master_Reference[[#This Row],[Model Number]],3),1)="C",LEFT(RIGHT(Master_Reference[[#This Row],[Model Number]],4),1)="C"),TRUE,"")</f>
        <v/>
      </c>
      <c r="H219" s="1" t="str">
        <f>IF(LEFT(Master_Reference[[#This Row],[Model Number]],1)="U",TRUE,"")</f>
        <v/>
      </c>
      <c r="I219" s="1" t="b">
        <f>IF(Master_Reference[[#This Row],[Lamp Type]]="T4","",IF(Master_Reference[[#This Row],[Case Type]]="M","",TRUE))</f>
        <v>1</v>
      </c>
      <c r="J219" s="1" t="str">
        <f t="shared" si="4"/>
        <v>T8</v>
      </c>
      <c r="K219" s="1">
        <v>25</v>
      </c>
      <c r="L219" s="1" t="s">
        <v>115</v>
      </c>
      <c r="M219" s="1">
        <v>1</v>
      </c>
      <c r="N219" s="1" t="s">
        <v>149</v>
      </c>
      <c r="O219" s="1" t="s">
        <v>320</v>
      </c>
      <c r="Q219" s="1" t="s">
        <v>91</v>
      </c>
      <c r="R219" t="b">
        <f>IF(COUNTBLANK(Master_Reference[[#This Row],[C-Flex 3000K Eco Part Number]:[C-Flex 4000K Eco Part Number]])=3,FALSE,TRUE)</f>
        <v>0</v>
      </c>
      <c r="S219" t="b">
        <f>IF(COUNTBLANK(Master_Reference[[#This Row],[C-Flex 3000K 3W Part Number]:[C-Flex 4000K 3W Part Number]])=3,FALSE,TRUE)</f>
        <v>0</v>
      </c>
      <c r="T219" t="b">
        <f>IF(COUNTBLANK(Master_Reference[[#This Row],[Lutron 3000K Eco Part Number]:[Lutron 4000K Eco Part Number]])=3,FALSE,TRUE)</f>
        <v>0</v>
      </c>
      <c r="U219" t="b">
        <f>IF(COUNTBLANK(Master_Reference[[#This Row],[Lutron 3000K 3W Part Number]:[Lutron 4000K 3W Part Number]])=3,FALSE,TRUE)</f>
        <v>0</v>
      </c>
      <c r="V219" s="12"/>
      <c r="W219" s="12"/>
      <c r="X219" s="12"/>
      <c r="Y219" t="s">
        <v>2125</v>
      </c>
      <c r="Z219" s="12"/>
      <c r="AA219" s="12"/>
      <c r="AB219" s="12"/>
      <c r="AC219" t="s">
        <v>2125</v>
      </c>
      <c r="AD219" t="str">
        <f>SUBSTITUTE(Master_Reference[[#This Row],[C-Flex 4000K Eco Part Number]],"40-","xx-")</f>
        <v/>
      </c>
      <c r="AE219" t="str">
        <f>SUBSTITUTE(Master_Reference[[#This Row],[C-Flex 4000K 3W Part Number]],"40-","xx-")</f>
        <v/>
      </c>
      <c r="AF219" s="1" t="str">
        <f>_xlfn.IFNA(VLOOKUP(Master_Reference[[#This Row],[C-Flex 3000K Eco Part Number]],Lutron_CFlex_Lookup[],MATCH("Lutron Kit PN",Lutron_CFlex_Lookup[#Headers],0),FALSE),"")</f>
        <v/>
      </c>
      <c r="AG219" s="1" t="str">
        <f>_xlfn.IFNA(VLOOKUP(Master_Reference[[#This Row],[C-Flex 3500K Eco Part Number]],Lutron_CFlex_Lookup[],MATCH("Lutron Kit PN",Lutron_CFlex_Lookup[#Headers],0),FALSE),"")</f>
        <v/>
      </c>
      <c r="AH219" s="1" t="str">
        <f>_xlfn.IFNA(VLOOKUP(Master_Reference[[#This Row],[C-Flex 4000K Eco Part Number]],Lutron_CFlex_Lookup[],MATCH("Lutron Kit PN",Lutron_CFlex_Lookup[#Headers],0),FALSE),"")</f>
        <v/>
      </c>
      <c r="AI219" s="1" t="str">
        <f>_xlfn.IFNA(VLOOKUP(Master_Reference[[#This Row],[C-Flex 5000K Eco Part Number]],Lutron_CFlex_Lookup[],MATCH("Lutron Kit PN",Lutron_CFlex_Lookup[#Headers],0),FALSE),"")</f>
        <v/>
      </c>
      <c r="AJ219" s="1" t="str">
        <f>_xlfn.IFNA(VLOOKUP(Master_Reference[[#This Row],[C-Flex 3000K 3W Part Number]],Lutron_CFlex_Lookup[],MATCH("Lutron Kit PN",Lutron_CFlex_Lookup[#Headers],0),FALSE),"")</f>
        <v/>
      </c>
      <c r="AK219" s="1" t="str">
        <f>_xlfn.IFNA(VLOOKUP(Master_Reference[[#This Row],[C-Flex 3500K 3W Part Number]],Lutron_CFlex_Lookup[],MATCH("Lutron Kit PN",Lutron_CFlex_Lookup[#Headers],0),FALSE),"")</f>
        <v/>
      </c>
      <c r="AL219" s="1" t="str">
        <f>_xlfn.IFNA(VLOOKUP(Master_Reference[[#This Row],[C-Flex 4000K 3W Part Number]],Lutron_CFlex_Lookup[],MATCH("Lutron Kit PN",Lutron_CFlex_Lookup[#Headers],0),FALSE),"")</f>
        <v/>
      </c>
      <c r="AM219" s="1" t="str">
        <f>_xlfn.IFNA(VLOOKUP(Master_Reference[[#This Row],[C-Flex 5000K 3W Part Number]],Lutron_CFlex_Lookup[],MATCH("Lutron Kit PN",Lutron_CFlex_Lookup[#Headers],0),FALSE),"")</f>
        <v/>
      </c>
      <c r="AN219" s="1" t="b">
        <f>NOT(ISNA(VLOOKUP(Master_Reference[[#This Row],[Model Number]],ObsoleteModels[],1,FALSE)))</f>
        <v>0</v>
      </c>
      <c r="AO219" s="1" t="str">
        <f>IF(LEFT(Master_Reference[[#This Row],[Model Number]],1)="U",LEFT(Master_Reference[[#This Row],[Model Number]],4),LEFT(Master_Reference[[#This Row],[Model Number]],3))</f>
        <v>EC5</v>
      </c>
    </row>
    <row r="220" spans="1:41" x14ac:dyDescent="0.25">
      <c r="A220" s="2" t="s">
        <v>490</v>
      </c>
      <c r="B220" s="1" t="b">
        <v>1</v>
      </c>
      <c r="C220" s="1" t="b">
        <v>1</v>
      </c>
      <c r="F220" s="1" t="b">
        <v>1</v>
      </c>
      <c r="G220" s="1" t="str">
        <f>IF(OR(LEFT(RIGHT(Master_Reference[[#This Row],[Model Number]],3),1)="C",LEFT(RIGHT(Master_Reference[[#This Row],[Model Number]],4),1)="C"),TRUE,"")</f>
        <v/>
      </c>
      <c r="H220" s="1" t="str">
        <f>IF(LEFT(Master_Reference[[#This Row],[Model Number]],1)="U",TRUE,"")</f>
        <v/>
      </c>
      <c r="I220" s="1" t="b">
        <f>IF(Master_Reference[[#This Row],[Lamp Type]]="T4","",IF(Master_Reference[[#This Row],[Case Type]]="M","",TRUE))</f>
        <v>1</v>
      </c>
      <c r="J220" s="1" t="str">
        <f t="shared" si="4"/>
        <v>T8</v>
      </c>
      <c r="K220" s="1">
        <v>25</v>
      </c>
      <c r="L220" s="1" t="s">
        <v>115</v>
      </c>
      <c r="M220" s="1">
        <v>2</v>
      </c>
      <c r="N220" s="1" t="s">
        <v>149</v>
      </c>
      <c r="O220" s="1" t="s">
        <v>320</v>
      </c>
      <c r="R220" t="b">
        <f>IF(COUNTBLANK(Master_Reference[[#This Row],[C-Flex 3000K Eco Part Number]:[C-Flex 4000K Eco Part Number]])=3,FALSE,TRUE)</f>
        <v>1</v>
      </c>
      <c r="S220" t="b">
        <f>IF(COUNTBLANK(Master_Reference[[#This Row],[C-Flex 3000K 3W Part Number]:[C-Flex 4000K 3W Part Number]])=3,FALSE,TRUE)</f>
        <v>1</v>
      </c>
      <c r="T220" t="b">
        <f>IF(COUNTBLANK(Master_Reference[[#This Row],[Lutron 3000K Eco Part Number]:[Lutron 4000K Eco Part Number]])=3,FALSE,TRUE)</f>
        <v>1</v>
      </c>
      <c r="U220" t="b">
        <f>IF(COUNTBLANK(Master_Reference[[#This Row],[Lutron 3000K 3W Part Number]:[Lutron 4000K 3W Part Number]])=3,FALSE,TRUE)</f>
        <v>1</v>
      </c>
      <c r="V220" s="12" t="s">
        <v>482</v>
      </c>
      <c r="W220" s="12" t="s">
        <v>483</v>
      </c>
      <c r="X220" s="12" t="s">
        <v>484</v>
      </c>
      <c r="Y220" t="s">
        <v>1739</v>
      </c>
      <c r="Z220" s="12" t="s">
        <v>259</v>
      </c>
      <c r="AA220" s="12" t="s">
        <v>260</v>
      </c>
      <c r="AB220" s="12" t="s">
        <v>261</v>
      </c>
      <c r="AC220" t="s">
        <v>1827</v>
      </c>
      <c r="AD220" t="str">
        <f>SUBSTITUTE(Master_Reference[[#This Row],[C-Flex 4000K Eco Part Number]],"40-","xx-")</f>
        <v>RP-T8-3FT-2L-8xx-E1-M-G2</v>
      </c>
      <c r="AE220" t="str">
        <f>SUBSTITUTE(Master_Reference[[#This Row],[C-Flex 4000K 3W Part Number]],"40-","xx-")</f>
        <v>RP-T8-3FT-2L-8xx-3W-M-G2</v>
      </c>
      <c r="AF220" s="1" t="str">
        <f>_xlfn.IFNA(VLOOKUP(Master_Reference[[#This Row],[C-Flex 3000K Eco Part Number]],Lutron_CFlex_Lookup[],MATCH("Lutron Kit PN",Lutron_CFlex_Lookup[#Headers],0),FALSE),"")</f>
        <v>ELD3T8-2M30-q</v>
      </c>
      <c r="AG220" s="1" t="str">
        <f>_xlfn.IFNA(VLOOKUP(Master_Reference[[#This Row],[C-Flex 3500K Eco Part Number]],Lutron_CFlex_Lookup[],MATCH("Lutron Kit PN",Lutron_CFlex_Lookup[#Headers],0),FALSE),"")</f>
        <v>ELD3T8-2M35-q</v>
      </c>
      <c r="AH220" s="1" t="str">
        <f>_xlfn.IFNA(VLOOKUP(Master_Reference[[#This Row],[C-Flex 4000K Eco Part Number]],Lutron_CFlex_Lookup[],MATCH("Lutron Kit PN",Lutron_CFlex_Lookup[#Headers],0),FALSE),"")</f>
        <v>ELD3T8-2M40-q</v>
      </c>
      <c r="AI220" s="1" t="str">
        <f>_xlfn.IFNA(VLOOKUP(Master_Reference[[#This Row],[C-Flex 5000K Eco Part Number]],Lutron_CFlex_Lookup[],MATCH("Lutron Kit PN",Lutron_CFlex_Lookup[#Headers],0),FALSE),"")</f>
        <v>ELD3T8-2M50-q</v>
      </c>
      <c r="AJ220" s="1" t="str">
        <f>_xlfn.IFNA(VLOOKUP(Master_Reference[[#This Row],[C-Flex 3000K 3W Part Number]],Lutron_CFlex_Lookup[],MATCH("Lutron Kit PN",Lutron_CFlex_Lookup[#Headers],0),FALSE),"")</f>
        <v>3LD3T8-2M30-q</v>
      </c>
      <c r="AK220" s="1" t="str">
        <f>_xlfn.IFNA(VLOOKUP(Master_Reference[[#This Row],[C-Flex 3500K 3W Part Number]],Lutron_CFlex_Lookup[],MATCH("Lutron Kit PN",Lutron_CFlex_Lookup[#Headers],0),FALSE),"")</f>
        <v>3LD3T8-2M35-q</v>
      </c>
      <c r="AL220" s="1" t="str">
        <f>_xlfn.IFNA(VLOOKUP(Master_Reference[[#This Row],[C-Flex 4000K 3W Part Number]],Lutron_CFlex_Lookup[],MATCH("Lutron Kit PN",Lutron_CFlex_Lookup[#Headers],0),FALSE),"")</f>
        <v>3LD3T8-2M40-q</v>
      </c>
      <c r="AM220" s="1" t="str">
        <f>_xlfn.IFNA(VLOOKUP(Master_Reference[[#This Row],[C-Flex 5000K 3W Part Number]],Lutron_CFlex_Lookup[],MATCH("Lutron Kit PN",Lutron_CFlex_Lookup[#Headers],0),FALSE),"")</f>
        <v>3LD3T8-2M50-q</v>
      </c>
      <c r="AN220" s="1" t="b">
        <f>NOT(ISNA(VLOOKUP(Master_Reference[[#This Row],[Model Number]],ObsoleteModels[],1,FALSE)))</f>
        <v>0</v>
      </c>
      <c r="AO220" s="1" t="str">
        <f>IF(LEFT(Master_Reference[[#This Row],[Model Number]],1)="U",LEFT(Master_Reference[[#This Row],[Model Number]],4),LEFT(Master_Reference[[#This Row],[Model Number]],3))</f>
        <v>EC5</v>
      </c>
    </row>
    <row r="221" spans="1:41" x14ac:dyDescent="0.25">
      <c r="A221" s="2" t="s">
        <v>491</v>
      </c>
      <c r="B221" s="1" t="b">
        <v>1</v>
      </c>
      <c r="C221" s="1" t="b">
        <v>1</v>
      </c>
      <c r="F221" s="1" t="b">
        <v>1</v>
      </c>
      <c r="G221" s="1" t="b">
        <f>IF(OR(LEFT(RIGHT(Master_Reference[[#This Row],[Model Number]],3),1)="C",LEFT(RIGHT(Master_Reference[[#This Row],[Model Number]],4),1)="C"),TRUE,"")</f>
        <v>1</v>
      </c>
      <c r="H221" s="1" t="str">
        <f>IF(LEFT(Master_Reference[[#This Row],[Model Number]],1)="U",TRUE,"")</f>
        <v/>
      </c>
      <c r="I221" s="1" t="b">
        <f>IF(Master_Reference[[#This Row],[Lamp Type]]="T4","",IF(Master_Reference[[#This Row],[Case Type]]="M","",TRUE))</f>
        <v>1</v>
      </c>
      <c r="J221" s="1" t="str">
        <f t="shared" si="4"/>
        <v>T8</v>
      </c>
      <c r="K221" s="1">
        <v>25</v>
      </c>
      <c r="L221" s="1" t="s">
        <v>115</v>
      </c>
      <c r="M221" s="1">
        <v>2</v>
      </c>
      <c r="N221" s="1" t="s">
        <v>149</v>
      </c>
      <c r="O221" s="1" t="s">
        <v>320</v>
      </c>
      <c r="R221" t="b">
        <f>IF(COUNTBLANK(Master_Reference[[#This Row],[C-Flex 3000K Eco Part Number]:[C-Flex 4000K Eco Part Number]])=3,FALSE,TRUE)</f>
        <v>1</v>
      </c>
      <c r="S221" t="b">
        <f>IF(COUNTBLANK(Master_Reference[[#This Row],[C-Flex 3000K 3W Part Number]:[C-Flex 4000K 3W Part Number]])=3,FALSE,TRUE)</f>
        <v>1</v>
      </c>
      <c r="T221" t="b">
        <f>IF(COUNTBLANK(Master_Reference[[#This Row],[Lutron 3000K Eco Part Number]:[Lutron 4000K Eco Part Number]])=3,FALSE,TRUE)</f>
        <v>1</v>
      </c>
      <c r="U221" t="b">
        <f>IF(COUNTBLANK(Master_Reference[[#This Row],[Lutron 3000K 3W Part Number]:[Lutron 4000K 3W Part Number]])=3,FALSE,TRUE)</f>
        <v>1</v>
      </c>
      <c r="V221" s="12" t="s">
        <v>482</v>
      </c>
      <c r="W221" s="12" t="s">
        <v>483</v>
      </c>
      <c r="X221" s="12" t="s">
        <v>484</v>
      </c>
      <c r="Y221" t="s">
        <v>1739</v>
      </c>
      <c r="Z221" s="12" t="s">
        <v>259</v>
      </c>
      <c r="AA221" s="12" t="s">
        <v>260</v>
      </c>
      <c r="AB221" s="12" t="s">
        <v>261</v>
      </c>
      <c r="AC221" t="s">
        <v>1827</v>
      </c>
      <c r="AD221" t="str">
        <f>SUBSTITUTE(Master_Reference[[#This Row],[C-Flex 4000K Eco Part Number]],"40-","xx-")</f>
        <v>RP-T8-3FT-2L-8xx-E1-M-G2</v>
      </c>
      <c r="AE221" t="str">
        <f>SUBSTITUTE(Master_Reference[[#This Row],[C-Flex 4000K 3W Part Number]],"40-","xx-")</f>
        <v>RP-T8-3FT-2L-8xx-3W-M-G2</v>
      </c>
      <c r="AF221" s="1" t="str">
        <f>_xlfn.IFNA(VLOOKUP(Master_Reference[[#This Row],[C-Flex 3000K Eco Part Number]],Lutron_CFlex_Lookup[],MATCH("Lutron Kit PN",Lutron_CFlex_Lookup[#Headers],0),FALSE),"")</f>
        <v>ELD3T8-2M30-q</v>
      </c>
      <c r="AG221" s="1" t="str">
        <f>_xlfn.IFNA(VLOOKUP(Master_Reference[[#This Row],[C-Flex 3500K Eco Part Number]],Lutron_CFlex_Lookup[],MATCH("Lutron Kit PN",Lutron_CFlex_Lookup[#Headers],0),FALSE),"")</f>
        <v>ELD3T8-2M35-q</v>
      </c>
      <c r="AH221" s="1" t="str">
        <f>_xlfn.IFNA(VLOOKUP(Master_Reference[[#This Row],[C-Flex 4000K Eco Part Number]],Lutron_CFlex_Lookup[],MATCH("Lutron Kit PN",Lutron_CFlex_Lookup[#Headers],0),FALSE),"")</f>
        <v>ELD3T8-2M40-q</v>
      </c>
      <c r="AI221" s="1" t="str">
        <f>_xlfn.IFNA(VLOOKUP(Master_Reference[[#This Row],[C-Flex 5000K Eco Part Number]],Lutron_CFlex_Lookup[],MATCH("Lutron Kit PN",Lutron_CFlex_Lookup[#Headers],0),FALSE),"")</f>
        <v>ELD3T8-2M50-q</v>
      </c>
      <c r="AJ221" s="1" t="str">
        <f>_xlfn.IFNA(VLOOKUP(Master_Reference[[#This Row],[C-Flex 3000K 3W Part Number]],Lutron_CFlex_Lookup[],MATCH("Lutron Kit PN",Lutron_CFlex_Lookup[#Headers],0),FALSE),"")</f>
        <v>3LD3T8-2M30-q</v>
      </c>
      <c r="AK221" s="1" t="str">
        <f>_xlfn.IFNA(VLOOKUP(Master_Reference[[#This Row],[C-Flex 3500K 3W Part Number]],Lutron_CFlex_Lookup[],MATCH("Lutron Kit PN",Lutron_CFlex_Lookup[#Headers],0),FALSE),"")</f>
        <v>3LD3T8-2M35-q</v>
      </c>
      <c r="AL221" s="1" t="str">
        <f>_xlfn.IFNA(VLOOKUP(Master_Reference[[#This Row],[C-Flex 4000K 3W Part Number]],Lutron_CFlex_Lookup[],MATCH("Lutron Kit PN",Lutron_CFlex_Lookup[#Headers],0),FALSE),"")</f>
        <v>3LD3T8-2M40-q</v>
      </c>
      <c r="AM221" s="1" t="str">
        <f>_xlfn.IFNA(VLOOKUP(Master_Reference[[#This Row],[C-Flex 5000K 3W Part Number]],Lutron_CFlex_Lookup[],MATCH("Lutron Kit PN",Lutron_CFlex_Lookup[#Headers],0),FALSE),"")</f>
        <v>3LD3T8-2M50-q</v>
      </c>
      <c r="AN221" s="1" t="b">
        <f>NOT(ISNA(VLOOKUP(Master_Reference[[#This Row],[Model Number]],ObsoleteModels[],1,FALSE)))</f>
        <v>1</v>
      </c>
      <c r="AO221" s="1" t="str">
        <f>IF(LEFT(Master_Reference[[#This Row],[Model Number]],1)="U",LEFT(Master_Reference[[#This Row],[Model Number]],4),LEFT(Master_Reference[[#This Row],[Model Number]],3))</f>
        <v>EC5</v>
      </c>
    </row>
    <row r="222" spans="1:41" x14ac:dyDescent="0.25">
      <c r="A222" s="2" t="s">
        <v>492</v>
      </c>
      <c r="B222" s="1" t="b">
        <v>1</v>
      </c>
      <c r="C222" s="1" t="b">
        <v>1</v>
      </c>
      <c r="F222" s="1" t="b">
        <v>1</v>
      </c>
      <c r="G222" s="1" t="str">
        <f>IF(OR(LEFT(RIGHT(Master_Reference[[#This Row],[Model Number]],3),1)="C",LEFT(RIGHT(Master_Reference[[#This Row],[Model Number]],4),1)="C"),TRUE,"")</f>
        <v/>
      </c>
      <c r="H222" s="1" t="str">
        <f>IF(LEFT(Master_Reference[[#This Row],[Model Number]],1)="U",TRUE,"")</f>
        <v/>
      </c>
      <c r="I222" s="1" t="b">
        <f>IF(Master_Reference[[#This Row],[Lamp Type]]="T4","",IF(Master_Reference[[#This Row],[Case Type]]="M","",TRUE))</f>
        <v>1</v>
      </c>
      <c r="J222" s="1" t="str">
        <f t="shared" si="4"/>
        <v>T8</v>
      </c>
      <c r="K222" s="1">
        <v>25</v>
      </c>
      <c r="L222" s="1" t="s">
        <v>115</v>
      </c>
      <c r="M222" s="1">
        <v>2</v>
      </c>
      <c r="N222" s="1" t="s">
        <v>149</v>
      </c>
      <c r="O222" s="1" t="s">
        <v>320</v>
      </c>
      <c r="Q222" s="1" t="s">
        <v>91</v>
      </c>
      <c r="R222" t="b">
        <f>IF(COUNTBLANK(Master_Reference[[#This Row],[C-Flex 3000K Eco Part Number]:[C-Flex 4000K Eco Part Number]])=3,FALSE,TRUE)</f>
        <v>0</v>
      </c>
      <c r="S222" t="b">
        <f>IF(COUNTBLANK(Master_Reference[[#This Row],[C-Flex 3000K 3W Part Number]:[C-Flex 4000K 3W Part Number]])=3,FALSE,TRUE)</f>
        <v>0</v>
      </c>
      <c r="T222" t="b">
        <f>IF(COUNTBLANK(Master_Reference[[#This Row],[Lutron 3000K Eco Part Number]:[Lutron 4000K Eco Part Number]])=3,FALSE,TRUE)</f>
        <v>0</v>
      </c>
      <c r="U222" t="b">
        <f>IF(COUNTBLANK(Master_Reference[[#This Row],[Lutron 3000K 3W Part Number]:[Lutron 4000K 3W Part Number]])=3,FALSE,TRUE)</f>
        <v>0</v>
      </c>
      <c r="V222" s="12"/>
      <c r="W222" s="12"/>
      <c r="X222" s="12"/>
      <c r="Y222" t="s">
        <v>2125</v>
      </c>
      <c r="Z222" s="12"/>
      <c r="AA222" s="12"/>
      <c r="AB222" s="12"/>
      <c r="AC222" t="s">
        <v>2125</v>
      </c>
      <c r="AD222" t="str">
        <f>SUBSTITUTE(Master_Reference[[#This Row],[C-Flex 4000K Eco Part Number]],"40-","xx-")</f>
        <v/>
      </c>
      <c r="AE222" t="str">
        <f>SUBSTITUTE(Master_Reference[[#This Row],[C-Flex 4000K 3W Part Number]],"40-","xx-")</f>
        <v/>
      </c>
      <c r="AF222" s="1" t="str">
        <f>_xlfn.IFNA(VLOOKUP(Master_Reference[[#This Row],[C-Flex 3000K Eco Part Number]],Lutron_CFlex_Lookup[],MATCH("Lutron Kit PN",Lutron_CFlex_Lookup[#Headers],0),FALSE),"")</f>
        <v/>
      </c>
      <c r="AG222" s="1" t="str">
        <f>_xlfn.IFNA(VLOOKUP(Master_Reference[[#This Row],[C-Flex 3500K Eco Part Number]],Lutron_CFlex_Lookup[],MATCH("Lutron Kit PN",Lutron_CFlex_Lookup[#Headers],0),FALSE),"")</f>
        <v/>
      </c>
      <c r="AH222" s="1" t="str">
        <f>_xlfn.IFNA(VLOOKUP(Master_Reference[[#This Row],[C-Flex 4000K Eco Part Number]],Lutron_CFlex_Lookup[],MATCH("Lutron Kit PN",Lutron_CFlex_Lookup[#Headers],0),FALSE),"")</f>
        <v/>
      </c>
      <c r="AI222" s="1" t="str">
        <f>_xlfn.IFNA(VLOOKUP(Master_Reference[[#This Row],[C-Flex 5000K Eco Part Number]],Lutron_CFlex_Lookup[],MATCH("Lutron Kit PN",Lutron_CFlex_Lookup[#Headers],0),FALSE),"")</f>
        <v/>
      </c>
      <c r="AJ222" s="1" t="str">
        <f>_xlfn.IFNA(VLOOKUP(Master_Reference[[#This Row],[C-Flex 3000K 3W Part Number]],Lutron_CFlex_Lookup[],MATCH("Lutron Kit PN",Lutron_CFlex_Lookup[#Headers],0),FALSE),"")</f>
        <v/>
      </c>
      <c r="AK222" s="1" t="str">
        <f>_xlfn.IFNA(VLOOKUP(Master_Reference[[#This Row],[C-Flex 3500K 3W Part Number]],Lutron_CFlex_Lookup[],MATCH("Lutron Kit PN",Lutron_CFlex_Lookup[#Headers],0),FALSE),"")</f>
        <v/>
      </c>
      <c r="AL222" s="1" t="str">
        <f>_xlfn.IFNA(VLOOKUP(Master_Reference[[#This Row],[C-Flex 4000K 3W Part Number]],Lutron_CFlex_Lookup[],MATCH("Lutron Kit PN",Lutron_CFlex_Lookup[#Headers],0),FALSE),"")</f>
        <v/>
      </c>
      <c r="AM222" s="1" t="str">
        <f>_xlfn.IFNA(VLOOKUP(Master_Reference[[#This Row],[C-Flex 5000K 3W Part Number]],Lutron_CFlex_Lookup[],MATCH("Lutron Kit PN",Lutron_CFlex_Lookup[#Headers],0),FALSE),"")</f>
        <v/>
      </c>
      <c r="AN222" s="1" t="b">
        <f>NOT(ISNA(VLOOKUP(Master_Reference[[#This Row],[Model Number]],ObsoleteModels[],1,FALSE)))</f>
        <v>0</v>
      </c>
      <c r="AO222" s="1" t="str">
        <f>IF(LEFT(Master_Reference[[#This Row],[Model Number]],1)="U",LEFT(Master_Reference[[#This Row],[Model Number]],4),LEFT(Master_Reference[[#This Row],[Model Number]],3))</f>
        <v>EC5</v>
      </c>
    </row>
    <row r="223" spans="1:41" x14ac:dyDescent="0.25">
      <c r="A223" s="2" t="s">
        <v>493</v>
      </c>
      <c r="B223" s="1" t="b">
        <v>1</v>
      </c>
      <c r="C223" s="1" t="b">
        <v>1</v>
      </c>
      <c r="F223" s="1" t="b">
        <v>1</v>
      </c>
      <c r="G223" s="1" t="str">
        <f>IF(OR(LEFT(RIGHT(Master_Reference[[#This Row],[Model Number]],3),1)="C",LEFT(RIGHT(Master_Reference[[#This Row],[Model Number]],4),1)="C"),TRUE,"")</f>
        <v/>
      </c>
      <c r="H223" s="1" t="str">
        <f>IF(LEFT(Master_Reference[[#This Row],[Model Number]],1)="U",TRUE,"")</f>
        <v/>
      </c>
      <c r="I223" s="1" t="b">
        <f>IF(Master_Reference[[#This Row],[Lamp Type]]="T4","",IF(Master_Reference[[#This Row],[Case Type]]="M","",TRUE))</f>
        <v>1</v>
      </c>
      <c r="J223" s="1" t="str">
        <f t="shared" si="4"/>
        <v>T8</v>
      </c>
      <c r="K223" s="1">
        <v>32</v>
      </c>
      <c r="L223" s="1" t="s">
        <v>118</v>
      </c>
      <c r="M223" s="1">
        <v>2</v>
      </c>
      <c r="N223" s="1">
        <v>120</v>
      </c>
      <c r="O223" s="1" t="s">
        <v>217</v>
      </c>
      <c r="R223" t="b">
        <f>IF(COUNTBLANK(Master_Reference[[#This Row],[C-Flex 3000K Eco Part Number]:[C-Flex 4000K Eco Part Number]])=3,FALSE,TRUE)</f>
        <v>1</v>
      </c>
      <c r="S223" t="b">
        <f>IF(COUNTBLANK(Master_Reference[[#This Row],[C-Flex 3000K 3W Part Number]:[C-Flex 4000K 3W Part Number]])=3,FALSE,TRUE)</f>
        <v>1</v>
      </c>
      <c r="T223" t="b">
        <f>IF(COUNTBLANK(Master_Reference[[#This Row],[Lutron 3000K Eco Part Number]:[Lutron 4000K Eco Part Number]])=3,FALSE,TRUE)</f>
        <v>1</v>
      </c>
      <c r="U223" t="b">
        <f>IF(COUNTBLANK(Master_Reference[[#This Row],[Lutron 3000K 3W Part Number]:[Lutron 4000K 3W Part Number]])=3,FALSE,TRUE)</f>
        <v>1</v>
      </c>
      <c r="V223" s="12" t="s">
        <v>316</v>
      </c>
      <c r="W223" s="12" t="s">
        <v>317</v>
      </c>
      <c r="X223" s="12" t="s">
        <v>318</v>
      </c>
      <c r="Y223" t="s">
        <v>1745</v>
      </c>
      <c r="Z223" s="12" t="s">
        <v>145</v>
      </c>
      <c r="AA223" s="12" t="s">
        <v>146</v>
      </c>
      <c r="AB223" s="12" t="s">
        <v>147</v>
      </c>
      <c r="AC223" t="s">
        <v>1830</v>
      </c>
      <c r="AD223" t="str">
        <f>SUBSTITUTE(Master_Reference[[#This Row],[C-Flex 4000K Eco Part Number]],"40-","xx-")</f>
        <v>RP-T8-4FT-2L-8xx-E1-M-G2</v>
      </c>
      <c r="AE223" t="str">
        <f>SUBSTITUTE(Master_Reference[[#This Row],[C-Flex 4000K 3W Part Number]],"40-","xx-")</f>
        <v>RP-T8-4FT-2L-8xx-3W-M-G2</v>
      </c>
      <c r="AF223" s="1" t="str">
        <f>_xlfn.IFNA(VLOOKUP(Master_Reference[[#This Row],[C-Flex 3000K Eco Part Number]],Lutron_CFlex_Lookup[],MATCH("Lutron Kit PN",Lutron_CFlex_Lookup[#Headers],0),FALSE),"")</f>
        <v>ELD4T8-2M30-q</v>
      </c>
      <c r="AG223" s="1" t="str">
        <f>_xlfn.IFNA(VLOOKUP(Master_Reference[[#This Row],[C-Flex 3500K Eco Part Number]],Lutron_CFlex_Lookup[],MATCH("Lutron Kit PN",Lutron_CFlex_Lookup[#Headers],0),FALSE),"")</f>
        <v>ELD4T8-2M35-q</v>
      </c>
      <c r="AH223" s="1" t="str">
        <f>_xlfn.IFNA(VLOOKUP(Master_Reference[[#This Row],[C-Flex 4000K Eco Part Number]],Lutron_CFlex_Lookup[],MATCH("Lutron Kit PN",Lutron_CFlex_Lookup[#Headers],0),FALSE),"")</f>
        <v>ELD4T8-2M40-q</v>
      </c>
      <c r="AI223" s="1" t="str">
        <f>_xlfn.IFNA(VLOOKUP(Master_Reference[[#This Row],[C-Flex 5000K Eco Part Number]],Lutron_CFlex_Lookup[],MATCH("Lutron Kit PN",Lutron_CFlex_Lookup[#Headers],0),FALSE),"")</f>
        <v>ELD4T8-2M50-q</v>
      </c>
      <c r="AJ223" s="1" t="str">
        <f>_xlfn.IFNA(VLOOKUP(Master_Reference[[#This Row],[C-Flex 3000K 3W Part Number]],Lutron_CFlex_Lookup[],MATCH("Lutron Kit PN",Lutron_CFlex_Lookup[#Headers],0),FALSE),"")</f>
        <v>3LD4T8-2M30-q</v>
      </c>
      <c r="AK223" s="1" t="str">
        <f>_xlfn.IFNA(VLOOKUP(Master_Reference[[#This Row],[C-Flex 3500K 3W Part Number]],Lutron_CFlex_Lookup[],MATCH("Lutron Kit PN",Lutron_CFlex_Lookup[#Headers],0),FALSE),"")</f>
        <v>3LD4T8-2M35-q</v>
      </c>
      <c r="AL223" s="1" t="str">
        <f>_xlfn.IFNA(VLOOKUP(Master_Reference[[#This Row],[C-Flex 4000K 3W Part Number]],Lutron_CFlex_Lookup[],MATCH("Lutron Kit PN",Lutron_CFlex_Lookup[#Headers],0),FALSE),"")</f>
        <v>3LD4T8-2M40-q</v>
      </c>
      <c r="AM223" s="1" t="str">
        <f>_xlfn.IFNA(VLOOKUP(Master_Reference[[#This Row],[C-Flex 5000K 3W Part Number]],Lutron_CFlex_Lookup[],MATCH("Lutron Kit PN",Lutron_CFlex_Lookup[#Headers],0),FALSE),"")</f>
        <v>3LD4T8-2M50-q</v>
      </c>
      <c r="AN223" s="1" t="b">
        <f>NOT(ISNA(VLOOKUP(Master_Reference[[#This Row],[Model Number]],ObsoleteModels[],1,FALSE)))</f>
        <v>1</v>
      </c>
      <c r="AO223" s="1" t="str">
        <f>IF(LEFT(Master_Reference[[#This Row],[Model Number]],1)="U",LEFT(Master_Reference[[#This Row],[Model Number]],4),LEFT(Master_Reference[[#This Row],[Model Number]],3))</f>
        <v>EC5</v>
      </c>
    </row>
    <row r="224" spans="1:41" x14ac:dyDescent="0.25">
      <c r="A224" s="2" t="s">
        <v>494</v>
      </c>
      <c r="B224" s="1" t="b">
        <v>1</v>
      </c>
      <c r="C224" s="1" t="b">
        <v>1</v>
      </c>
      <c r="F224" s="1" t="b">
        <v>1</v>
      </c>
      <c r="G224" s="1" t="str">
        <f>IF(OR(LEFT(RIGHT(Master_Reference[[#This Row],[Model Number]],3),1)="C",LEFT(RIGHT(Master_Reference[[#This Row],[Model Number]],4),1)="C"),TRUE,"")</f>
        <v/>
      </c>
      <c r="H224" s="1" t="str">
        <f>IF(LEFT(Master_Reference[[#This Row],[Model Number]],1)="U",TRUE,"")</f>
        <v/>
      </c>
      <c r="I224" s="1" t="b">
        <f>IF(Master_Reference[[#This Row],[Lamp Type]]="T4","",IF(Master_Reference[[#This Row],[Case Type]]="M","",TRUE))</f>
        <v>1</v>
      </c>
      <c r="J224" s="1" t="str">
        <f t="shared" si="4"/>
        <v>T8</v>
      </c>
      <c r="K224" s="1">
        <v>32</v>
      </c>
      <c r="L224" s="1" t="s">
        <v>118</v>
      </c>
      <c r="M224" s="1">
        <v>3</v>
      </c>
      <c r="N224" s="1">
        <v>120</v>
      </c>
      <c r="O224" s="1" t="s">
        <v>217</v>
      </c>
      <c r="R224" t="b">
        <f>IF(COUNTBLANK(Master_Reference[[#This Row],[C-Flex 3000K Eco Part Number]:[C-Flex 4000K Eco Part Number]])=3,FALSE,TRUE)</f>
        <v>1</v>
      </c>
      <c r="S224" t="b">
        <f>IF(COUNTBLANK(Master_Reference[[#This Row],[C-Flex 3000K 3W Part Number]:[C-Flex 4000K 3W Part Number]])=3,FALSE,TRUE)</f>
        <v>1</v>
      </c>
      <c r="T224" t="b">
        <f>IF(COUNTBLANK(Master_Reference[[#This Row],[Lutron 3000K Eco Part Number]:[Lutron 4000K Eco Part Number]])=3,FALSE,TRUE)</f>
        <v>1</v>
      </c>
      <c r="U224" t="b">
        <f>IF(COUNTBLANK(Master_Reference[[#This Row],[Lutron 3000K 3W Part Number]:[Lutron 4000K 3W Part Number]])=3,FALSE,TRUE)</f>
        <v>1</v>
      </c>
      <c r="V224" s="12" t="s">
        <v>495</v>
      </c>
      <c r="W224" s="12" t="s">
        <v>496</v>
      </c>
      <c r="X224" s="12" t="s">
        <v>497</v>
      </c>
      <c r="Y224" t="s">
        <v>1746</v>
      </c>
      <c r="Z224" s="12" t="s">
        <v>277</v>
      </c>
      <c r="AA224" s="12" t="s">
        <v>278</v>
      </c>
      <c r="AB224" s="12" t="s">
        <v>279</v>
      </c>
      <c r="AC224" t="s">
        <v>1831</v>
      </c>
      <c r="AD224" t="str">
        <f>SUBSTITUTE(Master_Reference[[#This Row],[C-Flex 4000K Eco Part Number]],"40-","xx-")</f>
        <v>RP-T8-4FT-3L-8xx-E1-M-G2</v>
      </c>
      <c r="AE224" t="str">
        <f>SUBSTITUTE(Master_Reference[[#This Row],[C-Flex 4000K 3W Part Number]],"40-","xx-")</f>
        <v>RP-T8-4FT-3L-8xx-3W-M-G2</v>
      </c>
      <c r="AF224" s="1" t="str">
        <f>_xlfn.IFNA(VLOOKUP(Master_Reference[[#This Row],[C-Flex 3000K Eco Part Number]],Lutron_CFlex_Lookup[],MATCH("Lutron Kit PN",Lutron_CFlex_Lookup[#Headers],0),FALSE),"")</f>
        <v>ELD4T8-3M30-q</v>
      </c>
      <c r="AG224" s="1" t="str">
        <f>_xlfn.IFNA(VLOOKUP(Master_Reference[[#This Row],[C-Flex 3500K Eco Part Number]],Lutron_CFlex_Lookup[],MATCH("Lutron Kit PN",Lutron_CFlex_Lookup[#Headers],0),FALSE),"")</f>
        <v>ELD4T8-3M35-q</v>
      </c>
      <c r="AH224" s="1" t="str">
        <f>_xlfn.IFNA(VLOOKUP(Master_Reference[[#This Row],[C-Flex 4000K Eco Part Number]],Lutron_CFlex_Lookup[],MATCH("Lutron Kit PN",Lutron_CFlex_Lookup[#Headers],0),FALSE),"")</f>
        <v>ELD4T8-3M40-q</v>
      </c>
      <c r="AI224" s="1" t="str">
        <f>_xlfn.IFNA(VLOOKUP(Master_Reference[[#This Row],[C-Flex 5000K Eco Part Number]],Lutron_CFlex_Lookup[],MATCH("Lutron Kit PN",Lutron_CFlex_Lookup[#Headers],0),FALSE),"")</f>
        <v>ELD4T8-3M50-q</v>
      </c>
      <c r="AJ224" s="1" t="str">
        <f>_xlfn.IFNA(VLOOKUP(Master_Reference[[#This Row],[C-Flex 3000K 3W Part Number]],Lutron_CFlex_Lookup[],MATCH("Lutron Kit PN",Lutron_CFlex_Lookup[#Headers],0),FALSE),"")</f>
        <v>3LD4T8-3M30-q</v>
      </c>
      <c r="AK224" s="1" t="str">
        <f>_xlfn.IFNA(VLOOKUP(Master_Reference[[#This Row],[C-Flex 3500K 3W Part Number]],Lutron_CFlex_Lookup[],MATCH("Lutron Kit PN",Lutron_CFlex_Lookup[#Headers],0),FALSE),"")</f>
        <v>3LD4T8-3M35-q</v>
      </c>
      <c r="AL224" s="1" t="str">
        <f>_xlfn.IFNA(VLOOKUP(Master_Reference[[#This Row],[C-Flex 4000K 3W Part Number]],Lutron_CFlex_Lookup[],MATCH("Lutron Kit PN",Lutron_CFlex_Lookup[#Headers],0),FALSE),"")</f>
        <v>3LD4T8-3M40-q</v>
      </c>
      <c r="AM224" s="1" t="str">
        <f>_xlfn.IFNA(VLOOKUP(Master_Reference[[#This Row],[C-Flex 5000K 3W Part Number]],Lutron_CFlex_Lookup[],MATCH("Lutron Kit PN",Lutron_CFlex_Lookup[#Headers],0),FALSE),"")</f>
        <v>3LD4T8-3M50-q</v>
      </c>
      <c r="AN224" s="1" t="b">
        <f>NOT(ISNA(VLOOKUP(Master_Reference[[#This Row],[Model Number]],ObsoleteModels[],1,FALSE)))</f>
        <v>1</v>
      </c>
      <c r="AO224" s="1" t="str">
        <f>IF(LEFT(Master_Reference[[#This Row],[Model Number]],1)="U",LEFT(Master_Reference[[#This Row],[Model Number]],4),LEFT(Master_Reference[[#This Row],[Model Number]],3))</f>
        <v>EC5</v>
      </c>
    </row>
    <row r="225" spans="1:41" x14ac:dyDescent="0.25">
      <c r="A225" s="2" t="s">
        <v>498</v>
      </c>
      <c r="B225" s="1" t="b">
        <v>1</v>
      </c>
      <c r="C225" s="1" t="b">
        <v>1</v>
      </c>
      <c r="F225" s="1" t="b">
        <v>1</v>
      </c>
      <c r="G225" s="1" t="str">
        <f>IF(OR(LEFT(RIGHT(Master_Reference[[#This Row],[Model Number]],3),1)="C",LEFT(RIGHT(Master_Reference[[#This Row],[Model Number]],4),1)="C"),TRUE,"")</f>
        <v/>
      </c>
      <c r="H225" s="1" t="str">
        <f>IF(LEFT(Master_Reference[[#This Row],[Model Number]],1)="U",TRUE,"")</f>
        <v/>
      </c>
      <c r="I225" s="1" t="b">
        <f>IF(Master_Reference[[#This Row],[Lamp Type]]="T4","",IF(Master_Reference[[#This Row],[Case Type]]="M","",TRUE))</f>
        <v>1</v>
      </c>
      <c r="J225" s="1" t="str">
        <f t="shared" si="4"/>
        <v>T8</v>
      </c>
      <c r="K225" s="1">
        <v>32</v>
      </c>
      <c r="L225" s="1" t="s">
        <v>118</v>
      </c>
      <c r="M225" s="1">
        <v>2</v>
      </c>
      <c r="N225" s="1">
        <v>277</v>
      </c>
      <c r="O225" s="1" t="s">
        <v>217</v>
      </c>
      <c r="R225" t="b">
        <f>IF(COUNTBLANK(Master_Reference[[#This Row],[C-Flex 3000K Eco Part Number]:[C-Flex 4000K Eco Part Number]])=3,FALSE,TRUE)</f>
        <v>1</v>
      </c>
      <c r="S225" t="b">
        <f>IF(COUNTBLANK(Master_Reference[[#This Row],[C-Flex 3000K 3W Part Number]:[C-Flex 4000K 3W Part Number]])=3,FALSE,TRUE)</f>
        <v>1</v>
      </c>
      <c r="T225" t="b">
        <f>IF(COUNTBLANK(Master_Reference[[#This Row],[Lutron 3000K Eco Part Number]:[Lutron 4000K Eco Part Number]])=3,FALSE,TRUE)</f>
        <v>1</v>
      </c>
      <c r="U225" t="b">
        <f>IF(COUNTBLANK(Master_Reference[[#This Row],[Lutron 3000K 3W Part Number]:[Lutron 4000K 3W Part Number]])=3,FALSE,TRUE)</f>
        <v>1</v>
      </c>
      <c r="V225" s="12" t="s">
        <v>316</v>
      </c>
      <c r="W225" s="12" t="s">
        <v>317</v>
      </c>
      <c r="X225" s="12" t="s">
        <v>318</v>
      </c>
      <c r="Y225" t="s">
        <v>1745</v>
      </c>
      <c r="Z225" s="12" t="s">
        <v>145</v>
      </c>
      <c r="AA225" s="12" t="s">
        <v>146</v>
      </c>
      <c r="AB225" s="12" t="s">
        <v>147</v>
      </c>
      <c r="AC225" t="s">
        <v>1830</v>
      </c>
      <c r="AD225" t="str">
        <f>SUBSTITUTE(Master_Reference[[#This Row],[C-Flex 4000K Eco Part Number]],"40-","xx-")</f>
        <v>RP-T8-4FT-2L-8xx-E1-M-G2</v>
      </c>
      <c r="AE225" t="str">
        <f>SUBSTITUTE(Master_Reference[[#This Row],[C-Flex 4000K 3W Part Number]],"40-","xx-")</f>
        <v>RP-T8-4FT-2L-8xx-3W-M-G2</v>
      </c>
      <c r="AF225" s="1" t="str">
        <f>_xlfn.IFNA(VLOOKUP(Master_Reference[[#This Row],[C-Flex 3000K Eco Part Number]],Lutron_CFlex_Lookup[],MATCH("Lutron Kit PN",Lutron_CFlex_Lookup[#Headers],0),FALSE),"")</f>
        <v>ELD4T8-2M30-q</v>
      </c>
      <c r="AG225" s="1" t="str">
        <f>_xlfn.IFNA(VLOOKUP(Master_Reference[[#This Row],[C-Flex 3500K Eco Part Number]],Lutron_CFlex_Lookup[],MATCH("Lutron Kit PN",Lutron_CFlex_Lookup[#Headers],0),FALSE),"")</f>
        <v>ELD4T8-2M35-q</v>
      </c>
      <c r="AH225" s="1" t="str">
        <f>_xlfn.IFNA(VLOOKUP(Master_Reference[[#This Row],[C-Flex 4000K Eco Part Number]],Lutron_CFlex_Lookup[],MATCH("Lutron Kit PN",Lutron_CFlex_Lookup[#Headers],0),FALSE),"")</f>
        <v>ELD4T8-2M40-q</v>
      </c>
      <c r="AI225" s="1" t="str">
        <f>_xlfn.IFNA(VLOOKUP(Master_Reference[[#This Row],[C-Flex 5000K Eco Part Number]],Lutron_CFlex_Lookup[],MATCH("Lutron Kit PN",Lutron_CFlex_Lookup[#Headers],0),FALSE),"")</f>
        <v>ELD4T8-2M50-q</v>
      </c>
      <c r="AJ225" s="1" t="str">
        <f>_xlfn.IFNA(VLOOKUP(Master_Reference[[#This Row],[C-Flex 3000K 3W Part Number]],Lutron_CFlex_Lookup[],MATCH("Lutron Kit PN",Lutron_CFlex_Lookup[#Headers],0),FALSE),"")</f>
        <v>3LD4T8-2M30-q</v>
      </c>
      <c r="AK225" s="1" t="str">
        <f>_xlfn.IFNA(VLOOKUP(Master_Reference[[#This Row],[C-Flex 3500K 3W Part Number]],Lutron_CFlex_Lookup[],MATCH("Lutron Kit PN",Lutron_CFlex_Lookup[#Headers],0),FALSE),"")</f>
        <v>3LD4T8-2M35-q</v>
      </c>
      <c r="AL225" s="1" t="str">
        <f>_xlfn.IFNA(VLOOKUP(Master_Reference[[#This Row],[C-Flex 4000K 3W Part Number]],Lutron_CFlex_Lookup[],MATCH("Lutron Kit PN",Lutron_CFlex_Lookup[#Headers],0),FALSE),"")</f>
        <v>3LD4T8-2M40-q</v>
      </c>
      <c r="AM225" s="1" t="str">
        <f>_xlfn.IFNA(VLOOKUP(Master_Reference[[#This Row],[C-Flex 5000K 3W Part Number]],Lutron_CFlex_Lookup[],MATCH("Lutron Kit PN",Lutron_CFlex_Lookup[#Headers],0),FALSE),"")</f>
        <v>3LD4T8-2M50-q</v>
      </c>
      <c r="AN225" s="1" t="b">
        <f>NOT(ISNA(VLOOKUP(Master_Reference[[#This Row],[Model Number]],ObsoleteModels[],1,FALSE)))</f>
        <v>1</v>
      </c>
      <c r="AO225" s="1" t="str">
        <f>IF(LEFT(Master_Reference[[#This Row],[Model Number]],1)="U",LEFT(Master_Reference[[#This Row],[Model Number]],4),LEFT(Master_Reference[[#This Row],[Model Number]],3))</f>
        <v>EC5</v>
      </c>
    </row>
    <row r="226" spans="1:41" x14ac:dyDescent="0.25">
      <c r="A226" s="2" t="s">
        <v>499</v>
      </c>
      <c r="B226" s="1" t="b">
        <v>1</v>
      </c>
      <c r="C226" s="1" t="b">
        <v>1</v>
      </c>
      <c r="F226" s="1" t="b">
        <v>1</v>
      </c>
      <c r="G226" s="1" t="b">
        <f>IF(OR(LEFT(RIGHT(Master_Reference[[#This Row],[Model Number]],3),1)="C",LEFT(RIGHT(Master_Reference[[#This Row],[Model Number]],4),1)="C"),TRUE,"")</f>
        <v>1</v>
      </c>
      <c r="H226" s="1" t="str">
        <f>IF(LEFT(Master_Reference[[#This Row],[Model Number]],1)="U",TRUE,"")</f>
        <v/>
      </c>
      <c r="I226" s="1" t="b">
        <f>IF(Master_Reference[[#This Row],[Lamp Type]]="T4","",IF(Master_Reference[[#This Row],[Case Type]]="M","",TRUE))</f>
        <v>1</v>
      </c>
      <c r="J226" s="1" t="str">
        <f t="shared" si="4"/>
        <v>T8</v>
      </c>
      <c r="K226" s="1">
        <v>32</v>
      </c>
      <c r="L226" s="1" t="s">
        <v>118</v>
      </c>
      <c r="M226" s="1">
        <v>2</v>
      </c>
      <c r="N226" s="1">
        <v>277</v>
      </c>
      <c r="O226" s="1" t="s">
        <v>217</v>
      </c>
      <c r="R226" t="b">
        <f>IF(COUNTBLANK(Master_Reference[[#This Row],[C-Flex 3000K Eco Part Number]:[C-Flex 4000K Eco Part Number]])=3,FALSE,TRUE)</f>
        <v>1</v>
      </c>
      <c r="S226" t="b">
        <f>IF(COUNTBLANK(Master_Reference[[#This Row],[C-Flex 3000K 3W Part Number]:[C-Flex 4000K 3W Part Number]])=3,FALSE,TRUE)</f>
        <v>1</v>
      </c>
      <c r="T226" t="b">
        <f>IF(COUNTBLANK(Master_Reference[[#This Row],[Lutron 3000K Eco Part Number]:[Lutron 4000K Eco Part Number]])=3,FALSE,TRUE)</f>
        <v>1</v>
      </c>
      <c r="U226" t="b">
        <f>IF(COUNTBLANK(Master_Reference[[#This Row],[Lutron 3000K 3W Part Number]:[Lutron 4000K 3W Part Number]])=3,FALSE,TRUE)</f>
        <v>1</v>
      </c>
      <c r="V226" s="12" t="s">
        <v>316</v>
      </c>
      <c r="W226" s="12" t="s">
        <v>317</v>
      </c>
      <c r="X226" s="12" t="s">
        <v>318</v>
      </c>
      <c r="Y226" t="s">
        <v>1745</v>
      </c>
      <c r="Z226" s="12" t="s">
        <v>145</v>
      </c>
      <c r="AA226" s="12" t="s">
        <v>146</v>
      </c>
      <c r="AB226" s="12" t="s">
        <v>147</v>
      </c>
      <c r="AC226" t="s">
        <v>1830</v>
      </c>
      <c r="AD226" t="str">
        <f>SUBSTITUTE(Master_Reference[[#This Row],[C-Flex 4000K Eco Part Number]],"40-","xx-")</f>
        <v>RP-T8-4FT-2L-8xx-E1-M-G2</v>
      </c>
      <c r="AE226" t="str">
        <f>SUBSTITUTE(Master_Reference[[#This Row],[C-Flex 4000K 3W Part Number]],"40-","xx-")</f>
        <v>RP-T8-4FT-2L-8xx-3W-M-G2</v>
      </c>
      <c r="AF226" s="1" t="str">
        <f>_xlfn.IFNA(VLOOKUP(Master_Reference[[#This Row],[C-Flex 3000K Eco Part Number]],Lutron_CFlex_Lookup[],MATCH("Lutron Kit PN",Lutron_CFlex_Lookup[#Headers],0),FALSE),"")</f>
        <v>ELD4T8-2M30-q</v>
      </c>
      <c r="AG226" s="1" t="str">
        <f>_xlfn.IFNA(VLOOKUP(Master_Reference[[#This Row],[C-Flex 3500K Eco Part Number]],Lutron_CFlex_Lookup[],MATCH("Lutron Kit PN",Lutron_CFlex_Lookup[#Headers],0),FALSE),"")</f>
        <v>ELD4T8-2M35-q</v>
      </c>
      <c r="AH226" s="1" t="str">
        <f>_xlfn.IFNA(VLOOKUP(Master_Reference[[#This Row],[C-Flex 4000K Eco Part Number]],Lutron_CFlex_Lookup[],MATCH("Lutron Kit PN",Lutron_CFlex_Lookup[#Headers],0),FALSE),"")</f>
        <v>ELD4T8-2M40-q</v>
      </c>
      <c r="AI226" s="1" t="str">
        <f>_xlfn.IFNA(VLOOKUP(Master_Reference[[#This Row],[C-Flex 5000K Eco Part Number]],Lutron_CFlex_Lookup[],MATCH("Lutron Kit PN",Lutron_CFlex_Lookup[#Headers],0),FALSE),"")</f>
        <v>ELD4T8-2M50-q</v>
      </c>
      <c r="AJ226" s="1" t="str">
        <f>_xlfn.IFNA(VLOOKUP(Master_Reference[[#This Row],[C-Flex 3000K 3W Part Number]],Lutron_CFlex_Lookup[],MATCH("Lutron Kit PN",Lutron_CFlex_Lookup[#Headers],0),FALSE),"")</f>
        <v>3LD4T8-2M30-q</v>
      </c>
      <c r="AK226" s="1" t="str">
        <f>_xlfn.IFNA(VLOOKUP(Master_Reference[[#This Row],[C-Flex 3500K 3W Part Number]],Lutron_CFlex_Lookup[],MATCH("Lutron Kit PN",Lutron_CFlex_Lookup[#Headers],0),FALSE),"")</f>
        <v>3LD4T8-2M35-q</v>
      </c>
      <c r="AL226" s="1" t="str">
        <f>_xlfn.IFNA(VLOOKUP(Master_Reference[[#This Row],[C-Flex 4000K 3W Part Number]],Lutron_CFlex_Lookup[],MATCH("Lutron Kit PN",Lutron_CFlex_Lookup[#Headers],0),FALSE),"")</f>
        <v>3LD4T8-2M40-q</v>
      </c>
      <c r="AM226" s="1" t="str">
        <f>_xlfn.IFNA(VLOOKUP(Master_Reference[[#This Row],[C-Flex 5000K 3W Part Number]],Lutron_CFlex_Lookup[],MATCH("Lutron Kit PN",Lutron_CFlex_Lookup[#Headers],0),FALSE),"")</f>
        <v>3LD4T8-2M50-q</v>
      </c>
      <c r="AN226" s="1" t="b">
        <f>NOT(ISNA(VLOOKUP(Master_Reference[[#This Row],[Model Number]],ObsoleteModels[],1,FALSE)))</f>
        <v>1</v>
      </c>
      <c r="AO226" s="1" t="str">
        <f>IF(LEFT(Master_Reference[[#This Row],[Model Number]],1)="U",LEFT(Master_Reference[[#This Row],[Model Number]],4),LEFT(Master_Reference[[#This Row],[Model Number]],3))</f>
        <v>EC5</v>
      </c>
    </row>
    <row r="227" spans="1:41" x14ac:dyDescent="0.25">
      <c r="A227" s="2" t="s">
        <v>500</v>
      </c>
      <c r="B227" s="1" t="b">
        <v>1</v>
      </c>
      <c r="C227" s="1" t="b">
        <v>1</v>
      </c>
      <c r="F227" s="1" t="b">
        <v>1</v>
      </c>
      <c r="G227" s="1" t="str">
        <f>IF(OR(LEFT(RIGHT(Master_Reference[[#This Row],[Model Number]],3),1)="C",LEFT(RIGHT(Master_Reference[[#This Row],[Model Number]],4),1)="C"),TRUE,"")</f>
        <v/>
      </c>
      <c r="H227" s="1" t="str">
        <f>IF(LEFT(Master_Reference[[#This Row],[Model Number]],1)="U",TRUE,"")</f>
        <v/>
      </c>
      <c r="I227" s="1" t="b">
        <f>IF(Master_Reference[[#This Row],[Lamp Type]]="T4","",IF(Master_Reference[[#This Row],[Case Type]]="M","",TRUE))</f>
        <v>1</v>
      </c>
      <c r="J227" s="1" t="str">
        <f t="shared" si="4"/>
        <v>T8</v>
      </c>
      <c r="K227" s="1">
        <v>32</v>
      </c>
      <c r="L227" s="1" t="s">
        <v>118</v>
      </c>
      <c r="M227" s="1">
        <v>2</v>
      </c>
      <c r="N227" s="1">
        <v>277</v>
      </c>
      <c r="O227" s="1" t="s">
        <v>217</v>
      </c>
      <c r="Q227" s="1" t="s">
        <v>91</v>
      </c>
      <c r="R227" t="b">
        <f>IF(COUNTBLANK(Master_Reference[[#This Row],[C-Flex 3000K Eco Part Number]:[C-Flex 4000K Eco Part Number]])=3,FALSE,TRUE)</f>
        <v>0</v>
      </c>
      <c r="S227" t="b">
        <f>IF(COUNTBLANK(Master_Reference[[#This Row],[C-Flex 3000K 3W Part Number]:[C-Flex 4000K 3W Part Number]])=3,FALSE,TRUE)</f>
        <v>0</v>
      </c>
      <c r="T227" t="b">
        <f>IF(COUNTBLANK(Master_Reference[[#This Row],[Lutron 3000K Eco Part Number]:[Lutron 4000K Eco Part Number]])=3,FALSE,TRUE)</f>
        <v>0</v>
      </c>
      <c r="U227" t="b">
        <f>IF(COUNTBLANK(Master_Reference[[#This Row],[Lutron 3000K 3W Part Number]:[Lutron 4000K 3W Part Number]])=3,FALSE,TRUE)</f>
        <v>0</v>
      </c>
      <c r="V227" s="12"/>
      <c r="W227" s="12"/>
      <c r="X227" s="12"/>
      <c r="Y227" t="s">
        <v>2125</v>
      </c>
      <c r="Z227" s="12"/>
      <c r="AA227" s="12"/>
      <c r="AB227" s="12"/>
      <c r="AC227" t="s">
        <v>2125</v>
      </c>
      <c r="AD227" t="str">
        <f>SUBSTITUTE(Master_Reference[[#This Row],[C-Flex 4000K Eco Part Number]],"40-","xx-")</f>
        <v/>
      </c>
      <c r="AE227" t="str">
        <f>SUBSTITUTE(Master_Reference[[#This Row],[C-Flex 4000K 3W Part Number]],"40-","xx-")</f>
        <v/>
      </c>
      <c r="AF227" s="1" t="str">
        <f>_xlfn.IFNA(VLOOKUP(Master_Reference[[#This Row],[C-Flex 3000K Eco Part Number]],Lutron_CFlex_Lookup[],MATCH("Lutron Kit PN",Lutron_CFlex_Lookup[#Headers],0),FALSE),"")</f>
        <v/>
      </c>
      <c r="AG227" s="1" t="str">
        <f>_xlfn.IFNA(VLOOKUP(Master_Reference[[#This Row],[C-Flex 3500K Eco Part Number]],Lutron_CFlex_Lookup[],MATCH("Lutron Kit PN",Lutron_CFlex_Lookup[#Headers],0),FALSE),"")</f>
        <v/>
      </c>
      <c r="AH227" s="1" t="str">
        <f>_xlfn.IFNA(VLOOKUP(Master_Reference[[#This Row],[C-Flex 4000K Eco Part Number]],Lutron_CFlex_Lookup[],MATCH("Lutron Kit PN",Lutron_CFlex_Lookup[#Headers],0),FALSE),"")</f>
        <v/>
      </c>
      <c r="AI227" s="1" t="str">
        <f>_xlfn.IFNA(VLOOKUP(Master_Reference[[#This Row],[C-Flex 5000K Eco Part Number]],Lutron_CFlex_Lookup[],MATCH("Lutron Kit PN",Lutron_CFlex_Lookup[#Headers],0),FALSE),"")</f>
        <v/>
      </c>
      <c r="AJ227" s="1" t="str">
        <f>_xlfn.IFNA(VLOOKUP(Master_Reference[[#This Row],[C-Flex 3000K 3W Part Number]],Lutron_CFlex_Lookup[],MATCH("Lutron Kit PN",Lutron_CFlex_Lookup[#Headers],0),FALSE),"")</f>
        <v/>
      </c>
      <c r="AK227" s="1" t="str">
        <f>_xlfn.IFNA(VLOOKUP(Master_Reference[[#This Row],[C-Flex 3500K 3W Part Number]],Lutron_CFlex_Lookup[],MATCH("Lutron Kit PN",Lutron_CFlex_Lookup[#Headers],0),FALSE),"")</f>
        <v/>
      </c>
      <c r="AL227" s="1" t="str">
        <f>_xlfn.IFNA(VLOOKUP(Master_Reference[[#This Row],[C-Flex 4000K 3W Part Number]],Lutron_CFlex_Lookup[],MATCH("Lutron Kit PN",Lutron_CFlex_Lookup[#Headers],0),FALSE),"")</f>
        <v/>
      </c>
      <c r="AM227" s="1" t="str">
        <f>_xlfn.IFNA(VLOOKUP(Master_Reference[[#This Row],[C-Flex 5000K 3W Part Number]],Lutron_CFlex_Lookup[],MATCH("Lutron Kit PN",Lutron_CFlex_Lookup[#Headers],0),FALSE),"")</f>
        <v/>
      </c>
      <c r="AN227" s="1" t="b">
        <f>NOT(ISNA(VLOOKUP(Master_Reference[[#This Row],[Model Number]],ObsoleteModels[],1,FALSE)))</f>
        <v>1</v>
      </c>
      <c r="AO227" s="1" t="str">
        <f>IF(LEFT(Master_Reference[[#This Row],[Model Number]],1)="U",LEFT(Master_Reference[[#This Row],[Model Number]],4),LEFT(Master_Reference[[#This Row],[Model Number]],3))</f>
        <v>EC5</v>
      </c>
    </row>
    <row r="228" spans="1:41" x14ac:dyDescent="0.25">
      <c r="A228" s="2" t="s">
        <v>501</v>
      </c>
      <c r="B228" s="1" t="b">
        <v>1</v>
      </c>
      <c r="C228" s="1" t="b">
        <v>1</v>
      </c>
      <c r="F228" s="1" t="b">
        <v>1</v>
      </c>
      <c r="G228" s="1" t="str">
        <f>IF(OR(LEFT(RIGHT(Master_Reference[[#This Row],[Model Number]],3),1)="C",LEFT(RIGHT(Master_Reference[[#This Row],[Model Number]],4),1)="C"),TRUE,"")</f>
        <v/>
      </c>
      <c r="H228" s="1" t="str">
        <f>IF(LEFT(Master_Reference[[#This Row],[Model Number]],1)="U",TRUE,"")</f>
        <v/>
      </c>
      <c r="I228" s="1" t="b">
        <f>IF(Master_Reference[[#This Row],[Lamp Type]]="T4","",IF(Master_Reference[[#This Row],[Case Type]]="M","",TRUE))</f>
        <v>1</v>
      </c>
      <c r="J228" s="1" t="str">
        <f t="shared" si="4"/>
        <v>T8</v>
      </c>
      <c r="K228" s="1">
        <v>32</v>
      </c>
      <c r="L228" s="1" t="s">
        <v>118</v>
      </c>
      <c r="M228" s="1">
        <v>3</v>
      </c>
      <c r="N228" s="1">
        <v>277</v>
      </c>
      <c r="O228" s="1" t="s">
        <v>217</v>
      </c>
      <c r="R228" t="b">
        <f>IF(COUNTBLANK(Master_Reference[[#This Row],[C-Flex 3000K Eco Part Number]:[C-Flex 4000K Eco Part Number]])=3,FALSE,TRUE)</f>
        <v>1</v>
      </c>
      <c r="S228" t="b">
        <f>IF(COUNTBLANK(Master_Reference[[#This Row],[C-Flex 3000K 3W Part Number]:[C-Flex 4000K 3W Part Number]])=3,FALSE,TRUE)</f>
        <v>1</v>
      </c>
      <c r="T228" t="b">
        <f>IF(COUNTBLANK(Master_Reference[[#This Row],[Lutron 3000K Eco Part Number]:[Lutron 4000K Eco Part Number]])=3,FALSE,TRUE)</f>
        <v>1</v>
      </c>
      <c r="U228" t="b">
        <f>IF(COUNTBLANK(Master_Reference[[#This Row],[Lutron 3000K 3W Part Number]:[Lutron 4000K 3W Part Number]])=3,FALSE,TRUE)</f>
        <v>1</v>
      </c>
      <c r="V228" s="12" t="s">
        <v>495</v>
      </c>
      <c r="W228" s="12" t="s">
        <v>496</v>
      </c>
      <c r="X228" s="12" t="s">
        <v>497</v>
      </c>
      <c r="Y228" t="s">
        <v>1746</v>
      </c>
      <c r="Z228" s="12" t="s">
        <v>277</v>
      </c>
      <c r="AA228" s="12" t="s">
        <v>278</v>
      </c>
      <c r="AB228" s="12" t="s">
        <v>279</v>
      </c>
      <c r="AC228" t="s">
        <v>1831</v>
      </c>
      <c r="AD228" t="str">
        <f>SUBSTITUTE(Master_Reference[[#This Row],[C-Flex 4000K Eco Part Number]],"40-","xx-")</f>
        <v>RP-T8-4FT-3L-8xx-E1-M-G2</v>
      </c>
      <c r="AE228" t="str">
        <f>SUBSTITUTE(Master_Reference[[#This Row],[C-Flex 4000K 3W Part Number]],"40-","xx-")</f>
        <v>RP-T8-4FT-3L-8xx-3W-M-G2</v>
      </c>
      <c r="AF228" s="1" t="str">
        <f>_xlfn.IFNA(VLOOKUP(Master_Reference[[#This Row],[C-Flex 3000K Eco Part Number]],Lutron_CFlex_Lookup[],MATCH("Lutron Kit PN",Lutron_CFlex_Lookup[#Headers],0),FALSE),"")</f>
        <v>ELD4T8-3M30-q</v>
      </c>
      <c r="AG228" s="1" t="str">
        <f>_xlfn.IFNA(VLOOKUP(Master_Reference[[#This Row],[C-Flex 3500K Eco Part Number]],Lutron_CFlex_Lookup[],MATCH("Lutron Kit PN",Lutron_CFlex_Lookup[#Headers],0),FALSE),"")</f>
        <v>ELD4T8-3M35-q</v>
      </c>
      <c r="AH228" s="1" t="str">
        <f>_xlfn.IFNA(VLOOKUP(Master_Reference[[#This Row],[C-Flex 4000K Eco Part Number]],Lutron_CFlex_Lookup[],MATCH("Lutron Kit PN",Lutron_CFlex_Lookup[#Headers],0),FALSE),"")</f>
        <v>ELD4T8-3M40-q</v>
      </c>
      <c r="AI228" s="1" t="str">
        <f>_xlfn.IFNA(VLOOKUP(Master_Reference[[#This Row],[C-Flex 5000K Eco Part Number]],Lutron_CFlex_Lookup[],MATCH("Lutron Kit PN",Lutron_CFlex_Lookup[#Headers],0),FALSE),"")</f>
        <v>ELD4T8-3M50-q</v>
      </c>
      <c r="AJ228" s="1" t="str">
        <f>_xlfn.IFNA(VLOOKUP(Master_Reference[[#This Row],[C-Flex 3000K 3W Part Number]],Lutron_CFlex_Lookup[],MATCH("Lutron Kit PN",Lutron_CFlex_Lookup[#Headers],0),FALSE),"")</f>
        <v>3LD4T8-3M30-q</v>
      </c>
      <c r="AK228" s="1" t="str">
        <f>_xlfn.IFNA(VLOOKUP(Master_Reference[[#This Row],[C-Flex 3500K 3W Part Number]],Lutron_CFlex_Lookup[],MATCH("Lutron Kit PN",Lutron_CFlex_Lookup[#Headers],0),FALSE),"")</f>
        <v>3LD4T8-3M35-q</v>
      </c>
      <c r="AL228" s="1" t="str">
        <f>_xlfn.IFNA(VLOOKUP(Master_Reference[[#This Row],[C-Flex 4000K 3W Part Number]],Lutron_CFlex_Lookup[],MATCH("Lutron Kit PN",Lutron_CFlex_Lookup[#Headers],0),FALSE),"")</f>
        <v>3LD4T8-3M40-q</v>
      </c>
      <c r="AM228" s="1" t="str">
        <f>_xlfn.IFNA(VLOOKUP(Master_Reference[[#This Row],[C-Flex 5000K 3W Part Number]],Lutron_CFlex_Lookup[],MATCH("Lutron Kit PN",Lutron_CFlex_Lookup[#Headers],0),FALSE),"")</f>
        <v>3LD4T8-3M50-q</v>
      </c>
      <c r="AN228" s="1" t="b">
        <f>NOT(ISNA(VLOOKUP(Master_Reference[[#This Row],[Model Number]],ObsoleteModels[],1,FALSE)))</f>
        <v>1</v>
      </c>
      <c r="AO228" s="1" t="str">
        <f>IF(LEFT(Master_Reference[[#This Row],[Model Number]],1)="U",LEFT(Master_Reference[[#This Row],[Model Number]],4),LEFT(Master_Reference[[#This Row],[Model Number]],3))</f>
        <v>EC5</v>
      </c>
    </row>
    <row r="229" spans="1:41" x14ac:dyDescent="0.25">
      <c r="A229" s="2" t="s">
        <v>502</v>
      </c>
      <c r="B229" s="1" t="b">
        <v>1</v>
      </c>
      <c r="C229" s="1" t="b">
        <v>1</v>
      </c>
      <c r="F229" s="1" t="b">
        <v>1</v>
      </c>
      <c r="G229" s="1" t="b">
        <f>IF(OR(LEFT(RIGHT(Master_Reference[[#This Row],[Model Number]],3),1)="C",LEFT(RIGHT(Master_Reference[[#This Row],[Model Number]],4),1)="C"),TRUE,"")</f>
        <v>1</v>
      </c>
      <c r="H229" s="1" t="str">
        <f>IF(LEFT(Master_Reference[[#This Row],[Model Number]],1)="U",TRUE,"")</f>
        <v/>
      </c>
      <c r="I229" s="1" t="b">
        <f>IF(Master_Reference[[#This Row],[Lamp Type]]="T4","",IF(Master_Reference[[#This Row],[Case Type]]="M","",TRUE))</f>
        <v>1</v>
      </c>
      <c r="J229" s="1" t="str">
        <f t="shared" si="4"/>
        <v>T8</v>
      </c>
      <c r="K229" s="1">
        <v>32</v>
      </c>
      <c r="L229" s="1" t="s">
        <v>118</v>
      </c>
      <c r="M229" s="1">
        <v>3</v>
      </c>
      <c r="N229" s="1">
        <v>277</v>
      </c>
      <c r="O229" s="1" t="s">
        <v>217</v>
      </c>
      <c r="R229" t="b">
        <f>IF(COUNTBLANK(Master_Reference[[#This Row],[C-Flex 3000K Eco Part Number]:[C-Flex 4000K Eco Part Number]])=3,FALSE,TRUE)</f>
        <v>1</v>
      </c>
      <c r="S229" t="b">
        <f>IF(COUNTBLANK(Master_Reference[[#This Row],[C-Flex 3000K 3W Part Number]:[C-Flex 4000K 3W Part Number]])=3,FALSE,TRUE)</f>
        <v>1</v>
      </c>
      <c r="T229" t="b">
        <f>IF(COUNTBLANK(Master_Reference[[#This Row],[Lutron 3000K Eco Part Number]:[Lutron 4000K Eco Part Number]])=3,FALSE,TRUE)</f>
        <v>1</v>
      </c>
      <c r="U229" t="b">
        <f>IF(COUNTBLANK(Master_Reference[[#This Row],[Lutron 3000K 3W Part Number]:[Lutron 4000K 3W Part Number]])=3,FALSE,TRUE)</f>
        <v>1</v>
      </c>
      <c r="V229" s="12" t="s">
        <v>495</v>
      </c>
      <c r="W229" s="12" t="s">
        <v>496</v>
      </c>
      <c r="X229" s="12" t="s">
        <v>497</v>
      </c>
      <c r="Y229" t="s">
        <v>1746</v>
      </c>
      <c r="Z229" s="12" t="s">
        <v>277</v>
      </c>
      <c r="AA229" s="12" t="s">
        <v>278</v>
      </c>
      <c r="AB229" s="12" t="s">
        <v>279</v>
      </c>
      <c r="AC229" t="s">
        <v>1831</v>
      </c>
      <c r="AD229" t="str">
        <f>SUBSTITUTE(Master_Reference[[#This Row],[C-Flex 4000K Eco Part Number]],"40-","xx-")</f>
        <v>RP-T8-4FT-3L-8xx-E1-M-G2</v>
      </c>
      <c r="AE229" t="str">
        <f>SUBSTITUTE(Master_Reference[[#This Row],[C-Flex 4000K 3W Part Number]],"40-","xx-")</f>
        <v>RP-T8-4FT-3L-8xx-3W-M-G2</v>
      </c>
      <c r="AF229" s="1" t="str">
        <f>_xlfn.IFNA(VLOOKUP(Master_Reference[[#This Row],[C-Flex 3000K Eco Part Number]],Lutron_CFlex_Lookup[],MATCH("Lutron Kit PN",Lutron_CFlex_Lookup[#Headers],0),FALSE),"")</f>
        <v>ELD4T8-3M30-q</v>
      </c>
      <c r="AG229" s="1" t="str">
        <f>_xlfn.IFNA(VLOOKUP(Master_Reference[[#This Row],[C-Flex 3500K Eco Part Number]],Lutron_CFlex_Lookup[],MATCH("Lutron Kit PN",Lutron_CFlex_Lookup[#Headers],0),FALSE),"")</f>
        <v>ELD4T8-3M35-q</v>
      </c>
      <c r="AH229" s="1" t="str">
        <f>_xlfn.IFNA(VLOOKUP(Master_Reference[[#This Row],[C-Flex 4000K Eco Part Number]],Lutron_CFlex_Lookup[],MATCH("Lutron Kit PN",Lutron_CFlex_Lookup[#Headers],0),FALSE),"")</f>
        <v>ELD4T8-3M40-q</v>
      </c>
      <c r="AI229" s="1" t="str">
        <f>_xlfn.IFNA(VLOOKUP(Master_Reference[[#This Row],[C-Flex 5000K Eco Part Number]],Lutron_CFlex_Lookup[],MATCH("Lutron Kit PN",Lutron_CFlex_Lookup[#Headers],0),FALSE),"")</f>
        <v>ELD4T8-3M50-q</v>
      </c>
      <c r="AJ229" s="1" t="str">
        <f>_xlfn.IFNA(VLOOKUP(Master_Reference[[#This Row],[C-Flex 3000K 3W Part Number]],Lutron_CFlex_Lookup[],MATCH("Lutron Kit PN",Lutron_CFlex_Lookup[#Headers],0),FALSE),"")</f>
        <v>3LD4T8-3M30-q</v>
      </c>
      <c r="AK229" s="1" t="str">
        <f>_xlfn.IFNA(VLOOKUP(Master_Reference[[#This Row],[C-Flex 3500K 3W Part Number]],Lutron_CFlex_Lookup[],MATCH("Lutron Kit PN",Lutron_CFlex_Lookup[#Headers],0),FALSE),"")</f>
        <v>3LD4T8-3M35-q</v>
      </c>
      <c r="AL229" s="1" t="str">
        <f>_xlfn.IFNA(VLOOKUP(Master_Reference[[#This Row],[C-Flex 4000K 3W Part Number]],Lutron_CFlex_Lookup[],MATCH("Lutron Kit PN",Lutron_CFlex_Lookup[#Headers],0),FALSE),"")</f>
        <v>3LD4T8-3M40-q</v>
      </c>
      <c r="AM229" s="1" t="str">
        <f>_xlfn.IFNA(VLOOKUP(Master_Reference[[#This Row],[C-Flex 5000K 3W Part Number]],Lutron_CFlex_Lookup[],MATCH("Lutron Kit PN",Lutron_CFlex_Lookup[#Headers],0),FALSE),"")</f>
        <v>3LD4T8-3M50-q</v>
      </c>
      <c r="AN229" s="1" t="b">
        <f>NOT(ISNA(VLOOKUP(Master_Reference[[#This Row],[Model Number]],ObsoleteModels[],1,FALSE)))</f>
        <v>1</v>
      </c>
      <c r="AO229" s="1" t="str">
        <f>IF(LEFT(Master_Reference[[#This Row],[Model Number]],1)="U",LEFT(Master_Reference[[#This Row],[Model Number]],4),LEFT(Master_Reference[[#This Row],[Model Number]],3))</f>
        <v>EC5</v>
      </c>
    </row>
    <row r="230" spans="1:41" x14ac:dyDescent="0.25">
      <c r="A230" s="2" t="s">
        <v>503</v>
      </c>
      <c r="B230" s="1" t="b">
        <v>1</v>
      </c>
      <c r="C230" s="1" t="b">
        <v>1</v>
      </c>
      <c r="F230" s="1" t="b">
        <v>1</v>
      </c>
      <c r="G230" s="1" t="str">
        <f>IF(OR(LEFT(RIGHT(Master_Reference[[#This Row],[Model Number]],3),1)="C",LEFT(RIGHT(Master_Reference[[#This Row],[Model Number]],4),1)="C"),TRUE,"")</f>
        <v/>
      </c>
      <c r="H230" s="1" t="str">
        <f>IF(LEFT(Master_Reference[[#This Row],[Model Number]],1)="U",TRUE,"")</f>
        <v/>
      </c>
      <c r="I230" s="1" t="b">
        <f>IF(Master_Reference[[#This Row],[Lamp Type]]="T4","",IF(Master_Reference[[#This Row],[Case Type]]="M","",TRUE))</f>
        <v>1</v>
      </c>
      <c r="J230" s="1" t="str">
        <f t="shared" si="4"/>
        <v>T8</v>
      </c>
      <c r="K230" s="1">
        <v>32</v>
      </c>
      <c r="L230" s="1" t="s">
        <v>118</v>
      </c>
      <c r="M230" s="1">
        <v>2</v>
      </c>
      <c r="N230" s="1" t="s">
        <v>149</v>
      </c>
      <c r="O230" s="1" t="s">
        <v>217</v>
      </c>
      <c r="R230" t="b">
        <f>IF(COUNTBLANK(Master_Reference[[#This Row],[C-Flex 3000K Eco Part Number]:[C-Flex 4000K Eco Part Number]])=3,FALSE,TRUE)</f>
        <v>1</v>
      </c>
      <c r="S230" t="b">
        <f>IF(COUNTBLANK(Master_Reference[[#This Row],[C-Flex 3000K 3W Part Number]:[C-Flex 4000K 3W Part Number]])=3,FALSE,TRUE)</f>
        <v>1</v>
      </c>
      <c r="T230" t="b">
        <f>IF(COUNTBLANK(Master_Reference[[#This Row],[Lutron 3000K Eco Part Number]:[Lutron 4000K Eco Part Number]])=3,FALSE,TRUE)</f>
        <v>1</v>
      </c>
      <c r="U230" t="b">
        <f>IF(COUNTBLANK(Master_Reference[[#This Row],[Lutron 3000K 3W Part Number]:[Lutron 4000K 3W Part Number]])=3,FALSE,TRUE)</f>
        <v>1</v>
      </c>
      <c r="V230" s="12" t="s">
        <v>316</v>
      </c>
      <c r="W230" s="12" t="s">
        <v>317</v>
      </c>
      <c r="X230" s="12" t="s">
        <v>318</v>
      </c>
      <c r="Y230" t="s">
        <v>1745</v>
      </c>
      <c r="Z230" s="12" t="s">
        <v>145</v>
      </c>
      <c r="AA230" s="12" t="s">
        <v>146</v>
      </c>
      <c r="AB230" s="12" t="s">
        <v>147</v>
      </c>
      <c r="AC230" t="s">
        <v>1830</v>
      </c>
      <c r="AD230" t="str">
        <f>SUBSTITUTE(Master_Reference[[#This Row],[C-Flex 4000K Eco Part Number]],"40-","xx-")</f>
        <v>RP-T8-4FT-2L-8xx-E1-M-G2</v>
      </c>
      <c r="AE230" t="str">
        <f>SUBSTITUTE(Master_Reference[[#This Row],[C-Flex 4000K 3W Part Number]],"40-","xx-")</f>
        <v>RP-T8-4FT-2L-8xx-3W-M-G2</v>
      </c>
      <c r="AF230" s="1" t="str">
        <f>_xlfn.IFNA(VLOOKUP(Master_Reference[[#This Row],[C-Flex 3000K Eco Part Number]],Lutron_CFlex_Lookup[],MATCH("Lutron Kit PN",Lutron_CFlex_Lookup[#Headers],0),FALSE),"")</f>
        <v>ELD4T8-2M30-q</v>
      </c>
      <c r="AG230" s="1" t="str">
        <f>_xlfn.IFNA(VLOOKUP(Master_Reference[[#This Row],[C-Flex 3500K Eco Part Number]],Lutron_CFlex_Lookup[],MATCH("Lutron Kit PN",Lutron_CFlex_Lookup[#Headers],0),FALSE),"")</f>
        <v>ELD4T8-2M35-q</v>
      </c>
      <c r="AH230" s="1" t="str">
        <f>_xlfn.IFNA(VLOOKUP(Master_Reference[[#This Row],[C-Flex 4000K Eco Part Number]],Lutron_CFlex_Lookup[],MATCH("Lutron Kit PN",Lutron_CFlex_Lookup[#Headers],0),FALSE),"")</f>
        <v>ELD4T8-2M40-q</v>
      </c>
      <c r="AI230" s="1" t="str">
        <f>_xlfn.IFNA(VLOOKUP(Master_Reference[[#This Row],[C-Flex 5000K Eco Part Number]],Lutron_CFlex_Lookup[],MATCH("Lutron Kit PN",Lutron_CFlex_Lookup[#Headers],0),FALSE),"")</f>
        <v>ELD4T8-2M50-q</v>
      </c>
      <c r="AJ230" s="1" t="str">
        <f>_xlfn.IFNA(VLOOKUP(Master_Reference[[#This Row],[C-Flex 3000K 3W Part Number]],Lutron_CFlex_Lookup[],MATCH("Lutron Kit PN",Lutron_CFlex_Lookup[#Headers],0),FALSE),"")</f>
        <v>3LD4T8-2M30-q</v>
      </c>
      <c r="AK230" s="1" t="str">
        <f>_xlfn.IFNA(VLOOKUP(Master_Reference[[#This Row],[C-Flex 3500K 3W Part Number]],Lutron_CFlex_Lookup[],MATCH("Lutron Kit PN",Lutron_CFlex_Lookup[#Headers],0),FALSE),"")</f>
        <v>3LD4T8-2M35-q</v>
      </c>
      <c r="AL230" s="1" t="str">
        <f>_xlfn.IFNA(VLOOKUP(Master_Reference[[#This Row],[C-Flex 4000K 3W Part Number]],Lutron_CFlex_Lookup[],MATCH("Lutron Kit PN",Lutron_CFlex_Lookup[#Headers],0),FALSE),"")</f>
        <v>3LD4T8-2M40-q</v>
      </c>
      <c r="AM230" s="1" t="str">
        <f>_xlfn.IFNA(VLOOKUP(Master_Reference[[#This Row],[C-Flex 5000K 3W Part Number]],Lutron_CFlex_Lookup[],MATCH("Lutron Kit PN",Lutron_CFlex_Lookup[#Headers],0),FALSE),"")</f>
        <v>3LD4T8-2M50-q</v>
      </c>
      <c r="AN230" s="1" t="b">
        <f>NOT(ISNA(VLOOKUP(Master_Reference[[#This Row],[Model Number]],ObsoleteModels[],1,FALSE)))</f>
        <v>0</v>
      </c>
      <c r="AO230" s="1" t="str">
        <f>IF(LEFT(Master_Reference[[#This Row],[Model Number]],1)="U",LEFT(Master_Reference[[#This Row],[Model Number]],4),LEFT(Master_Reference[[#This Row],[Model Number]],3))</f>
        <v>EC5</v>
      </c>
    </row>
    <row r="231" spans="1:41" x14ac:dyDescent="0.25">
      <c r="A231" s="2" t="s">
        <v>504</v>
      </c>
      <c r="B231" s="1" t="b">
        <v>1</v>
      </c>
      <c r="C231" s="1" t="b">
        <v>1</v>
      </c>
      <c r="F231" s="1" t="b">
        <v>1</v>
      </c>
      <c r="G231" s="1" t="b">
        <f>IF(OR(LEFT(RIGHT(Master_Reference[[#This Row],[Model Number]],3),1)="C",LEFT(RIGHT(Master_Reference[[#This Row],[Model Number]],4),1)="C"),TRUE,"")</f>
        <v>1</v>
      </c>
      <c r="H231" s="1" t="str">
        <f>IF(LEFT(Master_Reference[[#This Row],[Model Number]],1)="U",TRUE,"")</f>
        <v/>
      </c>
      <c r="I231" s="1" t="b">
        <f>IF(Master_Reference[[#This Row],[Lamp Type]]="T4","",IF(Master_Reference[[#This Row],[Case Type]]="M","",TRUE))</f>
        <v>1</v>
      </c>
      <c r="J231" s="1" t="str">
        <f t="shared" si="4"/>
        <v>T8</v>
      </c>
      <c r="K231" s="1">
        <v>32</v>
      </c>
      <c r="L231" s="1" t="s">
        <v>118</v>
      </c>
      <c r="M231" s="1">
        <v>2</v>
      </c>
      <c r="N231" s="1" t="s">
        <v>149</v>
      </c>
      <c r="O231" s="1" t="s">
        <v>217</v>
      </c>
      <c r="R231" t="b">
        <f>IF(COUNTBLANK(Master_Reference[[#This Row],[C-Flex 3000K Eco Part Number]:[C-Flex 4000K Eco Part Number]])=3,FALSE,TRUE)</f>
        <v>1</v>
      </c>
      <c r="S231" t="b">
        <f>IF(COUNTBLANK(Master_Reference[[#This Row],[C-Flex 3000K 3W Part Number]:[C-Flex 4000K 3W Part Number]])=3,FALSE,TRUE)</f>
        <v>1</v>
      </c>
      <c r="T231" t="b">
        <f>IF(COUNTBLANK(Master_Reference[[#This Row],[Lutron 3000K Eco Part Number]:[Lutron 4000K Eco Part Number]])=3,FALSE,TRUE)</f>
        <v>1</v>
      </c>
      <c r="U231" t="b">
        <f>IF(COUNTBLANK(Master_Reference[[#This Row],[Lutron 3000K 3W Part Number]:[Lutron 4000K 3W Part Number]])=3,FALSE,TRUE)</f>
        <v>1</v>
      </c>
      <c r="V231" s="12" t="s">
        <v>316</v>
      </c>
      <c r="W231" s="12" t="s">
        <v>317</v>
      </c>
      <c r="X231" s="12" t="s">
        <v>318</v>
      </c>
      <c r="Y231" t="s">
        <v>1745</v>
      </c>
      <c r="Z231" s="12" t="s">
        <v>145</v>
      </c>
      <c r="AA231" s="12" t="s">
        <v>146</v>
      </c>
      <c r="AB231" s="12" t="s">
        <v>147</v>
      </c>
      <c r="AC231" t="s">
        <v>1830</v>
      </c>
      <c r="AD231" t="str">
        <f>SUBSTITUTE(Master_Reference[[#This Row],[C-Flex 4000K Eco Part Number]],"40-","xx-")</f>
        <v>RP-T8-4FT-2L-8xx-E1-M-G2</v>
      </c>
      <c r="AE231" t="str">
        <f>SUBSTITUTE(Master_Reference[[#This Row],[C-Flex 4000K 3W Part Number]],"40-","xx-")</f>
        <v>RP-T8-4FT-2L-8xx-3W-M-G2</v>
      </c>
      <c r="AF231" s="1" t="str">
        <f>_xlfn.IFNA(VLOOKUP(Master_Reference[[#This Row],[C-Flex 3000K Eco Part Number]],Lutron_CFlex_Lookup[],MATCH("Lutron Kit PN",Lutron_CFlex_Lookup[#Headers],0),FALSE),"")</f>
        <v>ELD4T8-2M30-q</v>
      </c>
      <c r="AG231" s="1" t="str">
        <f>_xlfn.IFNA(VLOOKUP(Master_Reference[[#This Row],[C-Flex 3500K Eco Part Number]],Lutron_CFlex_Lookup[],MATCH("Lutron Kit PN",Lutron_CFlex_Lookup[#Headers],0),FALSE),"")</f>
        <v>ELD4T8-2M35-q</v>
      </c>
      <c r="AH231" s="1" t="str">
        <f>_xlfn.IFNA(VLOOKUP(Master_Reference[[#This Row],[C-Flex 4000K Eco Part Number]],Lutron_CFlex_Lookup[],MATCH("Lutron Kit PN",Lutron_CFlex_Lookup[#Headers],0),FALSE),"")</f>
        <v>ELD4T8-2M40-q</v>
      </c>
      <c r="AI231" s="1" t="str">
        <f>_xlfn.IFNA(VLOOKUP(Master_Reference[[#This Row],[C-Flex 5000K Eco Part Number]],Lutron_CFlex_Lookup[],MATCH("Lutron Kit PN",Lutron_CFlex_Lookup[#Headers],0),FALSE),"")</f>
        <v>ELD4T8-2M50-q</v>
      </c>
      <c r="AJ231" s="1" t="str">
        <f>_xlfn.IFNA(VLOOKUP(Master_Reference[[#This Row],[C-Flex 3000K 3W Part Number]],Lutron_CFlex_Lookup[],MATCH("Lutron Kit PN",Lutron_CFlex_Lookup[#Headers],0),FALSE),"")</f>
        <v>3LD4T8-2M30-q</v>
      </c>
      <c r="AK231" s="1" t="str">
        <f>_xlfn.IFNA(VLOOKUP(Master_Reference[[#This Row],[C-Flex 3500K 3W Part Number]],Lutron_CFlex_Lookup[],MATCH("Lutron Kit PN",Lutron_CFlex_Lookup[#Headers],0),FALSE),"")</f>
        <v>3LD4T8-2M35-q</v>
      </c>
      <c r="AL231" s="1" t="str">
        <f>_xlfn.IFNA(VLOOKUP(Master_Reference[[#This Row],[C-Flex 4000K 3W Part Number]],Lutron_CFlex_Lookup[],MATCH("Lutron Kit PN",Lutron_CFlex_Lookup[#Headers],0),FALSE),"")</f>
        <v>3LD4T8-2M40-q</v>
      </c>
      <c r="AM231" s="1" t="str">
        <f>_xlfn.IFNA(VLOOKUP(Master_Reference[[#This Row],[C-Flex 5000K 3W Part Number]],Lutron_CFlex_Lookup[],MATCH("Lutron Kit PN",Lutron_CFlex_Lookup[#Headers],0),FALSE),"")</f>
        <v>3LD4T8-2M50-q</v>
      </c>
      <c r="AN231" s="1" t="b">
        <f>NOT(ISNA(VLOOKUP(Master_Reference[[#This Row],[Model Number]],ObsoleteModels[],1,FALSE)))</f>
        <v>1</v>
      </c>
      <c r="AO231" s="1" t="str">
        <f>IF(LEFT(Master_Reference[[#This Row],[Model Number]],1)="U",LEFT(Master_Reference[[#This Row],[Model Number]],4),LEFT(Master_Reference[[#This Row],[Model Number]],3))</f>
        <v>EC5</v>
      </c>
    </row>
    <row r="232" spans="1:41" x14ac:dyDescent="0.25">
      <c r="A232" s="2" t="s">
        <v>505</v>
      </c>
      <c r="B232" s="1" t="b">
        <v>1</v>
      </c>
      <c r="C232" s="1" t="b">
        <v>1</v>
      </c>
      <c r="F232" s="1" t="b">
        <v>1</v>
      </c>
      <c r="G232" s="1" t="b">
        <f>IF(OR(LEFT(RIGHT(Master_Reference[[#This Row],[Model Number]],3),1)="C",LEFT(RIGHT(Master_Reference[[#This Row],[Model Number]],4),1)="C"),TRUE,"")</f>
        <v>1</v>
      </c>
      <c r="H232" s="1" t="str">
        <f>IF(LEFT(Master_Reference[[#This Row],[Model Number]],1)="U",TRUE,"")</f>
        <v/>
      </c>
      <c r="I232" s="1" t="b">
        <f>IF(Master_Reference[[#This Row],[Lamp Type]]="T4","",IF(Master_Reference[[#This Row],[Case Type]]="M","",TRUE))</f>
        <v>1</v>
      </c>
      <c r="J232" s="1" t="str">
        <f t="shared" si="4"/>
        <v>T8</v>
      </c>
      <c r="K232" s="1">
        <v>32</v>
      </c>
      <c r="L232" s="1" t="s">
        <v>118</v>
      </c>
      <c r="M232" s="1">
        <v>2</v>
      </c>
      <c r="N232" s="1" t="s">
        <v>149</v>
      </c>
      <c r="O232" s="1" t="s">
        <v>217</v>
      </c>
      <c r="R232" t="b">
        <f>IF(COUNTBLANK(Master_Reference[[#This Row],[C-Flex 3000K Eco Part Number]:[C-Flex 4000K Eco Part Number]])=3,FALSE,TRUE)</f>
        <v>1</v>
      </c>
      <c r="S232" t="b">
        <f>IF(COUNTBLANK(Master_Reference[[#This Row],[C-Flex 3000K 3W Part Number]:[C-Flex 4000K 3W Part Number]])=3,FALSE,TRUE)</f>
        <v>1</v>
      </c>
      <c r="T232" t="b">
        <f>IF(COUNTBLANK(Master_Reference[[#This Row],[Lutron 3000K Eco Part Number]:[Lutron 4000K Eco Part Number]])=3,FALSE,TRUE)</f>
        <v>1</v>
      </c>
      <c r="U232" t="b">
        <f>IF(COUNTBLANK(Master_Reference[[#This Row],[Lutron 3000K 3W Part Number]:[Lutron 4000K 3W Part Number]])=3,FALSE,TRUE)</f>
        <v>1</v>
      </c>
      <c r="V232" s="12" t="s">
        <v>316</v>
      </c>
      <c r="W232" s="12" t="s">
        <v>317</v>
      </c>
      <c r="X232" s="12" t="s">
        <v>318</v>
      </c>
      <c r="Y232" t="s">
        <v>1745</v>
      </c>
      <c r="Z232" s="12" t="s">
        <v>145</v>
      </c>
      <c r="AA232" s="12" t="s">
        <v>146</v>
      </c>
      <c r="AB232" s="12" t="s">
        <v>147</v>
      </c>
      <c r="AC232" t="s">
        <v>1830</v>
      </c>
      <c r="AD232" t="str">
        <f>SUBSTITUTE(Master_Reference[[#This Row],[C-Flex 4000K Eco Part Number]],"40-","xx-")</f>
        <v>RP-T8-4FT-2L-8xx-E1-M-G2</v>
      </c>
      <c r="AE232" t="str">
        <f>SUBSTITUTE(Master_Reference[[#This Row],[C-Flex 4000K 3W Part Number]],"40-","xx-")</f>
        <v>RP-T8-4FT-2L-8xx-3W-M-G2</v>
      </c>
      <c r="AF232" s="1" t="str">
        <f>_xlfn.IFNA(VLOOKUP(Master_Reference[[#This Row],[C-Flex 3000K Eco Part Number]],Lutron_CFlex_Lookup[],MATCH("Lutron Kit PN",Lutron_CFlex_Lookup[#Headers],0),FALSE),"")</f>
        <v>ELD4T8-2M30-q</v>
      </c>
      <c r="AG232" s="1" t="str">
        <f>_xlfn.IFNA(VLOOKUP(Master_Reference[[#This Row],[C-Flex 3500K Eco Part Number]],Lutron_CFlex_Lookup[],MATCH("Lutron Kit PN",Lutron_CFlex_Lookup[#Headers],0),FALSE),"")</f>
        <v>ELD4T8-2M35-q</v>
      </c>
      <c r="AH232" s="1" t="str">
        <f>_xlfn.IFNA(VLOOKUP(Master_Reference[[#This Row],[C-Flex 4000K Eco Part Number]],Lutron_CFlex_Lookup[],MATCH("Lutron Kit PN",Lutron_CFlex_Lookup[#Headers],0),FALSE),"")</f>
        <v>ELD4T8-2M40-q</v>
      </c>
      <c r="AI232" s="1" t="str">
        <f>_xlfn.IFNA(VLOOKUP(Master_Reference[[#This Row],[C-Flex 5000K Eco Part Number]],Lutron_CFlex_Lookup[],MATCH("Lutron Kit PN",Lutron_CFlex_Lookup[#Headers],0),FALSE),"")</f>
        <v>ELD4T8-2M50-q</v>
      </c>
      <c r="AJ232" s="1" t="str">
        <f>_xlfn.IFNA(VLOOKUP(Master_Reference[[#This Row],[C-Flex 3000K 3W Part Number]],Lutron_CFlex_Lookup[],MATCH("Lutron Kit PN",Lutron_CFlex_Lookup[#Headers],0),FALSE),"")</f>
        <v>3LD4T8-2M30-q</v>
      </c>
      <c r="AK232" s="1" t="str">
        <f>_xlfn.IFNA(VLOOKUP(Master_Reference[[#This Row],[C-Flex 3500K 3W Part Number]],Lutron_CFlex_Lookup[],MATCH("Lutron Kit PN",Lutron_CFlex_Lookup[#Headers],0),FALSE),"")</f>
        <v>3LD4T8-2M35-q</v>
      </c>
      <c r="AL232" s="1" t="str">
        <f>_xlfn.IFNA(VLOOKUP(Master_Reference[[#This Row],[C-Flex 4000K 3W Part Number]],Lutron_CFlex_Lookup[],MATCH("Lutron Kit PN",Lutron_CFlex_Lookup[#Headers],0),FALSE),"")</f>
        <v>3LD4T8-2M40-q</v>
      </c>
      <c r="AM232" s="1" t="str">
        <f>_xlfn.IFNA(VLOOKUP(Master_Reference[[#This Row],[C-Flex 5000K 3W Part Number]],Lutron_CFlex_Lookup[],MATCH("Lutron Kit PN",Lutron_CFlex_Lookup[#Headers],0),FALSE),"")</f>
        <v>3LD4T8-2M50-q</v>
      </c>
      <c r="AN232" s="1" t="b">
        <f>NOT(ISNA(VLOOKUP(Master_Reference[[#This Row],[Model Number]],ObsoleteModels[],1,FALSE)))</f>
        <v>1</v>
      </c>
      <c r="AO232" s="1" t="str">
        <f>IF(LEFT(Master_Reference[[#This Row],[Model Number]],1)="U",LEFT(Master_Reference[[#This Row],[Model Number]],4),LEFT(Master_Reference[[#This Row],[Model Number]],3))</f>
        <v>EC5</v>
      </c>
    </row>
    <row r="233" spans="1:41" x14ac:dyDescent="0.25">
      <c r="A233" s="2" t="s">
        <v>506</v>
      </c>
      <c r="B233" s="1" t="b">
        <v>1</v>
      </c>
      <c r="C233" s="1" t="b">
        <v>1</v>
      </c>
      <c r="F233" s="1" t="b">
        <v>1</v>
      </c>
      <c r="G233" s="1" t="str">
        <f>IF(OR(LEFT(RIGHT(Master_Reference[[#This Row],[Model Number]],3),1)="C",LEFT(RIGHT(Master_Reference[[#This Row],[Model Number]],4),1)="C"),TRUE,"")</f>
        <v/>
      </c>
      <c r="H233" s="1" t="str">
        <f>IF(LEFT(Master_Reference[[#This Row],[Model Number]],1)="U",TRUE,"")</f>
        <v/>
      </c>
      <c r="I233" s="1" t="b">
        <f>IF(Master_Reference[[#This Row],[Lamp Type]]="T4","",IF(Master_Reference[[#This Row],[Case Type]]="M","",TRUE))</f>
        <v>1</v>
      </c>
      <c r="J233" s="1" t="str">
        <f t="shared" si="4"/>
        <v>T8</v>
      </c>
      <c r="K233" s="1">
        <v>32</v>
      </c>
      <c r="L233" s="1" t="s">
        <v>118</v>
      </c>
      <c r="M233" s="1">
        <v>2</v>
      </c>
      <c r="N233" s="1" t="s">
        <v>149</v>
      </c>
      <c r="O233" s="1" t="s">
        <v>217</v>
      </c>
      <c r="R233" t="b">
        <f>IF(COUNTBLANK(Master_Reference[[#This Row],[C-Flex 3000K Eco Part Number]:[C-Flex 4000K Eco Part Number]])=3,FALSE,TRUE)</f>
        <v>1</v>
      </c>
      <c r="S233" t="b">
        <f>IF(COUNTBLANK(Master_Reference[[#This Row],[C-Flex 3000K 3W Part Number]:[C-Flex 4000K 3W Part Number]])=3,FALSE,TRUE)</f>
        <v>1</v>
      </c>
      <c r="T233" t="b">
        <f>IF(COUNTBLANK(Master_Reference[[#This Row],[Lutron 3000K Eco Part Number]:[Lutron 4000K Eco Part Number]])=3,FALSE,TRUE)</f>
        <v>1</v>
      </c>
      <c r="U233" t="b">
        <f>IF(COUNTBLANK(Master_Reference[[#This Row],[Lutron 3000K 3W Part Number]:[Lutron 4000K 3W Part Number]])=3,FALSE,TRUE)</f>
        <v>1</v>
      </c>
      <c r="V233" s="12" t="s">
        <v>316</v>
      </c>
      <c r="W233" s="12" t="s">
        <v>317</v>
      </c>
      <c r="X233" s="12" t="s">
        <v>318</v>
      </c>
      <c r="Y233" t="s">
        <v>1745</v>
      </c>
      <c r="Z233" s="12" t="s">
        <v>145</v>
      </c>
      <c r="AA233" s="12" t="s">
        <v>146</v>
      </c>
      <c r="AB233" s="12" t="s">
        <v>147</v>
      </c>
      <c r="AC233" t="s">
        <v>1830</v>
      </c>
      <c r="AD233" t="str">
        <f>SUBSTITUTE(Master_Reference[[#This Row],[C-Flex 4000K Eco Part Number]],"40-","xx-")</f>
        <v>RP-T8-4FT-2L-8xx-E1-M-G2</v>
      </c>
      <c r="AE233" t="str">
        <f>SUBSTITUTE(Master_Reference[[#This Row],[C-Flex 4000K 3W Part Number]],"40-","xx-")</f>
        <v>RP-T8-4FT-2L-8xx-3W-M-G2</v>
      </c>
      <c r="AF233" s="1" t="str">
        <f>_xlfn.IFNA(VLOOKUP(Master_Reference[[#This Row],[C-Flex 3000K Eco Part Number]],Lutron_CFlex_Lookup[],MATCH("Lutron Kit PN",Lutron_CFlex_Lookup[#Headers],0),FALSE),"")</f>
        <v>ELD4T8-2M30-q</v>
      </c>
      <c r="AG233" s="1" t="str">
        <f>_xlfn.IFNA(VLOOKUP(Master_Reference[[#This Row],[C-Flex 3500K Eco Part Number]],Lutron_CFlex_Lookup[],MATCH("Lutron Kit PN",Lutron_CFlex_Lookup[#Headers],0),FALSE),"")</f>
        <v>ELD4T8-2M35-q</v>
      </c>
      <c r="AH233" s="1" t="str">
        <f>_xlfn.IFNA(VLOOKUP(Master_Reference[[#This Row],[C-Flex 4000K Eco Part Number]],Lutron_CFlex_Lookup[],MATCH("Lutron Kit PN",Lutron_CFlex_Lookup[#Headers],0),FALSE),"")</f>
        <v>ELD4T8-2M40-q</v>
      </c>
      <c r="AI233" s="1" t="str">
        <f>_xlfn.IFNA(VLOOKUP(Master_Reference[[#This Row],[C-Flex 5000K Eco Part Number]],Lutron_CFlex_Lookup[],MATCH("Lutron Kit PN",Lutron_CFlex_Lookup[#Headers],0),FALSE),"")</f>
        <v>ELD4T8-2M50-q</v>
      </c>
      <c r="AJ233" s="1" t="str">
        <f>_xlfn.IFNA(VLOOKUP(Master_Reference[[#This Row],[C-Flex 3000K 3W Part Number]],Lutron_CFlex_Lookup[],MATCH("Lutron Kit PN",Lutron_CFlex_Lookup[#Headers],0),FALSE),"")</f>
        <v>3LD4T8-2M30-q</v>
      </c>
      <c r="AK233" s="1" t="str">
        <f>_xlfn.IFNA(VLOOKUP(Master_Reference[[#This Row],[C-Flex 3500K 3W Part Number]],Lutron_CFlex_Lookup[],MATCH("Lutron Kit PN",Lutron_CFlex_Lookup[#Headers],0),FALSE),"")</f>
        <v>3LD4T8-2M35-q</v>
      </c>
      <c r="AL233" s="1" t="str">
        <f>_xlfn.IFNA(VLOOKUP(Master_Reference[[#This Row],[C-Flex 4000K 3W Part Number]],Lutron_CFlex_Lookup[],MATCH("Lutron Kit PN",Lutron_CFlex_Lookup[#Headers],0),FALSE),"")</f>
        <v>3LD4T8-2M40-q</v>
      </c>
      <c r="AM233" s="1" t="str">
        <f>_xlfn.IFNA(VLOOKUP(Master_Reference[[#This Row],[C-Flex 5000K 3W Part Number]],Lutron_CFlex_Lookup[],MATCH("Lutron Kit PN",Lutron_CFlex_Lookup[#Headers],0),FALSE),"")</f>
        <v>3LD4T8-2M50-q</v>
      </c>
      <c r="AN233" s="1" t="b">
        <f>NOT(ISNA(VLOOKUP(Master_Reference[[#This Row],[Model Number]],ObsoleteModels[],1,FALSE)))</f>
        <v>0</v>
      </c>
      <c r="AO233" s="1" t="str">
        <f>IF(LEFT(Master_Reference[[#This Row],[Model Number]],1)="U",LEFT(Master_Reference[[#This Row],[Model Number]],4),LEFT(Master_Reference[[#This Row],[Model Number]],3))</f>
        <v>EC5</v>
      </c>
    </row>
    <row r="234" spans="1:41" x14ac:dyDescent="0.25">
      <c r="A234" s="2" t="s">
        <v>507</v>
      </c>
      <c r="B234" s="1" t="b">
        <v>1</v>
      </c>
      <c r="C234" s="1" t="b">
        <v>1</v>
      </c>
      <c r="F234" s="1" t="b">
        <v>1</v>
      </c>
      <c r="G234" s="1" t="b">
        <f>IF(OR(LEFT(RIGHT(Master_Reference[[#This Row],[Model Number]],3),1)="C",LEFT(RIGHT(Master_Reference[[#This Row],[Model Number]],4),1)="C"),TRUE,"")</f>
        <v>1</v>
      </c>
      <c r="H234" s="1" t="str">
        <f>IF(LEFT(Master_Reference[[#This Row],[Model Number]],1)="U",TRUE,"")</f>
        <v/>
      </c>
      <c r="I234" s="1" t="b">
        <f>IF(Master_Reference[[#This Row],[Lamp Type]]="T4","",IF(Master_Reference[[#This Row],[Case Type]]="M","",TRUE))</f>
        <v>1</v>
      </c>
      <c r="J234" s="1" t="str">
        <f t="shared" si="4"/>
        <v>T8</v>
      </c>
      <c r="K234" s="1">
        <v>32</v>
      </c>
      <c r="L234" s="1" t="s">
        <v>118</v>
      </c>
      <c r="M234" s="1">
        <v>2</v>
      </c>
      <c r="N234" s="1" t="s">
        <v>149</v>
      </c>
      <c r="O234" s="1" t="s">
        <v>217</v>
      </c>
      <c r="R234" t="b">
        <f>IF(COUNTBLANK(Master_Reference[[#This Row],[C-Flex 3000K Eco Part Number]:[C-Flex 4000K Eco Part Number]])=3,FALSE,TRUE)</f>
        <v>1</v>
      </c>
      <c r="S234" t="b">
        <f>IF(COUNTBLANK(Master_Reference[[#This Row],[C-Flex 3000K 3W Part Number]:[C-Flex 4000K 3W Part Number]])=3,FALSE,TRUE)</f>
        <v>1</v>
      </c>
      <c r="T234" t="b">
        <f>IF(COUNTBLANK(Master_Reference[[#This Row],[Lutron 3000K Eco Part Number]:[Lutron 4000K Eco Part Number]])=3,FALSE,TRUE)</f>
        <v>1</v>
      </c>
      <c r="U234" t="b">
        <f>IF(COUNTBLANK(Master_Reference[[#This Row],[Lutron 3000K 3W Part Number]:[Lutron 4000K 3W Part Number]])=3,FALSE,TRUE)</f>
        <v>1</v>
      </c>
      <c r="V234" s="12" t="s">
        <v>316</v>
      </c>
      <c r="W234" s="12" t="s">
        <v>317</v>
      </c>
      <c r="X234" s="12" t="s">
        <v>318</v>
      </c>
      <c r="Y234" t="s">
        <v>1745</v>
      </c>
      <c r="Z234" s="12" t="s">
        <v>145</v>
      </c>
      <c r="AA234" s="12" t="s">
        <v>146</v>
      </c>
      <c r="AB234" s="12" t="s">
        <v>147</v>
      </c>
      <c r="AC234" t="s">
        <v>1830</v>
      </c>
      <c r="AD234" t="str">
        <f>SUBSTITUTE(Master_Reference[[#This Row],[C-Flex 4000K Eco Part Number]],"40-","xx-")</f>
        <v>RP-T8-4FT-2L-8xx-E1-M-G2</v>
      </c>
      <c r="AE234" t="str">
        <f>SUBSTITUTE(Master_Reference[[#This Row],[C-Flex 4000K 3W Part Number]],"40-","xx-")</f>
        <v>RP-T8-4FT-2L-8xx-3W-M-G2</v>
      </c>
      <c r="AF234" s="1" t="str">
        <f>_xlfn.IFNA(VLOOKUP(Master_Reference[[#This Row],[C-Flex 3000K Eco Part Number]],Lutron_CFlex_Lookup[],MATCH("Lutron Kit PN",Lutron_CFlex_Lookup[#Headers],0),FALSE),"")</f>
        <v>ELD4T8-2M30-q</v>
      </c>
      <c r="AG234" s="1" t="str">
        <f>_xlfn.IFNA(VLOOKUP(Master_Reference[[#This Row],[C-Flex 3500K Eco Part Number]],Lutron_CFlex_Lookup[],MATCH("Lutron Kit PN",Lutron_CFlex_Lookup[#Headers],0),FALSE),"")</f>
        <v>ELD4T8-2M35-q</v>
      </c>
      <c r="AH234" s="1" t="str">
        <f>_xlfn.IFNA(VLOOKUP(Master_Reference[[#This Row],[C-Flex 4000K Eco Part Number]],Lutron_CFlex_Lookup[],MATCH("Lutron Kit PN",Lutron_CFlex_Lookup[#Headers],0),FALSE),"")</f>
        <v>ELD4T8-2M40-q</v>
      </c>
      <c r="AI234" s="1" t="str">
        <f>_xlfn.IFNA(VLOOKUP(Master_Reference[[#This Row],[C-Flex 5000K Eco Part Number]],Lutron_CFlex_Lookup[],MATCH("Lutron Kit PN",Lutron_CFlex_Lookup[#Headers],0),FALSE),"")</f>
        <v>ELD4T8-2M50-q</v>
      </c>
      <c r="AJ234" s="1" t="str">
        <f>_xlfn.IFNA(VLOOKUP(Master_Reference[[#This Row],[C-Flex 3000K 3W Part Number]],Lutron_CFlex_Lookup[],MATCH("Lutron Kit PN",Lutron_CFlex_Lookup[#Headers],0),FALSE),"")</f>
        <v>3LD4T8-2M30-q</v>
      </c>
      <c r="AK234" s="1" t="str">
        <f>_xlfn.IFNA(VLOOKUP(Master_Reference[[#This Row],[C-Flex 3500K 3W Part Number]],Lutron_CFlex_Lookup[],MATCH("Lutron Kit PN",Lutron_CFlex_Lookup[#Headers],0),FALSE),"")</f>
        <v>3LD4T8-2M35-q</v>
      </c>
      <c r="AL234" s="1" t="str">
        <f>_xlfn.IFNA(VLOOKUP(Master_Reference[[#This Row],[C-Flex 4000K 3W Part Number]],Lutron_CFlex_Lookup[],MATCH("Lutron Kit PN",Lutron_CFlex_Lookup[#Headers],0),FALSE),"")</f>
        <v>3LD4T8-2M40-q</v>
      </c>
      <c r="AM234" s="1" t="str">
        <f>_xlfn.IFNA(VLOOKUP(Master_Reference[[#This Row],[C-Flex 5000K 3W Part Number]],Lutron_CFlex_Lookup[],MATCH("Lutron Kit PN",Lutron_CFlex_Lookup[#Headers],0),FALSE),"")</f>
        <v>3LD4T8-2M50-q</v>
      </c>
      <c r="AN234" s="1" t="b">
        <f>NOT(ISNA(VLOOKUP(Master_Reference[[#This Row],[Model Number]],ObsoleteModels[],1,FALSE)))</f>
        <v>1</v>
      </c>
      <c r="AO234" s="1" t="str">
        <f>IF(LEFT(Master_Reference[[#This Row],[Model Number]],1)="U",LEFT(Master_Reference[[#This Row],[Model Number]],4),LEFT(Master_Reference[[#This Row],[Model Number]],3))</f>
        <v>EC5</v>
      </c>
    </row>
    <row r="235" spans="1:41" x14ac:dyDescent="0.25">
      <c r="A235" s="2" t="s">
        <v>508</v>
      </c>
      <c r="B235" s="1" t="b">
        <v>1</v>
      </c>
      <c r="C235" s="1" t="b">
        <v>1</v>
      </c>
      <c r="F235" s="1" t="b">
        <v>1</v>
      </c>
      <c r="G235" s="1" t="b">
        <f>IF(OR(LEFT(RIGHT(Master_Reference[[#This Row],[Model Number]],3),1)="C",LEFT(RIGHT(Master_Reference[[#This Row],[Model Number]],4),1)="C"),TRUE,"")</f>
        <v>1</v>
      </c>
      <c r="H235" s="1" t="str">
        <f>IF(LEFT(Master_Reference[[#This Row],[Model Number]],1)="U",TRUE,"")</f>
        <v/>
      </c>
      <c r="I235" s="1" t="b">
        <f>IF(Master_Reference[[#This Row],[Lamp Type]]="T4","",IF(Master_Reference[[#This Row],[Case Type]]="M","",TRUE))</f>
        <v>1</v>
      </c>
      <c r="J235" s="1" t="str">
        <f t="shared" ref="J235:J259" si="5">RIGHT(LEFT(A235,5),2)</f>
        <v>T8</v>
      </c>
      <c r="K235" s="1">
        <v>32</v>
      </c>
      <c r="L235" s="1" t="s">
        <v>118</v>
      </c>
      <c r="M235" s="1">
        <v>2</v>
      </c>
      <c r="N235" s="1" t="s">
        <v>149</v>
      </c>
      <c r="O235" s="1" t="s">
        <v>217</v>
      </c>
      <c r="R235" t="b">
        <f>IF(COUNTBLANK(Master_Reference[[#This Row],[C-Flex 3000K Eco Part Number]:[C-Flex 4000K Eco Part Number]])=3,FALSE,TRUE)</f>
        <v>1</v>
      </c>
      <c r="S235" t="b">
        <f>IF(COUNTBLANK(Master_Reference[[#This Row],[C-Flex 3000K 3W Part Number]:[C-Flex 4000K 3W Part Number]])=3,FALSE,TRUE)</f>
        <v>1</v>
      </c>
      <c r="T235" t="b">
        <f>IF(COUNTBLANK(Master_Reference[[#This Row],[Lutron 3000K Eco Part Number]:[Lutron 4000K Eco Part Number]])=3,FALSE,TRUE)</f>
        <v>1</v>
      </c>
      <c r="U235" t="b">
        <f>IF(COUNTBLANK(Master_Reference[[#This Row],[Lutron 3000K 3W Part Number]:[Lutron 4000K 3W Part Number]])=3,FALSE,TRUE)</f>
        <v>1</v>
      </c>
      <c r="V235" s="12" t="s">
        <v>316</v>
      </c>
      <c r="W235" s="12" t="s">
        <v>317</v>
      </c>
      <c r="X235" s="12" t="s">
        <v>318</v>
      </c>
      <c r="Y235" t="s">
        <v>1745</v>
      </c>
      <c r="Z235" s="12" t="s">
        <v>145</v>
      </c>
      <c r="AA235" s="12" t="s">
        <v>146</v>
      </c>
      <c r="AB235" s="12" t="s">
        <v>147</v>
      </c>
      <c r="AC235" t="s">
        <v>1830</v>
      </c>
      <c r="AD235" t="str">
        <f>SUBSTITUTE(Master_Reference[[#This Row],[C-Flex 4000K Eco Part Number]],"40-","xx-")</f>
        <v>RP-T8-4FT-2L-8xx-E1-M-G2</v>
      </c>
      <c r="AE235" t="str">
        <f>SUBSTITUTE(Master_Reference[[#This Row],[C-Flex 4000K 3W Part Number]],"40-","xx-")</f>
        <v>RP-T8-4FT-2L-8xx-3W-M-G2</v>
      </c>
      <c r="AF235" s="1" t="str">
        <f>_xlfn.IFNA(VLOOKUP(Master_Reference[[#This Row],[C-Flex 3000K Eco Part Number]],Lutron_CFlex_Lookup[],MATCH("Lutron Kit PN",Lutron_CFlex_Lookup[#Headers],0),FALSE),"")</f>
        <v>ELD4T8-2M30-q</v>
      </c>
      <c r="AG235" s="1" t="str">
        <f>_xlfn.IFNA(VLOOKUP(Master_Reference[[#This Row],[C-Flex 3500K Eco Part Number]],Lutron_CFlex_Lookup[],MATCH("Lutron Kit PN",Lutron_CFlex_Lookup[#Headers],0),FALSE),"")</f>
        <v>ELD4T8-2M35-q</v>
      </c>
      <c r="AH235" s="1" t="str">
        <f>_xlfn.IFNA(VLOOKUP(Master_Reference[[#This Row],[C-Flex 4000K Eco Part Number]],Lutron_CFlex_Lookup[],MATCH("Lutron Kit PN",Lutron_CFlex_Lookup[#Headers],0),FALSE),"")</f>
        <v>ELD4T8-2M40-q</v>
      </c>
      <c r="AI235" s="1" t="str">
        <f>_xlfn.IFNA(VLOOKUP(Master_Reference[[#This Row],[C-Flex 5000K Eco Part Number]],Lutron_CFlex_Lookup[],MATCH("Lutron Kit PN",Lutron_CFlex_Lookup[#Headers],0),FALSE),"")</f>
        <v>ELD4T8-2M50-q</v>
      </c>
      <c r="AJ235" s="1" t="str">
        <f>_xlfn.IFNA(VLOOKUP(Master_Reference[[#This Row],[C-Flex 3000K 3W Part Number]],Lutron_CFlex_Lookup[],MATCH("Lutron Kit PN",Lutron_CFlex_Lookup[#Headers],0),FALSE),"")</f>
        <v>3LD4T8-2M30-q</v>
      </c>
      <c r="AK235" s="1" t="str">
        <f>_xlfn.IFNA(VLOOKUP(Master_Reference[[#This Row],[C-Flex 3500K 3W Part Number]],Lutron_CFlex_Lookup[],MATCH("Lutron Kit PN",Lutron_CFlex_Lookup[#Headers],0),FALSE),"")</f>
        <v>3LD4T8-2M35-q</v>
      </c>
      <c r="AL235" s="1" t="str">
        <f>_xlfn.IFNA(VLOOKUP(Master_Reference[[#This Row],[C-Flex 4000K 3W Part Number]],Lutron_CFlex_Lookup[],MATCH("Lutron Kit PN",Lutron_CFlex_Lookup[#Headers],0),FALSE),"")</f>
        <v>3LD4T8-2M40-q</v>
      </c>
      <c r="AM235" s="1" t="str">
        <f>_xlfn.IFNA(VLOOKUP(Master_Reference[[#This Row],[C-Flex 5000K 3W Part Number]],Lutron_CFlex_Lookup[],MATCH("Lutron Kit PN",Lutron_CFlex_Lookup[#Headers],0),FALSE),"")</f>
        <v>3LD4T8-2M50-q</v>
      </c>
      <c r="AN235" s="1" t="b">
        <f>NOT(ISNA(VLOOKUP(Master_Reference[[#This Row],[Model Number]],ObsoleteModels[],1,FALSE)))</f>
        <v>1</v>
      </c>
      <c r="AO235" s="1" t="str">
        <f>IF(LEFT(Master_Reference[[#This Row],[Model Number]],1)="U",LEFT(Master_Reference[[#This Row],[Model Number]],4),LEFT(Master_Reference[[#This Row],[Model Number]],3))</f>
        <v>EC5</v>
      </c>
    </row>
    <row r="236" spans="1:41" x14ac:dyDescent="0.25">
      <c r="A236" s="2" t="s">
        <v>509</v>
      </c>
      <c r="B236" s="1" t="b">
        <v>1</v>
      </c>
      <c r="C236" s="1" t="b">
        <v>1</v>
      </c>
      <c r="F236" s="1" t="b">
        <v>1</v>
      </c>
      <c r="G236" s="1" t="b">
        <f>IF(OR(LEFT(RIGHT(Master_Reference[[#This Row],[Model Number]],3),1)="C",LEFT(RIGHT(Master_Reference[[#This Row],[Model Number]],4),1)="C"),TRUE,"")</f>
        <v>1</v>
      </c>
      <c r="H236" s="1" t="str">
        <f>IF(LEFT(Master_Reference[[#This Row],[Model Number]],1)="U",TRUE,"")</f>
        <v/>
      </c>
      <c r="I236" s="1" t="b">
        <f>IF(Master_Reference[[#This Row],[Lamp Type]]="T4","",IF(Master_Reference[[#This Row],[Case Type]]="M","",TRUE))</f>
        <v>1</v>
      </c>
      <c r="J236" s="1" t="str">
        <f t="shared" si="5"/>
        <v>T8</v>
      </c>
      <c r="K236" s="1">
        <v>32</v>
      </c>
      <c r="L236" s="1" t="s">
        <v>118</v>
      </c>
      <c r="M236" s="1">
        <v>2</v>
      </c>
      <c r="N236" s="1" t="s">
        <v>149</v>
      </c>
      <c r="O236" s="1" t="s">
        <v>217</v>
      </c>
      <c r="R236" t="b">
        <f>IF(COUNTBLANK(Master_Reference[[#This Row],[C-Flex 3000K Eco Part Number]:[C-Flex 4000K Eco Part Number]])=3,FALSE,TRUE)</f>
        <v>1</v>
      </c>
      <c r="S236" t="b">
        <f>IF(COUNTBLANK(Master_Reference[[#This Row],[C-Flex 3000K 3W Part Number]:[C-Flex 4000K 3W Part Number]])=3,FALSE,TRUE)</f>
        <v>1</v>
      </c>
      <c r="T236" t="b">
        <f>IF(COUNTBLANK(Master_Reference[[#This Row],[Lutron 3000K Eco Part Number]:[Lutron 4000K Eco Part Number]])=3,FALSE,TRUE)</f>
        <v>1</v>
      </c>
      <c r="U236" t="b">
        <f>IF(COUNTBLANK(Master_Reference[[#This Row],[Lutron 3000K 3W Part Number]:[Lutron 4000K 3W Part Number]])=3,FALSE,TRUE)</f>
        <v>1</v>
      </c>
      <c r="V236" s="12" t="s">
        <v>316</v>
      </c>
      <c r="W236" s="12" t="s">
        <v>317</v>
      </c>
      <c r="X236" s="12" t="s">
        <v>318</v>
      </c>
      <c r="Y236" t="s">
        <v>1745</v>
      </c>
      <c r="Z236" s="12" t="s">
        <v>145</v>
      </c>
      <c r="AA236" s="12" t="s">
        <v>146</v>
      </c>
      <c r="AB236" s="12" t="s">
        <v>147</v>
      </c>
      <c r="AC236" t="s">
        <v>1830</v>
      </c>
      <c r="AD236" t="str">
        <f>SUBSTITUTE(Master_Reference[[#This Row],[C-Flex 4000K Eco Part Number]],"40-","xx-")</f>
        <v>RP-T8-4FT-2L-8xx-E1-M-G2</v>
      </c>
      <c r="AE236" t="str">
        <f>SUBSTITUTE(Master_Reference[[#This Row],[C-Flex 4000K 3W Part Number]],"40-","xx-")</f>
        <v>RP-T8-4FT-2L-8xx-3W-M-G2</v>
      </c>
      <c r="AF236" s="1" t="str">
        <f>_xlfn.IFNA(VLOOKUP(Master_Reference[[#This Row],[C-Flex 3000K Eco Part Number]],Lutron_CFlex_Lookup[],MATCH("Lutron Kit PN",Lutron_CFlex_Lookup[#Headers],0),FALSE),"")</f>
        <v>ELD4T8-2M30-q</v>
      </c>
      <c r="AG236" s="1" t="str">
        <f>_xlfn.IFNA(VLOOKUP(Master_Reference[[#This Row],[C-Flex 3500K Eco Part Number]],Lutron_CFlex_Lookup[],MATCH("Lutron Kit PN",Lutron_CFlex_Lookup[#Headers],0),FALSE),"")</f>
        <v>ELD4T8-2M35-q</v>
      </c>
      <c r="AH236" s="1" t="str">
        <f>_xlfn.IFNA(VLOOKUP(Master_Reference[[#This Row],[C-Flex 4000K Eco Part Number]],Lutron_CFlex_Lookup[],MATCH("Lutron Kit PN",Lutron_CFlex_Lookup[#Headers],0),FALSE),"")</f>
        <v>ELD4T8-2M40-q</v>
      </c>
      <c r="AI236" s="1" t="str">
        <f>_xlfn.IFNA(VLOOKUP(Master_Reference[[#This Row],[C-Flex 5000K Eco Part Number]],Lutron_CFlex_Lookup[],MATCH("Lutron Kit PN",Lutron_CFlex_Lookup[#Headers],0),FALSE),"")</f>
        <v>ELD4T8-2M50-q</v>
      </c>
      <c r="AJ236" s="1" t="str">
        <f>_xlfn.IFNA(VLOOKUP(Master_Reference[[#This Row],[C-Flex 3000K 3W Part Number]],Lutron_CFlex_Lookup[],MATCH("Lutron Kit PN",Lutron_CFlex_Lookup[#Headers],0),FALSE),"")</f>
        <v>3LD4T8-2M30-q</v>
      </c>
      <c r="AK236" s="1" t="str">
        <f>_xlfn.IFNA(VLOOKUP(Master_Reference[[#This Row],[C-Flex 3500K 3W Part Number]],Lutron_CFlex_Lookup[],MATCH("Lutron Kit PN",Lutron_CFlex_Lookup[#Headers],0),FALSE),"")</f>
        <v>3LD4T8-2M35-q</v>
      </c>
      <c r="AL236" s="1" t="str">
        <f>_xlfn.IFNA(VLOOKUP(Master_Reference[[#This Row],[C-Flex 4000K 3W Part Number]],Lutron_CFlex_Lookup[],MATCH("Lutron Kit PN",Lutron_CFlex_Lookup[#Headers],0),FALSE),"")</f>
        <v>3LD4T8-2M40-q</v>
      </c>
      <c r="AM236" s="1" t="str">
        <f>_xlfn.IFNA(VLOOKUP(Master_Reference[[#This Row],[C-Flex 5000K 3W Part Number]],Lutron_CFlex_Lookup[],MATCH("Lutron Kit PN",Lutron_CFlex_Lookup[#Headers],0),FALSE),"")</f>
        <v>3LD4T8-2M50-q</v>
      </c>
      <c r="AN236" s="1" t="b">
        <f>NOT(ISNA(VLOOKUP(Master_Reference[[#This Row],[Model Number]],ObsoleteModels[],1,FALSE)))</f>
        <v>1</v>
      </c>
      <c r="AO236" s="1" t="str">
        <f>IF(LEFT(Master_Reference[[#This Row],[Model Number]],1)="U",LEFT(Master_Reference[[#This Row],[Model Number]],4),LEFT(Master_Reference[[#This Row],[Model Number]],3))</f>
        <v>EC5</v>
      </c>
    </row>
    <row r="237" spans="1:41" x14ac:dyDescent="0.25">
      <c r="A237" s="2" t="s">
        <v>510</v>
      </c>
      <c r="B237" s="1" t="b">
        <v>1</v>
      </c>
      <c r="C237" s="1" t="b">
        <v>1</v>
      </c>
      <c r="F237" s="1" t="b">
        <v>1</v>
      </c>
      <c r="G237" s="1" t="b">
        <v>1</v>
      </c>
      <c r="H237" s="1" t="str">
        <f>IF(LEFT(Master_Reference[[#This Row],[Model Number]],1)="U",TRUE,"")</f>
        <v/>
      </c>
      <c r="I237" s="1" t="b">
        <f>IF(Master_Reference[[#This Row],[Lamp Type]]="T4","",IF(Master_Reference[[#This Row],[Case Type]]="M","",TRUE))</f>
        <v>1</v>
      </c>
      <c r="J237" s="1" t="str">
        <f t="shared" si="5"/>
        <v>T8</v>
      </c>
      <c r="K237" s="1">
        <v>32</v>
      </c>
      <c r="L237" s="1" t="s">
        <v>118</v>
      </c>
      <c r="M237" s="1">
        <v>3</v>
      </c>
      <c r="N237" s="1" t="s">
        <v>149</v>
      </c>
      <c r="O237" s="1" t="s">
        <v>217</v>
      </c>
      <c r="R237" t="b">
        <f>IF(COUNTBLANK(Master_Reference[[#This Row],[C-Flex 3000K Eco Part Number]:[C-Flex 4000K Eco Part Number]])=3,FALSE,TRUE)</f>
        <v>1</v>
      </c>
      <c r="S237" t="b">
        <f>IF(COUNTBLANK(Master_Reference[[#This Row],[C-Flex 3000K 3W Part Number]:[C-Flex 4000K 3W Part Number]])=3,FALSE,TRUE)</f>
        <v>1</v>
      </c>
      <c r="T237" t="b">
        <f>IF(COUNTBLANK(Master_Reference[[#This Row],[Lutron 3000K Eco Part Number]:[Lutron 4000K Eco Part Number]])=3,FALSE,TRUE)</f>
        <v>1</v>
      </c>
      <c r="U237" t="b">
        <f>IF(COUNTBLANK(Master_Reference[[#This Row],[Lutron 3000K 3W Part Number]:[Lutron 4000K 3W Part Number]])=3,FALSE,TRUE)</f>
        <v>1</v>
      </c>
      <c r="V237" s="12" t="s">
        <v>495</v>
      </c>
      <c r="W237" s="12" t="s">
        <v>496</v>
      </c>
      <c r="X237" s="12" t="s">
        <v>497</v>
      </c>
      <c r="Y237" t="s">
        <v>1746</v>
      </c>
      <c r="Z237" s="12" t="s">
        <v>277</v>
      </c>
      <c r="AA237" s="12" t="s">
        <v>278</v>
      </c>
      <c r="AB237" s="12" t="s">
        <v>279</v>
      </c>
      <c r="AC237" t="s">
        <v>1831</v>
      </c>
      <c r="AD237" t="str">
        <f>SUBSTITUTE(Master_Reference[[#This Row],[C-Flex 4000K Eco Part Number]],"40-","xx-")</f>
        <v>RP-T8-4FT-3L-8xx-E1-M-G2</v>
      </c>
      <c r="AE237" t="str">
        <f>SUBSTITUTE(Master_Reference[[#This Row],[C-Flex 4000K 3W Part Number]],"40-","xx-")</f>
        <v>RP-T8-4FT-3L-8xx-3W-M-G2</v>
      </c>
      <c r="AF237" s="1" t="str">
        <f>_xlfn.IFNA(VLOOKUP(Master_Reference[[#This Row],[C-Flex 3000K Eco Part Number]],Lutron_CFlex_Lookup[],MATCH("Lutron Kit PN",Lutron_CFlex_Lookup[#Headers],0),FALSE),"")</f>
        <v>ELD4T8-3M30-q</v>
      </c>
      <c r="AG237" s="1" t="str">
        <f>_xlfn.IFNA(VLOOKUP(Master_Reference[[#This Row],[C-Flex 3500K Eco Part Number]],Lutron_CFlex_Lookup[],MATCH("Lutron Kit PN",Lutron_CFlex_Lookup[#Headers],0),FALSE),"")</f>
        <v>ELD4T8-3M35-q</v>
      </c>
      <c r="AH237" s="1" t="str">
        <f>_xlfn.IFNA(VLOOKUP(Master_Reference[[#This Row],[C-Flex 4000K Eco Part Number]],Lutron_CFlex_Lookup[],MATCH("Lutron Kit PN",Lutron_CFlex_Lookup[#Headers],0),FALSE),"")</f>
        <v>ELD4T8-3M40-q</v>
      </c>
      <c r="AI237" s="1" t="str">
        <f>_xlfn.IFNA(VLOOKUP(Master_Reference[[#This Row],[C-Flex 5000K Eco Part Number]],Lutron_CFlex_Lookup[],MATCH("Lutron Kit PN",Lutron_CFlex_Lookup[#Headers],0),FALSE),"")</f>
        <v>ELD4T8-3M50-q</v>
      </c>
      <c r="AJ237" s="1" t="str">
        <f>_xlfn.IFNA(VLOOKUP(Master_Reference[[#This Row],[C-Flex 3000K 3W Part Number]],Lutron_CFlex_Lookup[],MATCH("Lutron Kit PN",Lutron_CFlex_Lookup[#Headers],0),FALSE),"")</f>
        <v>3LD4T8-3M30-q</v>
      </c>
      <c r="AK237" s="1" t="str">
        <f>_xlfn.IFNA(VLOOKUP(Master_Reference[[#This Row],[C-Flex 3500K 3W Part Number]],Lutron_CFlex_Lookup[],MATCH("Lutron Kit PN",Lutron_CFlex_Lookup[#Headers],0),FALSE),"")</f>
        <v>3LD4T8-3M35-q</v>
      </c>
      <c r="AL237" s="1" t="str">
        <f>_xlfn.IFNA(VLOOKUP(Master_Reference[[#This Row],[C-Flex 4000K 3W Part Number]],Lutron_CFlex_Lookup[],MATCH("Lutron Kit PN",Lutron_CFlex_Lookup[#Headers],0),FALSE),"")</f>
        <v>3LD4T8-3M40-q</v>
      </c>
      <c r="AM237" s="1" t="str">
        <f>_xlfn.IFNA(VLOOKUP(Master_Reference[[#This Row],[C-Flex 5000K 3W Part Number]],Lutron_CFlex_Lookup[],MATCH("Lutron Kit PN",Lutron_CFlex_Lookup[#Headers],0),FALSE),"")</f>
        <v>3LD4T8-3M50-q</v>
      </c>
      <c r="AN237" s="1" t="b">
        <f>NOT(ISNA(VLOOKUP(Master_Reference[[#This Row],[Model Number]],ObsoleteModels[],1,FALSE)))</f>
        <v>0</v>
      </c>
      <c r="AO237" s="1" t="str">
        <f>IF(LEFT(Master_Reference[[#This Row],[Model Number]],1)="U",LEFT(Master_Reference[[#This Row],[Model Number]],4),LEFT(Master_Reference[[#This Row],[Model Number]],3))</f>
        <v>EC5</v>
      </c>
    </row>
    <row r="238" spans="1:41" x14ac:dyDescent="0.25">
      <c r="A238" s="2" t="s">
        <v>511</v>
      </c>
      <c r="B238" s="1" t="b">
        <v>1</v>
      </c>
      <c r="C238" s="1" t="b">
        <v>1</v>
      </c>
      <c r="F238" s="1" t="b">
        <v>1</v>
      </c>
      <c r="G238" s="1" t="str">
        <f>IF(OR(LEFT(RIGHT(Master_Reference[[#This Row],[Model Number]],3),1)="C",LEFT(RIGHT(Master_Reference[[#This Row],[Model Number]],4),1)="C"),TRUE,"")</f>
        <v/>
      </c>
      <c r="H238" s="1" t="str">
        <f>IF(LEFT(Master_Reference[[#This Row],[Model Number]],1)="U",TRUE,"")</f>
        <v/>
      </c>
      <c r="I238" s="1" t="b">
        <f>IF(Master_Reference[[#This Row],[Lamp Type]]="T4","",IF(Master_Reference[[#This Row],[Case Type]]="M","",TRUE))</f>
        <v>1</v>
      </c>
      <c r="J238" s="1" t="str">
        <f t="shared" si="5"/>
        <v>T8</v>
      </c>
      <c r="K238" s="1">
        <v>32</v>
      </c>
      <c r="L238" s="1" t="s">
        <v>118</v>
      </c>
      <c r="M238" s="1">
        <v>3</v>
      </c>
      <c r="N238" s="1" t="s">
        <v>149</v>
      </c>
      <c r="O238" s="1" t="s">
        <v>217</v>
      </c>
      <c r="R238" t="b">
        <f>IF(COUNTBLANK(Master_Reference[[#This Row],[C-Flex 3000K Eco Part Number]:[C-Flex 4000K Eco Part Number]])=3,FALSE,TRUE)</f>
        <v>1</v>
      </c>
      <c r="S238" t="b">
        <f>IF(COUNTBLANK(Master_Reference[[#This Row],[C-Flex 3000K 3W Part Number]:[C-Flex 4000K 3W Part Number]])=3,FALSE,TRUE)</f>
        <v>1</v>
      </c>
      <c r="T238" t="b">
        <f>IF(COUNTBLANK(Master_Reference[[#This Row],[Lutron 3000K Eco Part Number]:[Lutron 4000K Eco Part Number]])=3,FALSE,TRUE)</f>
        <v>1</v>
      </c>
      <c r="U238" t="b">
        <f>IF(COUNTBLANK(Master_Reference[[#This Row],[Lutron 3000K 3W Part Number]:[Lutron 4000K 3W Part Number]])=3,FALSE,TRUE)</f>
        <v>1</v>
      </c>
      <c r="V238" s="12" t="s">
        <v>495</v>
      </c>
      <c r="W238" s="12" t="s">
        <v>496</v>
      </c>
      <c r="X238" s="12" t="s">
        <v>497</v>
      </c>
      <c r="Y238" t="s">
        <v>1746</v>
      </c>
      <c r="Z238" s="12" t="s">
        <v>277</v>
      </c>
      <c r="AA238" s="12" t="s">
        <v>278</v>
      </c>
      <c r="AB238" s="12" t="s">
        <v>279</v>
      </c>
      <c r="AC238" t="s">
        <v>1831</v>
      </c>
      <c r="AD238" t="str">
        <f>SUBSTITUTE(Master_Reference[[#This Row],[C-Flex 4000K Eco Part Number]],"40-","xx-")</f>
        <v>RP-T8-4FT-3L-8xx-E1-M-G2</v>
      </c>
      <c r="AE238" t="str">
        <f>SUBSTITUTE(Master_Reference[[#This Row],[C-Flex 4000K 3W Part Number]],"40-","xx-")</f>
        <v>RP-T8-4FT-3L-8xx-3W-M-G2</v>
      </c>
      <c r="AF238" s="1" t="str">
        <f>_xlfn.IFNA(VLOOKUP(Master_Reference[[#This Row],[C-Flex 3000K Eco Part Number]],Lutron_CFlex_Lookup[],MATCH("Lutron Kit PN",Lutron_CFlex_Lookup[#Headers],0),FALSE),"")</f>
        <v>ELD4T8-3M30-q</v>
      </c>
      <c r="AG238" s="1" t="str">
        <f>_xlfn.IFNA(VLOOKUP(Master_Reference[[#This Row],[C-Flex 3500K Eco Part Number]],Lutron_CFlex_Lookup[],MATCH("Lutron Kit PN",Lutron_CFlex_Lookup[#Headers],0),FALSE),"")</f>
        <v>ELD4T8-3M35-q</v>
      </c>
      <c r="AH238" s="1" t="str">
        <f>_xlfn.IFNA(VLOOKUP(Master_Reference[[#This Row],[C-Flex 4000K Eco Part Number]],Lutron_CFlex_Lookup[],MATCH("Lutron Kit PN",Lutron_CFlex_Lookup[#Headers],0),FALSE),"")</f>
        <v>ELD4T8-3M40-q</v>
      </c>
      <c r="AI238" s="1" t="str">
        <f>_xlfn.IFNA(VLOOKUP(Master_Reference[[#This Row],[C-Flex 5000K Eco Part Number]],Lutron_CFlex_Lookup[],MATCH("Lutron Kit PN",Lutron_CFlex_Lookup[#Headers],0),FALSE),"")</f>
        <v>ELD4T8-3M50-q</v>
      </c>
      <c r="AJ238" s="1" t="str">
        <f>_xlfn.IFNA(VLOOKUP(Master_Reference[[#This Row],[C-Flex 3000K 3W Part Number]],Lutron_CFlex_Lookup[],MATCH("Lutron Kit PN",Lutron_CFlex_Lookup[#Headers],0),FALSE),"")</f>
        <v>3LD4T8-3M30-q</v>
      </c>
      <c r="AK238" s="1" t="str">
        <f>_xlfn.IFNA(VLOOKUP(Master_Reference[[#This Row],[C-Flex 3500K 3W Part Number]],Lutron_CFlex_Lookup[],MATCH("Lutron Kit PN",Lutron_CFlex_Lookup[#Headers],0),FALSE),"")</f>
        <v>3LD4T8-3M35-q</v>
      </c>
      <c r="AL238" s="1" t="str">
        <f>_xlfn.IFNA(VLOOKUP(Master_Reference[[#This Row],[C-Flex 4000K 3W Part Number]],Lutron_CFlex_Lookup[],MATCH("Lutron Kit PN",Lutron_CFlex_Lookup[#Headers],0),FALSE),"")</f>
        <v>3LD4T8-3M40-q</v>
      </c>
      <c r="AM238" s="1" t="str">
        <f>_xlfn.IFNA(VLOOKUP(Master_Reference[[#This Row],[C-Flex 5000K 3W Part Number]],Lutron_CFlex_Lookup[],MATCH("Lutron Kit PN",Lutron_CFlex_Lookup[#Headers],0),FALSE),"")</f>
        <v>3LD4T8-3M50-q</v>
      </c>
      <c r="AN238" s="1" t="b">
        <f>NOT(ISNA(VLOOKUP(Master_Reference[[#This Row],[Model Number]],ObsoleteModels[],1,FALSE)))</f>
        <v>0</v>
      </c>
      <c r="AO238" s="1" t="str">
        <f>IF(LEFT(Master_Reference[[#This Row],[Model Number]],1)="U",LEFT(Master_Reference[[#This Row],[Model Number]],4),LEFT(Master_Reference[[#This Row],[Model Number]],3))</f>
        <v>EC5</v>
      </c>
    </row>
    <row r="239" spans="1:41" x14ac:dyDescent="0.25">
      <c r="A239" s="2" t="s">
        <v>512</v>
      </c>
      <c r="B239" s="1" t="b">
        <v>1</v>
      </c>
      <c r="C239" s="1" t="b">
        <v>1</v>
      </c>
      <c r="F239" s="1" t="b">
        <v>1</v>
      </c>
      <c r="G239" s="1" t="b">
        <f>IF(OR(LEFT(RIGHT(Master_Reference[[#This Row],[Model Number]],3),1)="C",LEFT(RIGHT(Master_Reference[[#This Row],[Model Number]],4),1)="C"),TRUE,"")</f>
        <v>1</v>
      </c>
      <c r="H239" s="1" t="str">
        <f>IF(LEFT(Master_Reference[[#This Row],[Model Number]],1)="U",TRUE,"")</f>
        <v/>
      </c>
      <c r="I239" s="1" t="b">
        <f>IF(Master_Reference[[#This Row],[Lamp Type]]="T4","",IF(Master_Reference[[#This Row],[Case Type]]="M","",TRUE))</f>
        <v>1</v>
      </c>
      <c r="J239" s="1" t="str">
        <f t="shared" si="5"/>
        <v>T8</v>
      </c>
      <c r="K239" s="1">
        <v>32</v>
      </c>
      <c r="L239" s="1" t="s">
        <v>118</v>
      </c>
      <c r="M239" s="1">
        <v>3</v>
      </c>
      <c r="N239" s="1" t="s">
        <v>149</v>
      </c>
      <c r="O239" s="1" t="s">
        <v>217</v>
      </c>
      <c r="R239" t="b">
        <f>IF(COUNTBLANK(Master_Reference[[#This Row],[C-Flex 3000K Eco Part Number]:[C-Flex 4000K Eco Part Number]])=3,FALSE,TRUE)</f>
        <v>1</v>
      </c>
      <c r="S239" t="b">
        <f>IF(COUNTBLANK(Master_Reference[[#This Row],[C-Flex 3000K 3W Part Number]:[C-Flex 4000K 3W Part Number]])=3,FALSE,TRUE)</f>
        <v>1</v>
      </c>
      <c r="T239" t="b">
        <f>IF(COUNTBLANK(Master_Reference[[#This Row],[Lutron 3000K Eco Part Number]:[Lutron 4000K Eco Part Number]])=3,FALSE,TRUE)</f>
        <v>1</v>
      </c>
      <c r="U239" t="b">
        <f>IF(COUNTBLANK(Master_Reference[[#This Row],[Lutron 3000K 3W Part Number]:[Lutron 4000K 3W Part Number]])=3,FALSE,TRUE)</f>
        <v>1</v>
      </c>
      <c r="V239" s="12" t="s">
        <v>495</v>
      </c>
      <c r="W239" s="12" t="s">
        <v>496</v>
      </c>
      <c r="X239" s="12" t="s">
        <v>497</v>
      </c>
      <c r="Y239" t="s">
        <v>1746</v>
      </c>
      <c r="Z239" s="12" t="s">
        <v>277</v>
      </c>
      <c r="AA239" s="12" t="s">
        <v>278</v>
      </c>
      <c r="AB239" s="12" t="s">
        <v>279</v>
      </c>
      <c r="AC239" t="s">
        <v>1831</v>
      </c>
      <c r="AD239" t="str">
        <f>SUBSTITUTE(Master_Reference[[#This Row],[C-Flex 4000K Eco Part Number]],"40-","xx-")</f>
        <v>RP-T8-4FT-3L-8xx-E1-M-G2</v>
      </c>
      <c r="AE239" t="str">
        <f>SUBSTITUTE(Master_Reference[[#This Row],[C-Flex 4000K 3W Part Number]],"40-","xx-")</f>
        <v>RP-T8-4FT-3L-8xx-3W-M-G2</v>
      </c>
      <c r="AF239" s="1" t="str">
        <f>_xlfn.IFNA(VLOOKUP(Master_Reference[[#This Row],[C-Flex 3000K Eco Part Number]],Lutron_CFlex_Lookup[],MATCH("Lutron Kit PN",Lutron_CFlex_Lookup[#Headers],0),FALSE),"")</f>
        <v>ELD4T8-3M30-q</v>
      </c>
      <c r="AG239" s="1" t="str">
        <f>_xlfn.IFNA(VLOOKUP(Master_Reference[[#This Row],[C-Flex 3500K Eco Part Number]],Lutron_CFlex_Lookup[],MATCH("Lutron Kit PN",Lutron_CFlex_Lookup[#Headers],0),FALSE),"")</f>
        <v>ELD4T8-3M35-q</v>
      </c>
      <c r="AH239" s="1" t="str">
        <f>_xlfn.IFNA(VLOOKUP(Master_Reference[[#This Row],[C-Flex 4000K Eco Part Number]],Lutron_CFlex_Lookup[],MATCH("Lutron Kit PN",Lutron_CFlex_Lookup[#Headers],0),FALSE),"")</f>
        <v>ELD4T8-3M40-q</v>
      </c>
      <c r="AI239" s="1" t="str">
        <f>_xlfn.IFNA(VLOOKUP(Master_Reference[[#This Row],[C-Flex 5000K Eco Part Number]],Lutron_CFlex_Lookup[],MATCH("Lutron Kit PN",Lutron_CFlex_Lookup[#Headers],0),FALSE),"")</f>
        <v>ELD4T8-3M50-q</v>
      </c>
      <c r="AJ239" s="1" t="str">
        <f>_xlfn.IFNA(VLOOKUP(Master_Reference[[#This Row],[C-Flex 3000K 3W Part Number]],Lutron_CFlex_Lookup[],MATCH("Lutron Kit PN",Lutron_CFlex_Lookup[#Headers],0),FALSE),"")</f>
        <v>3LD4T8-3M30-q</v>
      </c>
      <c r="AK239" s="1" t="str">
        <f>_xlfn.IFNA(VLOOKUP(Master_Reference[[#This Row],[C-Flex 3500K 3W Part Number]],Lutron_CFlex_Lookup[],MATCH("Lutron Kit PN",Lutron_CFlex_Lookup[#Headers],0),FALSE),"")</f>
        <v>3LD4T8-3M35-q</v>
      </c>
      <c r="AL239" s="1" t="str">
        <f>_xlfn.IFNA(VLOOKUP(Master_Reference[[#This Row],[C-Flex 4000K 3W Part Number]],Lutron_CFlex_Lookup[],MATCH("Lutron Kit PN",Lutron_CFlex_Lookup[#Headers],0),FALSE),"")</f>
        <v>3LD4T8-3M40-q</v>
      </c>
      <c r="AM239" s="1" t="str">
        <f>_xlfn.IFNA(VLOOKUP(Master_Reference[[#This Row],[C-Flex 5000K 3W Part Number]],Lutron_CFlex_Lookup[],MATCH("Lutron Kit PN",Lutron_CFlex_Lookup[#Headers],0),FALSE),"")</f>
        <v>3LD4T8-3M50-q</v>
      </c>
      <c r="AN239" s="1" t="b">
        <f>NOT(ISNA(VLOOKUP(Master_Reference[[#This Row],[Model Number]],ObsoleteModels[],1,FALSE)))</f>
        <v>1</v>
      </c>
      <c r="AO239" s="1" t="str">
        <f>IF(LEFT(Master_Reference[[#This Row],[Model Number]],1)="U",LEFT(Master_Reference[[#This Row],[Model Number]],4),LEFT(Master_Reference[[#This Row],[Model Number]],3))</f>
        <v>EC5</v>
      </c>
    </row>
    <row r="240" spans="1:41" x14ac:dyDescent="0.25">
      <c r="A240" s="2" t="s">
        <v>513</v>
      </c>
      <c r="B240" s="1" t="b">
        <v>1</v>
      </c>
      <c r="C240" s="1" t="b">
        <v>1</v>
      </c>
      <c r="F240" s="1" t="b">
        <v>1</v>
      </c>
      <c r="G240" s="1" t="b">
        <f>IF(OR(LEFT(RIGHT(Master_Reference[[#This Row],[Model Number]],3),1)="C",LEFT(RIGHT(Master_Reference[[#This Row],[Model Number]],4),1)="C"),TRUE,"")</f>
        <v>1</v>
      </c>
      <c r="H240" s="1" t="str">
        <f>IF(LEFT(Master_Reference[[#This Row],[Model Number]],1)="U",TRUE,"")</f>
        <v/>
      </c>
      <c r="I240" s="1" t="b">
        <f>IF(Master_Reference[[#This Row],[Lamp Type]]="T4","",IF(Master_Reference[[#This Row],[Case Type]]="M","",TRUE))</f>
        <v>1</v>
      </c>
      <c r="J240" s="1" t="str">
        <f t="shared" si="5"/>
        <v>T8</v>
      </c>
      <c r="K240" s="1">
        <v>32</v>
      </c>
      <c r="L240" s="1" t="s">
        <v>118</v>
      </c>
      <c r="M240" s="1">
        <v>3</v>
      </c>
      <c r="N240" s="1" t="s">
        <v>149</v>
      </c>
      <c r="O240" s="1" t="s">
        <v>217</v>
      </c>
      <c r="R240" t="b">
        <f>IF(COUNTBLANK(Master_Reference[[#This Row],[C-Flex 3000K Eco Part Number]:[C-Flex 4000K Eco Part Number]])=3,FALSE,TRUE)</f>
        <v>1</v>
      </c>
      <c r="S240" t="b">
        <f>IF(COUNTBLANK(Master_Reference[[#This Row],[C-Flex 3000K 3W Part Number]:[C-Flex 4000K 3W Part Number]])=3,FALSE,TRUE)</f>
        <v>1</v>
      </c>
      <c r="T240" t="b">
        <f>IF(COUNTBLANK(Master_Reference[[#This Row],[Lutron 3000K Eco Part Number]:[Lutron 4000K Eco Part Number]])=3,FALSE,TRUE)</f>
        <v>1</v>
      </c>
      <c r="U240" t="b">
        <f>IF(COUNTBLANK(Master_Reference[[#This Row],[Lutron 3000K 3W Part Number]:[Lutron 4000K 3W Part Number]])=3,FALSE,TRUE)</f>
        <v>1</v>
      </c>
      <c r="V240" s="12" t="s">
        <v>495</v>
      </c>
      <c r="W240" s="12" t="s">
        <v>496</v>
      </c>
      <c r="X240" s="12" t="s">
        <v>497</v>
      </c>
      <c r="Y240" t="s">
        <v>1746</v>
      </c>
      <c r="Z240" s="12" t="s">
        <v>277</v>
      </c>
      <c r="AA240" s="12" t="s">
        <v>278</v>
      </c>
      <c r="AB240" s="12" t="s">
        <v>279</v>
      </c>
      <c r="AC240" t="s">
        <v>1831</v>
      </c>
      <c r="AD240" t="str">
        <f>SUBSTITUTE(Master_Reference[[#This Row],[C-Flex 4000K Eco Part Number]],"40-","xx-")</f>
        <v>RP-T8-4FT-3L-8xx-E1-M-G2</v>
      </c>
      <c r="AE240" t="str">
        <f>SUBSTITUTE(Master_Reference[[#This Row],[C-Flex 4000K 3W Part Number]],"40-","xx-")</f>
        <v>RP-T8-4FT-3L-8xx-3W-M-G2</v>
      </c>
      <c r="AF240" s="1" t="str">
        <f>_xlfn.IFNA(VLOOKUP(Master_Reference[[#This Row],[C-Flex 3000K Eco Part Number]],Lutron_CFlex_Lookup[],MATCH("Lutron Kit PN",Lutron_CFlex_Lookup[#Headers],0),FALSE),"")</f>
        <v>ELD4T8-3M30-q</v>
      </c>
      <c r="AG240" s="1" t="str">
        <f>_xlfn.IFNA(VLOOKUP(Master_Reference[[#This Row],[C-Flex 3500K Eco Part Number]],Lutron_CFlex_Lookup[],MATCH("Lutron Kit PN",Lutron_CFlex_Lookup[#Headers],0),FALSE),"")</f>
        <v>ELD4T8-3M35-q</v>
      </c>
      <c r="AH240" s="1" t="str">
        <f>_xlfn.IFNA(VLOOKUP(Master_Reference[[#This Row],[C-Flex 4000K Eco Part Number]],Lutron_CFlex_Lookup[],MATCH("Lutron Kit PN",Lutron_CFlex_Lookup[#Headers],0),FALSE),"")</f>
        <v>ELD4T8-3M40-q</v>
      </c>
      <c r="AI240" s="1" t="str">
        <f>_xlfn.IFNA(VLOOKUP(Master_Reference[[#This Row],[C-Flex 5000K Eco Part Number]],Lutron_CFlex_Lookup[],MATCH("Lutron Kit PN",Lutron_CFlex_Lookup[#Headers],0),FALSE),"")</f>
        <v>ELD4T8-3M50-q</v>
      </c>
      <c r="AJ240" s="1" t="str">
        <f>_xlfn.IFNA(VLOOKUP(Master_Reference[[#This Row],[C-Flex 3000K 3W Part Number]],Lutron_CFlex_Lookup[],MATCH("Lutron Kit PN",Lutron_CFlex_Lookup[#Headers],0),FALSE),"")</f>
        <v>3LD4T8-3M30-q</v>
      </c>
      <c r="AK240" s="1" t="str">
        <f>_xlfn.IFNA(VLOOKUP(Master_Reference[[#This Row],[C-Flex 3500K 3W Part Number]],Lutron_CFlex_Lookup[],MATCH("Lutron Kit PN",Lutron_CFlex_Lookup[#Headers],0),FALSE),"")</f>
        <v>3LD4T8-3M35-q</v>
      </c>
      <c r="AL240" s="1" t="str">
        <f>_xlfn.IFNA(VLOOKUP(Master_Reference[[#This Row],[C-Flex 4000K 3W Part Number]],Lutron_CFlex_Lookup[],MATCH("Lutron Kit PN",Lutron_CFlex_Lookup[#Headers],0),FALSE),"")</f>
        <v>3LD4T8-3M40-q</v>
      </c>
      <c r="AM240" s="1" t="str">
        <f>_xlfn.IFNA(VLOOKUP(Master_Reference[[#This Row],[C-Flex 5000K 3W Part Number]],Lutron_CFlex_Lookup[],MATCH("Lutron Kit PN",Lutron_CFlex_Lookup[#Headers],0),FALSE),"")</f>
        <v>3LD4T8-3M50-q</v>
      </c>
      <c r="AN240" s="1" t="b">
        <f>NOT(ISNA(VLOOKUP(Master_Reference[[#This Row],[Model Number]],ObsoleteModels[],1,FALSE)))</f>
        <v>1</v>
      </c>
      <c r="AO240" s="1" t="str">
        <f>IF(LEFT(Master_Reference[[#This Row],[Model Number]],1)="U",LEFT(Master_Reference[[#This Row],[Model Number]],4),LEFT(Master_Reference[[#This Row],[Model Number]],3))</f>
        <v>EC5</v>
      </c>
    </row>
    <row r="241" spans="1:41" x14ac:dyDescent="0.25">
      <c r="A241" s="2" t="s">
        <v>514</v>
      </c>
      <c r="B241" s="1" t="b">
        <v>1</v>
      </c>
      <c r="C241" s="1" t="b">
        <v>1</v>
      </c>
      <c r="F241" s="1" t="b">
        <v>1</v>
      </c>
      <c r="G241" s="1" t="str">
        <f>IF(OR(LEFT(RIGHT(Master_Reference[[#This Row],[Model Number]],3),1)="C",LEFT(RIGHT(Master_Reference[[#This Row],[Model Number]],4),1)="C"),TRUE,"")</f>
        <v/>
      </c>
      <c r="H241" s="1" t="str">
        <f>IF(LEFT(Master_Reference[[#This Row],[Model Number]],1)="U",TRUE,"")</f>
        <v/>
      </c>
      <c r="I241" s="1" t="b">
        <f>IF(Master_Reference[[#This Row],[Lamp Type]]="T4","",IF(Master_Reference[[#This Row],[Case Type]]="M","",TRUE))</f>
        <v>1</v>
      </c>
      <c r="J241" s="1" t="str">
        <f t="shared" si="5"/>
        <v>T8</v>
      </c>
      <c r="K241" s="1">
        <v>32</v>
      </c>
      <c r="L241" s="1" t="s">
        <v>118</v>
      </c>
      <c r="M241" s="1">
        <v>1</v>
      </c>
      <c r="N241" s="1">
        <v>120</v>
      </c>
      <c r="O241" s="1" t="s">
        <v>320</v>
      </c>
      <c r="R241" t="b">
        <f>IF(COUNTBLANK(Master_Reference[[#This Row],[C-Flex 3000K Eco Part Number]:[C-Flex 4000K Eco Part Number]])=3,FALSE,TRUE)</f>
        <v>1</v>
      </c>
      <c r="S241" t="b">
        <f>IF(COUNTBLANK(Master_Reference[[#This Row],[C-Flex 3000K 3W Part Number]:[C-Flex 4000K 3W Part Number]])=3,FALSE,TRUE)</f>
        <v>1</v>
      </c>
      <c r="T241" t="b">
        <f>IF(COUNTBLANK(Master_Reference[[#This Row],[Lutron 3000K Eco Part Number]:[Lutron 4000K Eco Part Number]])=3,FALSE,TRUE)</f>
        <v>1</v>
      </c>
      <c r="U241" t="b">
        <f>IF(COUNTBLANK(Master_Reference[[#This Row],[Lutron 3000K 3W Part Number]:[Lutron 4000K 3W Part Number]])=3,FALSE,TRUE)</f>
        <v>1</v>
      </c>
      <c r="V241" s="12" t="s">
        <v>312</v>
      </c>
      <c r="W241" s="12" t="s">
        <v>313</v>
      </c>
      <c r="X241" s="12" t="s">
        <v>314</v>
      </c>
      <c r="Y241" t="s">
        <v>1744</v>
      </c>
      <c r="Z241" s="12" t="s">
        <v>264</v>
      </c>
      <c r="AA241" s="12" t="s">
        <v>265</v>
      </c>
      <c r="AB241" s="12" t="s">
        <v>266</v>
      </c>
      <c r="AC241" t="s">
        <v>1829</v>
      </c>
      <c r="AD241" t="str">
        <f>SUBSTITUTE(Master_Reference[[#This Row],[C-Flex 4000K Eco Part Number]],"40-","xx-")</f>
        <v>RP-T8-4FT-1L-8xx-E1-M-G2</v>
      </c>
      <c r="AE241" t="str">
        <f>SUBSTITUTE(Master_Reference[[#This Row],[C-Flex 4000K 3W Part Number]],"40-","xx-")</f>
        <v>RP-T8-4FT-1L-8xx-3W-M-G2</v>
      </c>
      <c r="AF241" s="1" t="str">
        <f>_xlfn.IFNA(VLOOKUP(Master_Reference[[#This Row],[C-Flex 3000K Eco Part Number]],Lutron_CFlex_Lookup[],MATCH("Lutron Kit PN",Lutron_CFlex_Lookup[#Headers],0),FALSE),"")</f>
        <v>ELD4T8-1M30-q</v>
      </c>
      <c r="AG241" s="1" t="str">
        <f>_xlfn.IFNA(VLOOKUP(Master_Reference[[#This Row],[C-Flex 3500K Eco Part Number]],Lutron_CFlex_Lookup[],MATCH("Lutron Kit PN",Lutron_CFlex_Lookup[#Headers],0),FALSE),"")</f>
        <v>ELD4T8-1M35-q</v>
      </c>
      <c r="AH241" s="1" t="str">
        <f>_xlfn.IFNA(VLOOKUP(Master_Reference[[#This Row],[C-Flex 4000K Eco Part Number]],Lutron_CFlex_Lookup[],MATCH("Lutron Kit PN",Lutron_CFlex_Lookup[#Headers],0),FALSE),"")</f>
        <v>ELD4T8-1M40-q</v>
      </c>
      <c r="AI241" s="1" t="str">
        <f>_xlfn.IFNA(VLOOKUP(Master_Reference[[#This Row],[C-Flex 5000K Eco Part Number]],Lutron_CFlex_Lookup[],MATCH("Lutron Kit PN",Lutron_CFlex_Lookup[#Headers],0),FALSE),"")</f>
        <v>ELD4T8-1M50-q</v>
      </c>
      <c r="AJ241" s="1" t="str">
        <f>_xlfn.IFNA(VLOOKUP(Master_Reference[[#This Row],[C-Flex 3000K 3W Part Number]],Lutron_CFlex_Lookup[],MATCH("Lutron Kit PN",Lutron_CFlex_Lookup[#Headers],0),FALSE),"")</f>
        <v>3LD4T8-1M30-q</v>
      </c>
      <c r="AK241" s="1" t="str">
        <f>_xlfn.IFNA(VLOOKUP(Master_Reference[[#This Row],[C-Flex 3500K 3W Part Number]],Lutron_CFlex_Lookup[],MATCH("Lutron Kit PN",Lutron_CFlex_Lookup[#Headers],0),FALSE),"")</f>
        <v>3LD4T8-1M35-q</v>
      </c>
      <c r="AL241" s="1" t="str">
        <f>_xlfn.IFNA(VLOOKUP(Master_Reference[[#This Row],[C-Flex 4000K 3W Part Number]],Lutron_CFlex_Lookup[],MATCH("Lutron Kit PN",Lutron_CFlex_Lookup[#Headers],0),FALSE),"")</f>
        <v>3LD4T8-1M40-q</v>
      </c>
      <c r="AM241" s="1" t="str">
        <f>_xlfn.IFNA(VLOOKUP(Master_Reference[[#This Row],[C-Flex 5000K 3W Part Number]],Lutron_CFlex_Lookup[],MATCH("Lutron Kit PN",Lutron_CFlex_Lookup[#Headers],0),FALSE),"")</f>
        <v>3LD4T8-1M50-q</v>
      </c>
      <c r="AN241" s="1" t="b">
        <f>NOT(ISNA(VLOOKUP(Master_Reference[[#This Row],[Model Number]],ObsoleteModels[],1,FALSE)))</f>
        <v>1</v>
      </c>
      <c r="AO241" s="1" t="str">
        <f>IF(LEFT(Master_Reference[[#This Row],[Model Number]],1)="U",LEFT(Master_Reference[[#This Row],[Model Number]],4),LEFT(Master_Reference[[#This Row],[Model Number]],3))</f>
        <v>EC5</v>
      </c>
    </row>
    <row r="242" spans="1:41" x14ac:dyDescent="0.25">
      <c r="A242" s="2" t="s">
        <v>515</v>
      </c>
      <c r="B242" s="1" t="b">
        <v>1</v>
      </c>
      <c r="C242" s="1" t="b">
        <v>1</v>
      </c>
      <c r="F242" s="1" t="b">
        <v>1</v>
      </c>
      <c r="G242" s="1" t="str">
        <f>IF(OR(LEFT(RIGHT(Master_Reference[[#This Row],[Model Number]],3),1)="C",LEFT(RIGHT(Master_Reference[[#This Row],[Model Number]],4),1)="C"),TRUE,"")</f>
        <v/>
      </c>
      <c r="H242" s="1" t="str">
        <f>IF(LEFT(Master_Reference[[#This Row],[Model Number]],1)="U",TRUE,"")</f>
        <v/>
      </c>
      <c r="I242" s="1" t="b">
        <f>IF(Master_Reference[[#This Row],[Lamp Type]]="T4","",IF(Master_Reference[[#This Row],[Case Type]]="M","",TRUE))</f>
        <v>1</v>
      </c>
      <c r="J242" s="1" t="str">
        <f t="shared" si="5"/>
        <v>T8</v>
      </c>
      <c r="K242" s="1">
        <v>32</v>
      </c>
      <c r="L242" s="1" t="s">
        <v>118</v>
      </c>
      <c r="M242" s="1">
        <v>1</v>
      </c>
      <c r="N242" s="1">
        <v>120</v>
      </c>
      <c r="O242" s="1" t="s">
        <v>320</v>
      </c>
      <c r="Q242" s="1" t="s">
        <v>91</v>
      </c>
      <c r="R242" t="b">
        <f>IF(COUNTBLANK(Master_Reference[[#This Row],[C-Flex 3000K Eco Part Number]:[C-Flex 4000K Eco Part Number]])=3,FALSE,TRUE)</f>
        <v>0</v>
      </c>
      <c r="S242" t="b">
        <f>IF(COUNTBLANK(Master_Reference[[#This Row],[C-Flex 3000K 3W Part Number]:[C-Flex 4000K 3W Part Number]])=3,FALSE,TRUE)</f>
        <v>0</v>
      </c>
      <c r="T242" t="b">
        <f>IF(COUNTBLANK(Master_Reference[[#This Row],[Lutron 3000K Eco Part Number]:[Lutron 4000K Eco Part Number]])=3,FALSE,TRUE)</f>
        <v>0</v>
      </c>
      <c r="U242" t="b">
        <f>IF(COUNTBLANK(Master_Reference[[#This Row],[Lutron 3000K 3W Part Number]:[Lutron 4000K 3W Part Number]])=3,FALSE,TRUE)</f>
        <v>0</v>
      </c>
      <c r="V242" s="12"/>
      <c r="W242" s="12"/>
      <c r="X242" s="12"/>
      <c r="Y242" t="s">
        <v>2125</v>
      </c>
      <c r="Z242" s="12"/>
      <c r="AA242" s="12"/>
      <c r="AB242" s="12"/>
      <c r="AC242" t="s">
        <v>2125</v>
      </c>
      <c r="AD242" t="str">
        <f>SUBSTITUTE(Master_Reference[[#This Row],[C-Flex 4000K Eco Part Number]],"40-","xx-")</f>
        <v/>
      </c>
      <c r="AE242" t="str">
        <f>SUBSTITUTE(Master_Reference[[#This Row],[C-Flex 4000K 3W Part Number]],"40-","xx-")</f>
        <v/>
      </c>
      <c r="AF242" s="1" t="str">
        <f>_xlfn.IFNA(VLOOKUP(Master_Reference[[#This Row],[C-Flex 3000K Eco Part Number]],Lutron_CFlex_Lookup[],MATCH("Lutron Kit PN",Lutron_CFlex_Lookup[#Headers],0),FALSE),"")</f>
        <v/>
      </c>
      <c r="AG242" s="1" t="str">
        <f>_xlfn.IFNA(VLOOKUP(Master_Reference[[#This Row],[C-Flex 3500K Eco Part Number]],Lutron_CFlex_Lookup[],MATCH("Lutron Kit PN",Lutron_CFlex_Lookup[#Headers],0),FALSE),"")</f>
        <v/>
      </c>
      <c r="AH242" s="1" t="str">
        <f>_xlfn.IFNA(VLOOKUP(Master_Reference[[#This Row],[C-Flex 4000K Eco Part Number]],Lutron_CFlex_Lookup[],MATCH("Lutron Kit PN",Lutron_CFlex_Lookup[#Headers],0),FALSE),"")</f>
        <v/>
      </c>
      <c r="AI242" s="1" t="str">
        <f>_xlfn.IFNA(VLOOKUP(Master_Reference[[#This Row],[C-Flex 5000K Eco Part Number]],Lutron_CFlex_Lookup[],MATCH("Lutron Kit PN",Lutron_CFlex_Lookup[#Headers],0),FALSE),"")</f>
        <v/>
      </c>
      <c r="AJ242" s="1" t="str">
        <f>_xlfn.IFNA(VLOOKUP(Master_Reference[[#This Row],[C-Flex 3000K 3W Part Number]],Lutron_CFlex_Lookup[],MATCH("Lutron Kit PN",Lutron_CFlex_Lookup[#Headers],0),FALSE),"")</f>
        <v/>
      </c>
      <c r="AK242" s="1" t="str">
        <f>_xlfn.IFNA(VLOOKUP(Master_Reference[[#This Row],[C-Flex 3500K 3W Part Number]],Lutron_CFlex_Lookup[],MATCH("Lutron Kit PN",Lutron_CFlex_Lookup[#Headers],0),FALSE),"")</f>
        <v/>
      </c>
      <c r="AL242" s="1" t="str">
        <f>_xlfn.IFNA(VLOOKUP(Master_Reference[[#This Row],[C-Flex 4000K 3W Part Number]],Lutron_CFlex_Lookup[],MATCH("Lutron Kit PN",Lutron_CFlex_Lookup[#Headers],0),FALSE),"")</f>
        <v/>
      </c>
      <c r="AM242" s="1" t="str">
        <f>_xlfn.IFNA(VLOOKUP(Master_Reference[[#This Row],[C-Flex 5000K 3W Part Number]],Lutron_CFlex_Lookup[],MATCH("Lutron Kit PN",Lutron_CFlex_Lookup[#Headers],0),FALSE),"")</f>
        <v/>
      </c>
      <c r="AN242" s="1" t="b">
        <f>NOT(ISNA(VLOOKUP(Master_Reference[[#This Row],[Model Number]],ObsoleteModels[],1,FALSE)))</f>
        <v>1</v>
      </c>
      <c r="AO242" s="1" t="str">
        <f>IF(LEFT(Master_Reference[[#This Row],[Model Number]],1)="U",LEFT(Master_Reference[[#This Row],[Model Number]],4),LEFT(Master_Reference[[#This Row],[Model Number]],3))</f>
        <v>EC5</v>
      </c>
    </row>
    <row r="243" spans="1:41" x14ac:dyDescent="0.25">
      <c r="A243" s="2" t="s">
        <v>516</v>
      </c>
      <c r="B243" s="1" t="b">
        <v>1</v>
      </c>
      <c r="C243" s="1" t="b">
        <v>1</v>
      </c>
      <c r="F243" s="1" t="b">
        <v>1</v>
      </c>
      <c r="G243" s="1" t="str">
        <f>IF(OR(LEFT(RIGHT(Master_Reference[[#This Row],[Model Number]],3),1)="C",LEFT(RIGHT(Master_Reference[[#This Row],[Model Number]],4),1)="C"),TRUE,"")</f>
        <v/>
      </c>
      <c r="H243" s="1" t="str">
        <f>IF(LEFT(Master_Reference[[#This Row],[Model Number]],1)="U",TRUE,"")</f>
        <v/>
      </c>
      <c r="I243" s="1" t="b">
        <f>IF(Master_Reference[[#This Row],[Lamp Type]]="T4","",IF(Master_Reference[[#This Row],[Case Type]]="M","",TRUE))</f>
        <v>1</v>
      </c>
      <c r="J243" s="1" t="str">
        <f t="shared" si="5"/>
        <v>T8</v>
      </c>
      <c r="K243" s="1">
        <v>32</v>
      </c>
      <c r="L243" s="1" t="s">
        <v>118</v>
      </c>
      <c r="M243" s="1">
        <v>2</v>
      </c>
      <c r="N243" s="1">
        <v>120</v>
      </c>
      <c r="O243" s="1" t="s">
        <v>320</v>
      </c>
      <c r="R243" t="b">
        <f>IF(COUNTBLANK(Master_Reference[[#This Row],[C-Flex 3000K Eco Part Number]:[C-Flex 4000K Eco Part Number]])=3,FALSE,TRUE)</f>
        <v>1</v>
      </c>
      <c r="S243" t="b">
        <f>IF(COUNTBLANK(Master_Reference[[#This Row],[C-Flex 3000K 3W Part Number]:[C-Flex 4000K 3W Part Number]])=3,FALSE,TRUE)</f>
        <v>1</v>
      </c>
      <c r="T243" t="b">
        <f>IF(COUNTBLANK(Master_Reference[[#This Row],[Lutron 3000K Eco Part Number]:[Lutron 4000K Eco Part Number]])=3,FALSE,TRUE)</f>
        <v>1</v>
      </c>
      <c r="U243" t="b">
        <f>IF(COUNTBLANK(Master_Reference[[#This Row],[Lutron 3000K 3W Part Number]:[Lutron 4000K 3W Part Number]])=3,FALSE,TRUE)</f>
        <v>1</v>
      </c>
      <c r="V243" s="12" t="s">
        <v>316</v>
      </c>
      <c r="W243" s="12" t="s">
        <v>317</v>
      </c>
      <c r="X243" s="12" t="s">
        <v>318</v>
      </c>
      <c r="Y243" t="s">
        <v>1745</v>
      </c>
      <c r="Z243" s="12" t="s">
        <v>145</v>
      </c>
      <c r="AA243" s="12" t="s">
        <v>146</v>
      </c>
      <c r="AB243" s="12" t="s">
        <v>147</v>
      </c>
      <c r="AC243" t="s">
        <v>1830</v>
      </c>
      <c r="AD243" t="str">
        <f>SUBSTITUTE(Master_Reference[[#This Row],[C-Flex 4000K Eco Part Number]],"40-","xx-")</f>
        <v>RP-T8-4FT-2L-8xx-E1-M-G2</v>
      </c>
      <c r="AE243" t="str">
        <f>SUBSTITUTE(Master_Reference[[#This Row],[C-Flex 4000K 3W Part Number]],"40-","xx-")</f>
        <v>RP-T8-4FT-2L-8xx-3W-M-G2</v>
      </c>
      <c r="AF243" s="1" t="str">
        <f>_xlfn.IFNA(VLOOKUP(Master_Reference[[#This Row],[C-Flex 3000K Eco Part Number]],Lutron_CFlex_Lookup[],MATCH("Lutron Kit PN",Lutron_CFlex_Lookup[#Headers],0),FALSE),"")</f>
        <v>ELD4T8-2M30-q</v>
      </c>
      <c r="AG243" s="1" t="str">
        <f>_xlfn.IFNA(VLOOKUP(Master_Reference[[#This Row],[C-Flex 3500K Eco Part Number]],Lutron_CFlex_Lookup[],MATCH("Lutron Kit PN",Lutron_CFlex_Lookup[#Headers],0),FALSE),"")</f>
        <v>ELD4T8-2M35-q</v>
      </c>
      <c r="AH243" s="1" t="str">
        <f>_xlfn.IFNA(VLOOKUP(Master_Reference[[#This Row],[C-Flex 4000K Eco Part Number]],Lutron_CFlex_Lookup[],MATCH("Lutron Kit PN",Lutron_CFlex_Lookup[#Headers],0),FALSE),"")</f>
        <v>ELD4T8-2M40-q</v>
      </c>
      <c r="AI243" s="1" t="str">
        <f>_xlfn.IFNA(VLOOKUP(Master_Reference[[#This Row],[C-Flex 5000K Eco Part Number]],Lutron_CFlex_Lookup[],MATCH("Lutron Kit PN",Lutron_CFlex_Lookup[#Headers],0),FALSE),"")</f>
        <v>ELD4T8-2M50-q</v>
      </c>
      <c r="AJ243" s="1" t="str">
        <f>_xlfn.IFNA(VLOOKUP(Master_Reference[[#This Row],[C-Flex 3000K 3W Part Number]],Lutron_CFlex_Lookup[],MATCH("Lutron Kit PN",Lutron_CFlex_Lookup[#Headers],0),FALSE),"")</f>
        <v>3LD4T8-2M30-q</v>
      </c>
      <c r="AK243" s="1" t="str">
        <f>_xlfn.IFNA(VLOOKUP(Master_Reference[[#This Row],[C-Flex 3500K 3W Part Number]],Lutron_CFlex_Lookup[],MATCH("Lutron Kit PN",Lutron_CFlex_Lookup[#Headers],0),FALSE),"")</f>
        <v>3LD4T8-2M35-q</v>
      </c>
      <c r="AL243" s="1" t="str">
        <f>_xlfn.IFNA(VLOOKUP(Master_Reference[[#This Row],[C-Flex 4000K 3W Part Number]],Lutron_CFlex_Lookup[],MATCH("Lutron Kit PN",Lutron_CFlex_Lookup[#Headers],0),FALSE),"")</f>
        <v>3LD4T8-2M40-q</v>
      </c>
      <c r="AM243" s="1" t="str">
        <f>_xlfn.IFNA(VLOOKUP(Master_Reference[[#This Row],[C-Flex 5000K 3W Part Number]],Lutron_CFlex_Lookup[],MATCH("Lutron Kit PN",Lutron_CFlex_Lookup[#Headers],0),FALSE),"")</f>
        <v>3LD4T8-2M50-q</v>
      </c>
      <c r="AN243" s="1" t="b">
        <f>NOT(ISNA(VLOOKUP(Master_Reference[[#This Row],[Model Number]],ObsoleteModels[],1,FALSE)))</f>
        <v>1</v>
      </c>
      <c r="AO243" s="1" t="str">
        <f>IF(LEFT(Master_Reference[[#This Row],[Model Number]],1)="U",LEFT(Master_Reference[[#This Row],[Model Number]],4),LEFT(Master_Reference[[#This Row],[Model Number]],3))</f>
        <v>EC5</v>
      </c>
    </row>
    <row r="244" spans="1:41" x14ac:dyDescent="0.25">
      <c r="A244" s="2" t="s">
        <v>517</v>
      </c>
      <c r="B244" s="1" t="b">
        <v>1</v>
      </c>
      <c r="C244" s="1" t="b">
        <v>1</v>
      </c>
      <c r="F244" s="1" t="b">
        <v>1</v>
      </c>
      <c r="G244" s="1" t="str">
        <f>IF(OR(LEFT(RIGHT(Master_Reference[[#This Row],[Model Number]],3),1)="C",LEFT(RIGHT(Master_Reference[[#This Row],[Model Number]],4),1)="C"),TRUE,"")</f>
        <v/>
      </c>
      <c r="H244" s="1" t="str">
        <f>IF(LEFT(Master_Reference[[#This Row],[Model Number]],1)="U",TRUE,"")</f>
        <v/>
      </c>
      <c r="I244" s="1" t="b">
        <f>IF(Master_Reference[[#This Row],[Lamp Type]]="T4","",IF(Master_Reference[[#This Row],[Case Type]]="M","",TRUE))</f>
        <v>1</v>
      </c>
      <c r="J244" s="1" t="str">
        <f t="shared" si="5"/>
        <v>T8</v>
      </c>
      <c r="K244" s="1">
        <v>32</v>
      </c>
      <c r="L244" s="1" t="s">
        <v>118</v>
      </c>
      <c r="M244" s="1">
        <v>2</v>
      </c>
      <c r="N244" s="1">
        <v>120</v>
      </c>
      <c r="O244" s="1" t="s">
        <v>320</v>
      </c>
      <c r="Q244" s="1" t="s">
        <v>91</v>
      </c>
      <c r="R244" t="b">
        <f>IF(COUNTBLANK(Master_Reference[[#This Row],[C-Flex 3000K Eco Part Number]:[C-Flex 4000K Eco Part Number]])=3,FALSE,TRUE)</f>
        <v>0</v>
      </c>
      <c r="S244" t="b">
        <f>IF(COUNTBLANK(Master_Reference[[#This Row],[C-Flex 3000K 3W Part Number]:[C-Flex 4000K 3W Part Number]])=3,FALSE,TRUE)</f>
        <v>0</v>
      </c>
      <c r="T244" t="b">
        <f>IF(COUNTBLANK(Master_Reference[[#This Row],[Lutron 3000K Eco Part Number]:[Lutron 4000K Eco Part Number]])=3,FALSE,TRUE)</f>
        <v>0</v>
      </c>
      <c r="U244" t="b">
        <f>IF(COUNTBLANK(Master_Reference[[#This Row],[Lutron 3000K 3W Part Number]:[Lutron 4000K 3W Part Number]])=3,FALSE,TRUE)</f>
        <v>0</v>
      </c>
      <c r="V244" s="12"/>
      <c r="W244" s="12"/>
      <c r="X244" s="12"/>
      <c r="Y244" t="s">
        <v>2125</v>
      </c>
      <c r="Z244" s="12"/>
      <c r="AA244" s="12"/>
      <c r="AB244" s="12"/>
      <c r="AC244" t="s">
        <v>2125</v>
      </c>
      <c r="AD244" t="str">
        <f>SUBSTITUTE(Master_Reference[[#This Row],[C-Flex 4000K Eco Part Number]],"40-","xx-")</f>
        <v/>
      </c>
      <c r="AE244" t="str">
        <f>SUBSTITUTE(Master_Reference[[#This Row],[C-Flex 4000K 3W Part Number]],"40-","xx-")</f>
        <v/>
      </c>
      <c r="AF244" s="1" t="str">
        <f>_xlfn.IFNA(VLOOKUP(Master_Reference[[#This Row],[C-Flex 3000K Eco Part Number]],Lutron_CFlex_Lookup[],MATCH("Lutron Kit PN",Lutron_CFlex_Lookup[#Headers],0),FALSE),"")</f>
        <v/>
      </c>
      <c r="AG244" s="1" t="str">
        <f>_xlfn.IFNA(VLOOKUP(Master_Reference[[#This Row],[C-Flex 3500K Eco Part Number]],Lutron_CFlex_Lookup[],MATCH("Lutron Kit PN",Lutron_CFlex_Lookup[#Headers],0),FALSE),"")</f>
        <v/>
      </c>
      <c r="AH244" s="1" t="str">
        <f>_xlfn.IFNA(VLOOKUP(Master_Reference[[#This Row],[C-Flex 4000K Eco Part Number]],Lutron_CFlex_Lookup[],MATCH("Lutron Kit PN",Lutron_CFlex_Lookup[#Headers],0),FALSE),"")</f>
        <v/>
      </c>
      <c r="AI244" s="1" t="str">
        <f>_xlfn.IFNA(VLOOKUP(Master_Reference[[#This Row],[C-Flex 5000K Eco Part Number]],Lutron_CFlex_Lookup[],MATCH("Lutron Kit PN",Lutron_CFlex_Lookup[#Headers],0),FALSE),"")</f>
        <v/>
      </c>
      <c r="AJ244" s="1" t="str">
        <f>_xlfn.IFNA(VLOOKUP(Master_Reference[[#This Row],[C-Flex 3000K 3W Part Number]],Lutron_CFlex_Lookup[],MATCH("Lutron Kit PN",Lutron_CFlex_Lookup[#Headers],0),FALSE),"")</f>
        <v/>
      </c>
      <c r="AK244" s="1" t="str">
        <f>_xlfn.IFNA(VLOOKUP(Master_Reference[[#This Row],[C-Flex 3500K 3W Part Number]],Lutron_CFlex_Lookup[],MATCH("Lutron Kit PN",Lutron_CFlex_Lookup[#Headers],0),FALSE),"")</f>
        <v/>
      </c>
      <c r="AL244" s="1" t="str">
        <f>_xlfn.IFNA(VLOOKUP(Master_Reference[[#This Row],[C-Flex 4000K 3W Part Number]],Lutron_CFlex_Lookup[],MATCH("Lutron Kit PN",Lutron_CFlex_Lookup[#Headers],0),FALSE),"")</f>
        <v/>
      </c>
      <c r="AM244" s="1" t="str">
        <f>_xlfn.IFNA(VLOOKUP(Master_Reference[[#This Row],[C-Flex 5000K 3W Part Number]],Lutron_CFlex_Lookup[],MATCH("Lutron Kit PN",Lutron_CFlex_Lookup[#Headers],0),FALSE),"")</f>
        <v/>
      </c>
      <c r="AN244" s="1" t="b">
        <f>NOT(ISNA(VLOOKUP(Master_Reference[[#This Row],[Model Number]],ObsoleteModels[],1,FALSE)))</f>
        <v>1</v>
      </c>
      <c r="AO244" s="1" t="str">
        <f>IF(LEFT(Master_Reference[[#This Row],[Model Number]],1)="U",LEFT(Master_Reference[[#This Row],[Model Number]],4),LEFT(Master_Reference[[#This Row],[Model Number]],3))</f>
        <v>EC5</v>
      </c>
    </row>
    <row r="245" spans="1:41" x14ac:dyDescent="0.25">
      <c r="A245" s="2" t="s">
        <v>518</v>
      </c>
      <c r="B245" s="1" t="b">
        <v>1</v>
      </c>
      <c r="C245" s="1" t="b">
        <v>1</v>
      </c>
      <c r="F245" s="1" t="b">
        <v>1</v>
      </c>
      <c r="G245" s="1" t="str">
        <f>IF(OR(LEFT(RIGHT(Master_Reference[[#This Row],[Model Number]],3),1)="C",LEFT(RIGHT(Master_Reference[[#This Row],[Model Number]],4),1)="C"),TRUE,"")</f>
        <v/>
      </c>
      <c r="H245" s="1" t="str">
        <f>IF(LEFT(Master_Reference[[#This Row],[Model Number]],1)="U",TRUE,"")</f>
        <v/>
      </c>
      <c r="I245" s="1" t="b">
        <f>IF(Master_Reference[[#This Row],[Lamp Type]]="T4","",IF(Master_Reference[[#This Row],[Case Type]]="M","",TRUE))</f>
        <v>1</v>
      </c>
      <c r="J245" s="1" t="str">
        <f t="shared" si="5"/>
        <v>T8</v>
      </c>
      <c r="K245" s="1">
        <v>32</v>
      </c>
      <c r="L245" s="1" t="s">
        <v>118</v>
      </c>
      <c r="M245" s="1">
        <v>1</v>
      </c>
      <c r="N245" s="1">
        <v>277</v>
      </c>
      <c r="O245" s="1" t="s">
        <v>320</v>
      </c>
      <c r="R245" t="b">
        <f>IF(COUNTBLANK(Master_Reference[[#This Row],[C-Flex 3000K Eco Part Number]:[C-Flex 4000K Eco Part Number]])=3,FALSE,TRUE)</f>
        <v>1</v>
      </c>
      <c r="S245" t="b">
        <f>IF(COUNTBLANK(Master_Reference[[#This Row],[C-Flex 3000K 3W Part Number]:[C-Flex 4000K 3W Part Number]])=3,FALSE,TRUE)</f>
        <v>1</v>
      </c>
      <c r="T245" t="b">
        <f>IF(COUNTBLANK(Master_Reference[[#This Row],[Lutron 3000K Eco Part Number]:[Lutron 4000K Eco Part Number]])=3,FALSE,TRUE)</f>
        <v>1</v>
      </c>
      <c r="U245" t="b">
        <f>IF(COUNTBLANK(Master_Reference[[#This Row],[Lutron 3000K 3W Part Number]:[Lutron 4000K 3W Part Number]])=3,FALSE,TRUE)</f>
        <v>1</v>
      </c>
      <c r="V245" s="12" t="s">
        <v>312</v>
      </c>
      <c r="W245" s="12" t="s">
        <v>313</v>
      </c>
      <c r="X245" s="12" t="s">
        <v>314</v>
      </c>
      <c r="Y245" t="s">
        <v>1744</v>
      </c>
      <c r="Z245" s="12" t="s">
        <v>264</v>
      </c>
      <c r="AA245" s="12" t="s">
        <v>265</v>
      </c>
      <c r="AB245" s="12" t="s">
        <v>266</v>
      </c>
      <c r="AC245" t="s">
        <v>1829</v>
      </c>
      <c r="AD245" t="str">
        <f>SUBSTITUTE(Master_Reference[[#This Row],[C-Flex 4000K Eco Part Number]],"40-","xx-")</f>
        <v>RP-T8-4FT-1L-8xx-E1-M-G2</v>
      </c>
      <c r="AE245" t="str">
        <f>SUBSTITUTE(Master_Reference[[#This Row],[C-Flex 4000K 3W Part Number]],"40-","xx-")</f>
        <v>RP-T8-4FT-1L-8xx-3W-M-G2</v>
      </c>
      <c r="AF245" s="1" t="str">
        <f>_xlfn.IFNA(VLOOKUP(Master_Reference[[#This Row],[C-Flex 3000K Eco Part Number]],Lutron_CFlex_Lookup[],MATCH("Lutron Kit PN",Lutron_CFlex_Lookup[#Headers],0),FALSE),"")</f>
        <v>ELD4T8-1M30-q</v>
      </c>
      <c r="AG245" s="1" t="str">
        <f>_xlfn.IFNA(VLOOKUP(Master_Reference[[#This Row],[C-Flex 3500K Eco Part Number]],Lutron_CFlex_Lookup[],MATCH("Lutron Kit PN",Lutron_CFlex_Lookup[#Headers],0),FALSE),"")</f>
        <v>ELD4T8-1M35-q</v>
      </c>
      <c r="AH245" s="1" t="str">
        <f>_xlfn.IFNA(VLOOKUP(Master_Reference[[#This Row],[C-Flex 4000K Eco Part Number]],Lutron_CFlex_Lookup[],MATCH("Lutron Kit PN",Lutron_CFlex_Lookup[#Headers],0),FALSE),"")</f>
        <v>ELD4T8-1M40-q</v>
      </c>
      <c r="AI245" s="1" t="str">
        <f>_xlfn.IFNA(VLOOKUP(Master_Reference[[#This Row],[C-Flex 5000K Eco Part Number]],Lutron_CFlex_Lookup[],MATCH("Lutron Kit PN",Lutron_CFlex_Lookup[#Headers],0),FALSE),"")</f>
        <v>ELD4T8-1M50-q</v>
      </c>
      <c r="AJ245" s="1" t="str">
        <f>_xlfn.IFNA(VLOOKUP(Master_Reference[[#This Row],[C-Flex 3000K 3W Part Number]],Lutron_CFlex_Lookup[],MATCH("Lutron Kit PN",Lutron_CFlex_Lookup[#Headers],0),FALSE),"")</f>
        <v>3LD4T8-1M30-q</v>
      </c>
      <c r="AK245" s="1" t="str">
        <f>_xlfn.IFNA(VLOOKUP(Master_Reference[[#This Row],[C-Flex 3500K 3W Part Number]],Lutron_CFlex_Lookup[],MATCH("Lutron Kit PN",Lutron_CFlex_Lookup[#Headers],0),FALSE),"")</f>
        <v>3LD4T8-1M35-q</v>
      </c>
      <c r="AL245" s="1" t="str">
        <f>_xlfn.IFNA(VLOOKUP(Master_Reference[[#This Row],[C-Flex 4000K 3W Part Number]],Lutron_CFlex_Lookup[],MATCH("Lutron Kit PN",Lutron_CFlex_Lookup[#Headers],0),FALSE),"")</f>
        <v>3LD4T8-1M40-q</v>
      </c>
      <c r="AM245" s="1" t="str">
        <f>_xlfn.IFNA(VLOOKUP(Master_Reference[[#This Row],[C-Flex 5000K 3W Part Number]],Lutron_CFlex_Lookup[],MATCH("Lutron Kit PN",Lutron_CFlex_Lookup[#Headers],0),FALSE),"")</f>
        <v>3LD4T8-1M50-q</v>
      </c>
      <c r="AN245" s="1" t="b">
        <f>NOT(ISNA(VLOOKUP(Master_Reference[[#This Row],[Model Number]],ObsoleteModels[],1,FALSE)))</f>
        <v>1</v>
      </c>
      <c r="AO245" s="1" t="str">
        <f>IF(LEFT(Master_Reference[[#This Row],[Model Number]],1)="U",LEFT(Master_Reference[[#This Row],[Model Number]],4),LEFT(Master_Reference[[#This Row],[Model Number]],3))</f>
        <v>EC5</v>
      </c>
    </row>
    <row r="246" spans="1:41" x14ac:dyDescent="0.25">
      <c r="A246" s="2" t="s">
        <v>519</v>
      </c>
      <c r="B246" s="1" t="b">
        <v>1</v>
      </c>
      <c r="C246" s="1" t="b">
        <v>1</v>
      </c>
      <c r="F246" s="1" t="b">
        <v>1</v>
      </c>
      <c r="G246" s="1" t="str">
        <f>IF(OR(LEFT(RIGHT(Master_Reference[[#This Row],[Model Number]],3),1)="C",LEFT(RIGHT(Master_Reference[[#This Row],[Model Number]],4),1)="C"),TRUE,"")</f>
        <v/>
      </c>
      <c r="H246" s="1" t="str">
        <f>IF(LEFT(Master_Reference[[#This Row],[Model Number]],1)="U",TRUE,"")</f>
        <v/>
      </c>
      <c r="I246" s="1" t="b">
        <f>IF(Master_Reference[[#This Row],[Lamp Type]]="T4","",IF(Master_Reference[[#This Row],[Case Type]]="M","",TRUE))</f>
        <v>1</v>
      </c>
      <c r="J246" s="1" t="str">
        <f t="shared" si="5"/>
        <v>T8</v>
      </c>
      <c r="K246" s="1">
        <v>32</v>
      </c>
      <c r="L246" s="1" t="s">
        <v>118</v>
      </c>
      <c r="M246" s="1">
        <v>2</v>
      </c>
      <c r="N246" s="1">
        <v>277</v>
      </c>
      <c r="O246" s="1" t="s">
        <v>320</v>
      </c>
      <c r="R246" t="b">
        <f>IF(COUNTBLANK(Master_Reference[[#This Row],[C-Flex 3000K Eco Part Number]:[C-Flex 4000K Eco Part Number]])=3,FALSE,TRUE)</f>
        <v>1</v>
      </c>
      <c r="S246" t="b">
        <f>IF(COUNTBLANK(Master_Reference[[#This Row],[C-Flex 3000K 3W Part Number]:[C-Flex 4000K 3W Part Number]])=3,FALSE,TRUE)</f>
        <v>1</v>
      </c>
      <c r="T246" t="b">
        <f>IF(COUNTBLANK(Master_Reference[[#This Row],[Lutron 3000K Eco Part Number]:[Lutron 4000K Eco Part Number]])=3,FALSE,TRUE)</f>
        <v>1</v>
      </c>
      <c r="U246" t="b">
        <f>IF(COUNTBLANK(Master_Reference[[#This Row],[Lutron 3000K 3W Part Number]:[Lutron 4000K 3W Part Number]])=3,FALSE,TRUE)</f>
        <v>1</v>
      </c>
      <c r="V246" s="12" t="s">
        <v>316</v>
      </c>
      <c r="W246" s="12" t="s">
        <v>317</v>
      </c>
      <c r="X246" s="12" t="s">
        <v>318</v>
      </c>
      <c r="Y246" t="s">
        <v>1745</v>
      </c>
      <c r="Z246" s="12" t="s">
        <v>145</v>
      </c>
      <c r="AA246" s="12" t="s">
        <v>146</v>
      </c>
      <c r="AB246" s="12" t="s">
        <v>147</v>
      </c>
      <c r="AC246" t="s">
        <v>1830</v>
      </c>
      <c r="AD246" t="str">
        <f>SUBSTITUTE(Master_Reference[[#This Row],[C-Flex 4000K Eco Part Number]],"40-","xx-")</f>
        <v>RP-T8-4FT-2L-8xx-E1-M-G2</v>
      </c>
      <c r="AE246" t="str">
        <f>SUBSTITUTE(Master_Reference[[#This Row],[C-Flex 4000K 3W Part Number]],"40-","xx-")</f>
        <v>RP-T8-4FT-2L-8xx-3W-M-G2</v>
      </c>
      <c r="AF246" s="1" t="str">
        <f>_xlfn.IFNA(VLOOKUP(Master_Reference[[#This Row],[C-Flex 3000K Eco Part Number]],Lutron_CFlex_Lookup[],MATCH("Lutron Kit PN",Lutron_CFlex_Lookup[#Headers],0),FALSE),"")</f>
        <v>ELD4T8-2M30-q</v>
      </c>
      <c r="AG246" s="1" t="str">
        <f>_xlfn.IFNA(VLOOKUP(Master_Reference[[#This Row],[C-Flex 3500K Eco Part Number]],Lutron_CFlex_Lookup[],MATCH("Lutron Kit PN",Lutron_CFlex_Lookup[#Headers],0),FALSE),"")</f>
        <v>ELD4T8-2M35-q</v>
      </c>
      <c r="AH246" s="1" t="str">
        <f>_xlfn.IFNA(VLOOKUP(Master_Reference[[#This Row],[C-Flex 4000K Eco Part Number]],Lutron_CFlex_Lookup[],MATCH("Lutron Kit PN",Lutron_CFlex_Lookup[#Headers],0),FALSE),"")</f>
        <v>ELD4T8-2M40-q</v>
      </c>
      <c r="AI246" s="1" t="str">
        <f>_xlfn.IFNA(VLOOKUP(Master_Reference[[#This Row],[C-Flex 5000K Eco Part Number]],Lutron_CFlex_Lookup[],MATCH("Lutron Kit PN",Lutron_CFlex_Lookup[#Headers],0),FALSE),"")</f>
        <v>ELD4T8-2M50-q</v>
      </c>
      <c r="AJ246" s="1" t="str">
        <f>_xlfn.IFNA(VLOOKUP(Master_Reference[[#This Row],[C-Flex 3000K 3W Part Number]],Lutron_CFlex_Lookup[],MATCH("Lutron Kit PN",Lutron_CFlex_Lookup[#Headers],0),FALSE),"")</f>
        <v>3LD4T8-2M30-q</v>
      </c>
      <c r="AK246" s="1" t="str">
        <f>_xlfn.IFNA(VLOOKUP(Master_Reference[[#This Row],[C-Flex 3500K 3W Part Number]],Lutron_CFlex_Lookup[],MATCH("Lutron Kit PN",Lutron_CFlex_Lookup[#Headers],0),FALSE),"")</f>
        <v>3LD4T8-2M35-q</v>
      </c>
      <c r="AL246" s="1" t="str">
        <f>_xlfn.IFNA(VLOOKUP(Master_Reference[[#This Row],[C-Flex 4000K 3W Part Number]],Lutron_CFlex_Lookup[],MATCH("Lutron Kit PN",Lutron_CFlex_Lookup[#Headers],0),FALSE),"")</f>
        <v>3LD4T8-2M40-q</v>
      </c>
      <c r="AM246" s="1" t="str">
        <f>_xlfn.IFNA(VLOOKUP(Master_Reference[[#This Row],[C-Flex 5000K 3W Part Number]],Lutron_CFlex_Lookup[],MATCH("Lutron Kit PN",Lutron_CFlex_Lookup[#Headers],0),FALSE),"")</f>
        <v>3LD4T8-2M50-q</v>
      </c>
      <c r="AN246" s="1" t="b">
        <f>NOT(ISNA(VLOOKUP(Master_Reference[[#This Row],[Model Number]],ObsoleteModels[],1,FALSE)))</f>
        <v>1</v>
      </c>
      <c r="AO246" s="1" t="str">
        <f>IF(LEFT(Master_Reference[[#This Row],[Model Number]],1)="U",LEFT(Master_Reference[[#This Row],[Model Number]],4),LEFT(Master_Reference[[#This Row],[Model Number]],3))</f>
        <v>EC5</v>
      </c>
    </row>
    <row r="247" spans="1:41" x14ac:dyDescent="0.25">
      <c r="A247" s="2" t="s">
        <v>520</v>
      </c>
      <c r="B247" s="1" t="b">
        <v>1</v>
      </c>
      <c r="C247" s="1" t="b">
        <v>1</v>
      </c>
      <c r="F247" s="1" t="b">
        <v>1</v>
      </c>
      <c r="G247" s="1" t="b">
        <f>IF(OR(LEFT(RIGHT(Master_Reference[[#This Row],[Model Number]],3),1)="C",LEFT(RIGHT(Master_Reference[[#This Row],[Model Number]],4),1)="C"),TRUE,"")</f>
        <v>1</v>
      </c>
      <c r="H247" s="1" t="str">
        <f>IF(LEFT(Master_Reference[[#This Row],[Model Number]],1)="U",TRUE,"")</f>
        <v/>
      </c>
      <c r="I247" s="1" t="b">
        <f>IF(Master_Reference[[#This Row],[Lamp Type]]="T4","",IF(Master_Reference[[#This Row],[Case Type]]="M","",TRUE))</f>
        <v>1</v>
      </c>
      <c r="J247" s="1" t="str">
        <f t="shared" si="5"/>
        <v>T8</v>
      </c>
      <c r="K247" s="1">
        <v>32</v>
      </c>
      <c r="L247" s="1" t="s">
        <v>118</v>
      </c>
      <c r="M247" s="1">
        <v>2</v>
      </c>
      <c r="N247" s="1">
        <v>277</v>
      </c>
      <c r="O247" s="1" t="s">
        <v>320</v>
      </c>
      <c r="R247" t="b">
        <f>IF(COUNTBLANK(Master_Reference[[#This Row],[C-Flex 3000K Eco Part Number]:[C-Flex 4000K Eco Part Number]])=3,FALSE,TRUE)</f>
        <v>1</v>
      </c>
      <c r="S247" t="b">
        <f>IF(COUNTBLANK(Master_Reference[[#This Row],[C-Flex 3000K 3W Part Number]:[C-Flex 4000K 3W Part Number]])=3,FALSE,TRUE)</f>
        <v>1</v>
      </c>
      <c r="T247" t="b">
        <f>IF(COUNTBLANK(Master_Reference[[#This Row],[Lutron 3000K Eco Part Number]:[Lutron 4000K Eco Part Number]])=3,FALSE,TRUE)</f>
        <v>1</v>
      </c>
      <c r="U247" t="b">
        <f>IF(COUNTBLANK(Master_Reference[[#This Row],[Lutron 3000K 3W Part Number]:[Lutron 4000K 3W Part Number]])=3,FALSE,TRUE)</f>
        <v>1</v>
      </c>
      <c r="V247" s="12" t="s">
        <v>316</v>
      </c>
      <c r="W247" s="12" t="s">
        <v>317</v>
      </c>
      <c r="X247" s="12" t="s">
        <v>318</v>
      </c>
      <c r="Y247" t="s">
        <v>1745</v>
      </c>
      <c r="Z247" s="12" t="s">
        <v>145</v>
      </c>
      <c r="AA247" s="12" t="s">
        <v>146</v>
      </c>
      <c r="AB247" s="12" t="s">
        <v>147</v>
      </c>
      <c r="AC247" t="s">
        <v>1830</v>
      </c>
      <c r="AD247" t="str">
        <f>SUBSTITUTE(Master_Reference[[#This Row],[C-Flex 4000K Eco Part Number]],"40-","xx-")</f>
        <v>RP-T8-4FT-2L-8xx-E1-M-G2</v>
      </c>
      <c r="AE247" t="str">
        <f>SUBSTITUTE(Master_Reference[[#This Row],[C-Flex 4000K 3W Part Number]],"40-","xx-")</f>
        <v>RP-T8-4FT-2L-8xx-3W-M-G2</v>
      </c>
      <c r="AF247" s="1" t="str">
        <f>_xlfn.IFNA(VLOOKUP(Master_Reference[[#This Row],[C-Flex 3000K Eco Part Number]],Lutron_CFlex_Lookup[],MATCH("Lutron Kit PN",Lutron_CFlex_Lookup[#Headers],0),FALSE),"")</f>
        <v>ELD4T8-2M30-q</v>
      </c>
      <c r="AG247" s="1" t="str">
        <f>_xlfn.IFNA(VLOOKUP(Master_Reference[[#This Row],[C-Flex 3500K Eco Part Number]],Lutron_CFlex_Lookup[],MATCH("Lutron Kit PN",Lutron_CFlex_Lookup[#Headers],0),FALSE),"")</f>
        <v>ELD4T8-2M35-q</v>
      </c>
      <c r="AH247" s="1" t="str">
        <f>_xlfn.IFNA(VLOOKUP(Master_Reference[[#This Row],[C-Flex 4000K Eco Part Number]],Lutron_CFlex_Lookup[],MATCH("Lutron Kit PN",Lutron_CFlex_Lookup[#Headers],0),FALSE),"")</f>
        <v>ELD4T8-2M40-q</v>
      </c>
      <c r="AI247" s="1" t="str">
        <f>_xlfn.IFNA(VLOOKUP(Master_Reference[[#This Row],[C-Flex 5000K Eco Part Number]],Lutron_CFlex_Lookup[],MATCH("Lutron Kit PN",Lutron_CFlex_Lookup[#Headers],0),FALSE),"")</f>
        <v>ELD4T8-2M50-q</v>
      </c>
      <c r="AJ247" s="1" t="str">
        <f>_xlfn.IFNA(VLOOKUP(Master_Reference[[#This Row],[C-Flex 3000K 3W Part Number]],Lutron_CFlex_Lookup[],MATCH("Lutron Kit PN",Lutron_CFlex_Lookup[#Headers],0),FALSE),"")</f>
        <v>3LD4T8-2M30-q</v>
      </c>
      <c r="AK247" s="1" t="str">
        <f>_xlfn.IFNA(VLOOKUP(Master_Reference[[#This Row],[C-Flex 3500K 3W Part Number]],Lutron_CFlex_Lookup[],MATCH("Lutron Kit PN",Lutron_CFlex_Lookup[#Headers],0),FALSE),"")</f>
        <v>3LD4T8-2M35-q</v>
      </c>
      <c r="AL247" s="1" t="str">
        <f>_xlfn.IFNA(VLOOKUP(Master_Reference[[#This Row],[C-Flex 4000K 3W Part Number]],Lutron_CFlex_Lookup[],MATCH("Lutron Kit PN",Lutron_CFlex_Lookup[#Headers],0),FALSE),"")</f>
        <v>3LD4T8-2M40-q</v>
      </c>
      <c r="AM247" s="1" t="str">
        <f>_xlfn.IFNA(VLOOKUP(Master_Reference[[#This Row],[C-Flex 5000K 3W Part Number]],Lutron_CFlex_Lookup[],MATCH("Lutron Kit PN",Lutron_CFlex_Lookup[#Headers],0),FALSE),"")</f>
        <v>3LD4T8-2M50-q</v>
      </c>
      <c r="AN247" s="1" t="b">
        <f>NOT(ISNA(VLOOKUP(Master_Reference[[#This Row],[Model Number]],ObsoleteModels[],1,FALSE)))</f>
        <v>1</v>
      </c>
      <c r="AO247" s="1" t="str">
        <f>IF(LEFT(Master_Reference[[#This Row],[Model Number]],1)="U",LEFT(Master_Reference[[#This Row],[Model Number]],4),LEFT(Master_Reference[[#This Row],[Model Number]],3))</f>
        <v>EC5</v>
      </c>
    </row>
    <row r="248" spans="1:41" x14ac:dyDescent="0.25">
      <c r="A248" s="2" t="s">
        <v>521</v>
      </c>
      <c r="B248" s="1" t="b">
        <v>1</v>
      </c>
      <c r="C248" s="1" t="b">
        <v>1</v>
      </c>
      <c r="F248" s="1" t="b">
        <v>1</v>
      </c>
      <c r="G248" s="1" t="str">
        <f>IF(OR(LEFT(RIGHT(Master_Reference[[#This Row],[Model Number]],3),1)="C",LEFT(RIGHT(Master_Reference[[#This Row],[Model Number]],4),1)="C"),TRUE,"")</f>
        <v/>
      </c>
      <c r="H248" s="1" t="str">
        <f>IF(LEFT(Master_Reference[[#This Row],[Model Number]],1)="U",TRUE,"")</f>
        <v/>
      </c>
      <c r="I248" s="1" t="b">
        <f>IF(Master_Reference[[#This Row],[Lamp Type]]="T4","",IF(Master_Reference[[#This Row],[Case Type]]="M","",TRUE))</f>
        <v>1</v>
      </c>
      <c r="J248" s="1" t="str">
        <f t="shared" si="5"/>
        <v>T8</v>
      </c>
      <c r="K248" s="1">
        <v>32</v>
      </c>
      <c r="L248" s="1" t="s">
        <v>118</v>
      </c>
      <c r="M248" s="1">
        <v>1</v>
      </c>
      <c r="N248" s="1" t="s">
        <v>149</v>
      </c>
      <c r="O248" s="1" t="s">
        <v>320</v>
      </c>
      <c r="R248" t="b">
        <f>IF(COUNTBLANK(Master_Reference[[#This Row],[C-Flex 3000K Eco Part Number]:[C-Flex 4000K Eco Part Number]])=3,FALSE,TRUE)</f>
        <v>1</v>
      </c>
      <c r="S248" t="b">
        <f>IF(COUNTBLANK(Master_Reference[[#This Row],[C-Flex 3000K 3W Part Number]:[C-Flex 4000K 3W Part Number]])=3,FALSE,TRUE)</f>
        <v>1</v>
      </c>
      <c r="T248" t="b">
        <f>IF(COUNTBLANK(Master_Reference[[#This Row],[Lutron 3000K Eco Part Number]:[Lutron 4000K Eco Part Number]])=3,FALSE,TRUE)</f>
        <v>1</v>
      </c>
      <c r="U248" t="b">
        <f>IF(COUNTBLANK(Master_Reference[[#This Row],[Lutron 3000K 3W Part Number]:[Lutron 4000K 3W Part Number]])=3,FALSE,TRUE)</f>
        <v>1</v>
      </c>
      <c r="V248" s="12" t="s">
        <v>312</v>
      </c>
      <c r="W248" s="12" t="s">
        <v>313</v>
      </c>
      <c r="X248" s="12" t="s">
        <v>314</v>
      </c>
      <c r="Y248" t="s">
        <v>1744</v>
      </c>
      <c r="Z248" s="12" t="s">
        <v>264</v>
      </c>
      <c r="AA248" s="12" t="s">
        <v>265</v>
      </c>
      <c r="AB248" s="12" t="s">
        <v>266</v>
      </c>
      <c r="AC248" t="s">
        <v>1829</v>
      </c>
      <c r="AD248" t="str">
        <f>SUBSTITUTE(Master_Reference[[#This Row],[C-Flex 4000K Eco Part Number]],"40-","xx-")</f>
        <v>RP-T8-4FT-1L-8xx-E1-M-G2</v>
      </c>
      <c r="AE248" t="str">
        <f>SUBSTITUTE(Master_Reference[[#This Row],[C-Flex 4000K 3W Part Number]],"40-","xx-")</f>
        <v>RP-T8-4FT-1L-8xx-3W-M-G2</v>
      </c>
      <c r="AF248" s="1" t="str">
        <f>_xlfn.IFNA(VLOOKUP(Master_Reference[[#This Row],[C-Flex 3000K Eco Part Number]],Lutron_CFlex_Lookup[],MATCH("Lutron Kit PN",Lutron_CFlex_Lookup[#Headers],0),FALSE),"")</f>
        <v>ELD4T8-1M30-q</v>
      </c>
      <c r="AG248" s="1" t="str">
        <f>_xlfn.IFNA(VLOOKUP(Master_Reference[[#This Row],[C-Flex 3500K Eco Part Number]],Lutron_CFlex_Lookup[],MATCH("Lutron Kit PN",Lutron_CFlex_Lookup[#Headers],0),FALSE),"")</f>
        <v>ELD4T8-1M35-q</v>
      </c>
      <c r="AH248" s="1" t="str">
        <f>_xlfn.IFNA(VLOOKUP(Master_Reference[[#This Row],[C-Flex 4000K Eco Part Number]],Lutron_CFlex_Lookup[],MATCH("Lutron Kit PN",Lutron_CFlex_Lookup[#Headers],0),FALSE),"")</f>
        <v>ELD4T8-1M40-q</v>
      </c>
      <c r="AI248" s="1" t="str">
        <f>_xlfn.IFNA(VLOOKUP(Master_Reference[[#This Row],[C-Flex 5000K Eco Part Number]],Lutron_CFlex_Lookup[],MATCH("Lutron Kit PN",Lutron_CFlex_Lookup[#Headers],0),FALSE),"")</f>
        <v>ELD4T8-1M50-q</v>
      </c>
      <c r="AJ248" s="1" t="str">
        <f>_xlfn.IFNA(VLOOKUP(Master_Reference[[#This Row],[C-Flex 3000K 3W Part Number]],Lutron_CFlex_Lookup[],MATCH("Lutron Kit PN",Lutron_CFlex_Lookup[#Headers],0),FALSE),"")</f>
        <v>3LD4T8-1M30-q</v>
      </c>
      <c r="AK248" s="1" t="str">
        <f>_xlfn.IFNA(VLOOKUP(Master_Reference[[#This Row],[C-Flex 3500K 3W Part Number]],Lutron_CFlex_Lookup[],MATCH("Lutron Kit PN",Lutron_CFlex_Lookup[#Headers],0),FALSE),"")</f>
        <v>3LD4T8-1M35-q</v>
      </c>
      <c r="AL248" s="1" t="str">
        <f>_xlfn.IFNA(VLOOKUP(Master_Reference[[#This Row],[C-Flex 4000K 3W Part Number]],Lutron_CFlex_Lookup[],MATCH("Lutron Kit PN",Lutron_CFlex_Lookup[#Headers],0),FALSE),"")</f>
        <v>3LD4T8-1M40-q</v>
      </c>
      <c r="AM248" s="1" t="str">
        <f>_xlfn.IFNA(VLOOKUP(Master_Reference[[#This Row],[C-Flex 5000K 3W Part Number]],Lutron_CFlex_Lookup[],MATCH("Lutron Kit PN",Lutron_CFlex_Lookup[#Headers],0),FALSE),"")</f>
        <v>3LD4T8-1M50-q</v>
      </c>
      <c r="AN248" s="1" t="b">
        <f>NOT(ISNA(VLOOKUP(Master_Reference[[#This Row],[Model Number]],ObsoleteModels[],1,FALSE)))</f>
        <v>0</v>
      </c>
      <c r="AO248" s="1" t="str">
        <f>IF(LEFT(Master_Reference[[#This Row],[Model Number]],1)="U",LEFT(Master_Reference[[#This Row],[Model Number]],4),LEFT(Master_Reference[[#This Row],[Model Number]],3))</f>
        <v>EC5</v>
      </c>
    </row>
    <row r="249" spans="1:41" x14ac:dyDescent="0.25">
      <c r="A249" s="2" t="s">
        <v>522</v>
      </c>
      <c r="B249" s="1" t="b">
        <v>1</v>
      </c>
      <c r="C249" s="1" t="b">
        <v>1</v>
      </c>
      <c r="F249" s="1" t="b">
        <v>1</v>
      </c>
      <c r="G249" s="1" t="b">
        <f>IF(OR(LEFT(RIGHT(Master_Reference[[#This Row],[Model Number]],3),1)="C",LEFT(RIGHT(Master_Reference[[#This Row],[Model Number]],4),1)="C"),TRUE,"")</f>
        <v>1</v>
      </c>
      <c r="H249" s="1" t="str">
        <f>IF(LEFT(Master_Reference[[#This Row],[Model Number]],1)="U",TRUE,"")</f>
        <v/>
      </c>
      <c r="I249" s="1" t="b">
        <f>IF(Master_Reference[[#This Row],[Lamp Type]]="T4","",IF(Master_Reference[[#This Row],[Case Type]]="M","",TRUE))</f>
        <v>1</v>
      </c>
      <c r="J249" s="1" t="str">
        <f t="shared" si="5"/>
        <v>T8</v>
      </c>
      <c r="K249" s="1">
        <v>32</v>
      </c>
      <c r="L249" s="1" t="s">
        <v>118</v>
      </c>
      <c r="M249" s="1">
        <v>1</v>
      </c>
      <c r="N249" s="1" t="s">
        <v>149</v>
      </c>
      <c r="O249" s="1" t="s">
        <v>320</v>
      </c>
      <c r="R249" t="b">
        <f>IF(COUNTBLANK(Master_Reference[[#This Row],[C-Flex 3000K Eco Part Number]:[C-Flex 4000K Eco Part Number]])=3,FALSE,TRUE)</f>
        <v>1</v>
      </c>
      <c r="S249" t="b">
        <f>IF(COUNTBLANK(Master_Reference[[#This Row],[C-Flex 3000K 3W Part Number]:[C-Flex 4000K 3W Part Number]])=3,FALSE,TRUE)</f>
        <v>1</v>
      </c>
      <c r="T249" t="b">
        <f>IF(COUNTBLANK(Master_Reference[[#This Row],[Lutron 3000K Eco Part Number]:[Lutron 4000K Eco Part Number]])=3,FALSE,TRUE)</f>
        <v>1</v>
      </c>
      <c r="U249" t="b">
        <f>IF(COUNTBLANK(Master_Reference[[#This Row],[Lutron 3000K 3W Part Number]:[Lutron 4000K 3W Part Number]])=3,FALSE,TRUE)</f>
        <v>1</v>
      </c>
      <c r="V249" s="12" t="s">
        <v>312</v>
      </c>
      <c r="W249" s="12" t="s">
        <v>313</v>
      </c>
      <c r="X249" s="12" t="s">
        <v>314</v>
      </c>
      <c r="Y249" t="s">
        <v>1744</v>
      </c>
      <c r="Z249" s="12" t="s">
        <v>264</v>
      </c>
      <c r="AA249" s="12" t="s">
        <v>265</v>
      </c>
      <c r="AB249" s="12" t="s">
        <v>266</v>
      </c>
      <c r="AC249" t="s">
        <v>1829</v>
      </c>
      <c r="AD249" t="str">
        <f>SUBSTITUTE(Master_Reference[[#This Row],[C-Flex 4000K Eco Part Number]],"40-","xx-")</f>
        <v>RP-T8-4FT-1L-8xx-E1-M-G2</v>
      </c>
      <c r="AE249" t="str">
        <f>SUBSTITUTE(Master_Reference[[#This Row],[C-Flex 4000K 3W Part Number]],"40-","xx-")</f>
        <v>RP-T8-4FT-1L-8xx-3W-M-G2</v>
      </c>
      <c r="AF249" s="1" t="str">
        <f>_xlfn.IFNA(VLOOKUP(Master_Reference[[#This Row],[C-Flex 3000K Eco Part Number]],Lutron_CFlex_Lookup[],MATCH("Lutron Kit PN",Lutron_CFlex_Lookup[#Headers],0),FALSE),"")</f>
        <v>ELD4T8-1M30-q</v>
      </c>
      <c r="AG249" s="1" t="str">
        <f>_xlfn.IFNA(VLOOKUP(Master_Reference[[#This Row],[C-Flex 3500K Eco Part Number]],Lutron_CFlex_Lookup[],MATCH("Lutron Kit PN",Lutron_CFlex_Lookup[#Headers],0),FALSE),"")</f>
        <v>ELD4T8-1M35-q</v>
      </c>
      <c r="AH249" s="1" t="str">
        <f>_xlfn.IFNA(VLOOKUP(Master_Reference[[#This Row],[C-Flex 4000K Eco Part Number]],Lutron_CFlex_Lookup[],MATCH("Lutron Kit PN",Lutron_CFlex_Lookup[#Headers],0),FALSE),"")</f>
        <v>ELD4T8-1M40-q</v>
      </c>
      <c r="AI249" s="1" t="str">
        <f>_xlfn.IFNA(VLOOKUP(Master_Reference[[#This Row],[C-Flex 5000K Eco Part Number]],Lutron_CFlex_Lookup[],MATCH("Lutron Kit PN",Lutron_CFlex_Lookup[#Headers],0),FALSE),"")</f>
        <v>ELD4T8-1M50-q</v>
      </c>
      <c r="AJ249" s="1" t="str">
        <f>_xlfn.IFNA(VLOOKUP(Master_Reference[[#This Row],[C-Flex 3000K 3W Part Number]],Lutron_CFlex_Lookup[],MATCH("Lutron Kit PN",Lutron_CFlex_Lookup[#Headers],0),FALSE),"")</f>
        <v>3LD4T8-1M30-q</v>
      </c>
      <c r="AK249" s="1" t="str">
        <f>_xlfn.IFNA(VLOOKUP(Master_Reference[[#This Row],[C-Flex 3500K 3W Part Number]],Lutron_CFlex_Lookup[],MATCH("Lutron Kit PN",Lutron_CFlex_Lookup[#Headers],0),FALSE),"")</f>
        <v>3LD4T8-1M35-q</v>
      </c>
      <c r="AL249" s="1" t="str">
        <f>_xlfn.IFNA(VLOOKUP(Master_Reference[[#This Row],[C-Flex 4000K 3W Part Number]],Lutron_CFlex_Lookup[],MATCH("Lutron Kit PN",Lutron_CFlex_Lookup[#Headers],0),FALSE),"")</f>
        <v>3LD4T8-1M40-q</v>
      </c>
      <c r="AM249" s="1" t="str">
        <f>_xlfn.IFNA(VLOOKUP(Master_Reference[[#This Row],[C-Flex 5000K 3W Part Number]],Lutron_CFlex_Lookup[],MATCH("Lutron Kit PN",Lutron_CFlex_Lookup[#Headers],0),FALSE),"")</f>
        <v>3LD4T8-1M50-q</v>
      </c>
      <c r="AN249" s="1" t="b">
        <f>NOT(ISNA(VLOOKUP(Master_Reference[[#This Row],[Model Number]],ObsoleteModels[],1,FALSE)))</f>
        <v>1</v>
      </c>
      <c r="AO249" s="1" t="str">
        <f>IF(LEFT(Master_Reference[[#This Row],[Model Number]],1)="U",LEFT(Master_Reference[[#This Row],[Model Number]],4),LEFT(Master_Reference[[#This Row],[Model Number]],3))</f>
        <v>EC5</v>
      </c>
    </row>
    <row r="250" spans="1:41" x14ac:dyDescent="0.25">
      <c r="A250" s="2" t="s">
        <v>523</v>
      </c>
      <c r="B250" s="1" t="b">
        <v>1</v>
      </c>
      <c r="C250" s="1" t="b">
        <v>1</v>
      </c>
      <c r="F250" s="1" t="b">
        <v>1</v>
      </c>
      <c r="G250" s="1" t="b">
        <f>IF(OR(LEFT(RIGHT(Master_Reference[[#This Row],[Model Number]],3),1)="C",LEFT(RIGHT(Master_Reference[[#This Row],[Model Number]],4),1)="C"),TRUE,"")</f>
        <v>1</v>
      </c>
      <c r="H250" s="1" t="str">
        <f>IF(LEFT(Master_Reference[[#This Row],[Model Number]],1)="U",TRUE,"")</f>
        <v/>
      </c>
      <c r="I250" s="1" t="b">
        <f>IF(Master_Reference[[#This Row],[Lamp Type]]="T4","",IF(Master_Reference[[#This Row],[Case Type]]="M","",TRUE))</f>
        <v>1</v>
      </c>
      <c r="J250" s="1" t="str">
        <f t="shared" si="5"/>
        <v>T8</v>
      </c>
      <c r="K250" s="1">
        <v>32</v>
      </c>
      <c r="L250" s="1" t="s">
        <v>118</v>
      </c>
      <c r="M250" s="1">
        <v>1</v>
      </c>
      <c r="N250" s="1" t="s">
        <v>149</v>
      </c>
      <c r="O250" s="1" t="s">
        <v>320</v>
      </c>
      <c r="R250" t="b">
        <f>IF(COUNTBLANK(Master_Reference[[#This Row],[C-Flex 3000K Eco Part Number]:[C-Flex 4000K Eco Part Number]])=3,FALSE,TRUE)</f>
        <v>1</v>
      </c>
      <c r="S250" t="b">
        <f>IF(COUNTBLANK(Master_Reference[[#This Row],[C-Flex 3000K 3W Part Number]:[C-Flex 4000K 3W Part Number]])=3,FALSE,TRUE)</f>
        <v>1</v>
      </c>
      <c r="T250" t="b">
        <f>IF(COUNTBLANK(Master_Reference[[#This Row],[Lutron 3000K Eco Part Number]:[Lutron 4000K Eco Part Number]])=3,FALSE,TRUE)</f>
        <v>1</v>
      </c>
      <c r="U250" t="b">
        <f>IF(COUNTBLANK(Master_Reference[[#This Row],[Lutron 3000K 3W Part Number]:[Lutron 4000K 3W Part Number]])=3,FALSE,TRUE)</f>
        <v>1</v>
      </c>
      <c r="V250" s="12" t="s">
        <v>312</v>
      </c>
      <c r="W250" s="12" t="s">
        <v>313</v>
      </c>
      <c r="X250" s="12" t="s">
        <v>314</v>
      </c>
      <c r="Y250" t="s">
        <v>1744</v>
      </c>
      <c r="Z250" s="12" t="s">
        <v>264</v>
      </c>
      <c r="AA250" s="12" t="s">
        <v>265</v>
      </c>
      <c r="AB250" s="12" t="s">
        <v>266</v>
      </c>
      <c r="AC250" t="s">
        <v>1829</v>
      </c>
      <c r="AD250" t="str">
        <f>SUBSTITUTE(Master_Reference[[#This Row],[C-Flex 4000K Eco Part Number]],"40-","xx-")</f>
        <v>RP-T8-4FT-1L-8xx-E1-M-G2</v>
      </c>
      <c r="AE250" t="str">
        <f>SUBSTITUTE(Master_Reference[[#This Row],[C-Flex 4000K 3W Part Number]],"40-","xx-")</f>
        <v>RP-T8-4FT-1L-8xx-3W-M-G2</v>
      </c>
      <c r="AF250" s="1" t="str">
        <f>_xlfn.IFNA(VLOOKUP(Master_Reference[[#This Row],[C-Flex 3000K Eco Part Number]],Lutron_CFlex_Lookup[],MATCH("Lutron Kit PN",Lutron_CFlex_Lookup[#Headers],0),FALSE),"")</f>
        <v>ELD4T8-1M30-q</v>
      </c>
      <c r="AG250" s="1" t="str">
        <f>_xlfn.IFNA(VLOOKUP(Master_Reference[[#This Row],[C-Flex 3500K Eco Part Number]],Lutron_CFlex_Lookup[],MATCH("Lutron Kit PN",Lutron_CFlex_Lookup[#Headers],0),FALSE),"")</f>
        <v>ELD4T8-1M35-q</v>
      </c>
      <c r="AH250" s="1" t="str">
        <f>_xlfn.IFNA(VLOOKUP(Master_Reference[[#This Row],[C-Flex 4000K Eco Part Number]],Lutron_CFlex_Lookup[],MATCH("Lutron Kit PN",Lutron_CFlex_Lookup[#Headers],0),FALSE),"")</f>
        <v>ELD4T8-1M40-q</v>
      </c>
      <c r="AI250" s="1" t="str">
        <f>_xlfn.IFNA(VLOOKUP(Master_Reference[[#This Row],[C-Flex 5000K Eco Part Number]],Lutron_CFlex_Lookup[],MATCH("Lutron Kit PN",Lutron_CFlex_Lookup[#Headers],0),FALSE),"")</f>
        <v>ELD4T8-1M50-q</v>
      </c>
      <c r="AJ250" s="1" t="str">
        <f>_xlfn.IFNA(VLOOKUP(Master_Reference[[#This Row],[C-Flex 3000K 3W Part Number]],Lutron_CFlex_Lookup[],MATCH("Lutron Kit PN",Lutron_CFlex_Lookup[#Headers],0),FALSE),"")</f>
        <v>3LD4T8-1M30-q</v>
      </c>
      <c r="AK250" s="1" t="str">
        <f>_xlfn.IFNA(VLOOKUP(Master_Reference[[#This Row],[C-Flex 3500K 3W Part Number]],Lutron_CFlex_Lookup[],MATCH("Lutron Kit PN",Lutron_CFlex_Lookup[#Headers],0),FALSE),"")</f>
        <v>3LD4T8-1M35-q</v>
      </c>
      <c r="AL250" s="1" t="str">
        <f>_xlfn.IFNA(VLOOKUP(Master_Reference[[#This Row],[C-Flex 4000K 3W Part Number]],Lutron_CFlex_Lookup[],MATCH("Lutron Kit PN",Lutron_CFlex_Lookup[#Headers],0),FALSE),"")</f>
        <v>3LD4T8-1M40-q</v>
      </c>
      <c r="AM250" s="1" t="str">
        <f>_xlfn.IFNA(VLOOKUP(Master_Reference[[#This Row],[C-Flex 5000K 3W Part Number]],Lutron_CFlex_Lookup[],MATCH("Lutron Kit PN",Lutron_CFlex_Lookup[#Headers],0),FALSE),"")</f>
        <v>3LD4T8-1M50-q</v>
      </c>
      <c r="AN250" s="1" t="b">
        <f>NOT(ISNA(VLOOKUP(Master_Reference[[#This Row],[Model Number]],ObsoleteModels[],1,FALSE)))</f>
        <v>1</v>
      </c>
      <c r="AO250" s="1" t="str">
        <f>IF(LEFT(Master_Reference[[#This Row],[Model Number]],1)="U",LEFT(Master_Reference[[#This Row],[Model Number]],4),LEFT(Master_Reference[[#This Row],[Model Number]],3))</f>
        <v>EC5</v>
      </c>
    </row>
    <row r="251" spans="1:41" x14ac:dyDescent="0.25">
      <c r="A251" s="2" t="s">
        <v>524</v>
      </c>
      <c r="B251" s="1" t="b">
        <v>1</v>
      </c>
      <c r="C251" s="1" t="b">
        <v>1</v>
      </c>
      <c r="F251" s="1" t="b">
        <v>1</v>
      </c>
      <c r="G251" s="1" t="str">
        <f>IF(OR(LEFT(RIGHT(Master_Reference[[#This Row],[Model Number]],3),1)="C",LEFT(RIGHT(Master_Reference[[#This Row],[Model Number]],4),1)="C"),TRUE,"")</f>
        <v/>
      </c>
      <c r="H251" s="1" t="str">
        <f>IF(LEFT(Master_Reference[[#This Row],[Model Number]],1)="U",TRUE,"")</f>
        <v/>
      </c>
      <c r="I251" s="1" t="b">
        <f>IF(Master_Reference[[#This Row],[Lamp Type]]="T4","",IF(Master_Reference[[#This Row],[Case Type]]="M","",TRUE))</f>
        <v>1</v>
      </c>
      <c r="J251" s="1" t="str">
        <f t="shared" si="5"/>
        <v>T8</v>
      </c>
      <c r="K251" s="1">
        <v>32</v>
      </c>
      <c r="L251" s="1" t="s">
        <v>118</v>
      </c>
      <c r="M251" s="1">
        <v>1</v>
      </c>
      <c r="N251" s="1" t="s">
        <v>149</v>
      </c>
      <c r="O251" s="1" t="s">
        <v>320</v>
      </c>
      <c r="Q251" s="1" t="s">
        <v>91</v>
      </c>
      <c r="R251" t="b">
        <f>IF(COUNTBLANK(Master_Reference[[#This Row],[C-Flex 3000K Eco Part Number]:[C-Flex 4000K Eco Part Number]])=3,FALSE,TRUE)</f>
        <v>0</v>
      </c>
      <c r="S251" t="b">
        <f>IF(COUNTBLANK(Master_Reference[[#This Row],[C-Flex 3000K 3W Part Number]:[C-Flex 4000K 3W Part Number]])=3,FALSE,TRUE)</f>
        <v>0</v>
      </c>
      <c r="T251" t="b">
        <f>IF(COUNTBLANK(Master_Reference[[#This Row],[Lutron 3000K Eco Part Number]:[Lutron 4000K Eco Part Number]])=3,FALSE,TRUE)</f>
        <v>0</v>
      </c>
      <c r="U251" t="b">
        <f>IF(COUNTBLANK(Master_Reference[[#This Row],[Lutron 3000K 3W Part Number]:[Lutron 4000K 3W Part Number]])=3,FALSE,TRUE)</f>
        <v>0</v>
      </c>
      <c r="V251" s="12"/>
      <c r="W251" s="12"/>
      <c r="X251" s="12"/>
      <c r="Y251" t="s">
        <v>2125</v>
      </c>
      <c r="Z251" s="12"/>
      <c r="AA251" s="12"/>
      <c r="AB251" s="12"/>
      <c r="AC251" t="s">
        <v>2125</v>
      </c>
      <c r="AD251" t="str">
        <f>SUBSTITUTE(Master_Reference[[#This Row],[C-Flex 4000K Eco Part Number]],"40-","xx-")</f>
        <v/>
      </c>
      <c r="AE251" t="str">
        <f>SUBSTITUTE(Master_Reference[[#This Row],[C-Flex 4000K 3W Part Number]],"40-","xx-")</f>
        <v/>
      </c>
      <c r="AF251" s="1" t="str">
        <f>_xlfn.IFNA(VLOOKUP(Master_Reference[[#This Row],[C-Flex 3000K Eco Part Number]],Lutron_CFlex_Lookup[],MATCH("Lutron Kit PN",Lutron_CFlex_Lookup[#Headers],0),FALSE),"")</f>
        <v/>
      </c>
      <c r="AG251" s="1" t="str">
        <f>_xlfn.IFNA(VLOOKUP(Master_Reference[[#This Row],[C-Flex 3500K Eco Part Number]],Lutron_CFlex_Lookup[],MATCH("Lutron Kit PN",Lutron_CFlex_Lookup[#Headers],0),FALSE),"")</f>
        <v/>
      </c>
      <c r="AH251" s="1" t="str">
        <f>_xlfn.IFNA(VLOOKUP(Master_Reference[[#This Row],[C-Flex 4000K Eco Part Number]],Lutron_CFlex_Lookup[],MATCH("Lutron Kit PN",Lutron_CFlex_Lookup[#Headers],0),FALSE),"")</f>
        <v/>
      </c>
      <c r="AI251" s="1" t="str">
        <f>_xlfn.IFNA(VLOOKUP(Master_Reference[[#This Row],[C-Flex 5000K Eco Part Number]],Lutron_CFlex_Lookup[],MATCH("Lutron Kit PN",Lutron_CFlex_Lookup[#Headers],0),FALSE),"")</f>
        <v/>
      </c>
      <c r="AJ251" s="1" t="str">
        <f>_xlfn.IFNA(VLOOKUP(Master_Reference[[#This Row],[C-Flex 3000K 3W Part Number]],Lutron_CFlex_Lookup[],MATCH("Lutron Kit PN",Lutron_CFlex_Lookup[#Headers],0),FALSE),"")</f>
        <v/>
      </c>
      <c r="AK251" s="1" t="str">
        <f>_xlfn.IFNA(VLOOKUP(Master_Reference[[#This Row],[C-Flex 3500K 3W Part Number]],Lutron_CFlex_Lookup[],MATCH("Lutron Kit PN",Lutron_CFlex_Lookup[#Headers],0),FALSE),"")</f>
        <v/>
      </c>
      <c r="AL251" s="1" t="str">
        <f>_xlfn.IFNA(VLOOKUP(Master_Reference[[#This Row],[C-Flex 4000K 3W Part Number]],Lutron_CFlex_Lookup[],MATCH("Lutron Kit PN",Lutron_CFlex_Lookup[#Headers],0),FALSE),"")</f>
        <v/>
      </c>
      <c r="AM251" s="1" t="str">
        <f>_xlfn.IFNA(VLOOKUP(Master_Reference[[#This Row],[C-Flex 5000K 3W Part Number]],Lutron_CFlex_Lookup[],MATCH("Lutron Kit PN",Lutron_CFlex_Lookup[#Headers],0),FALSE),"")</f>
        <v/>
      </c>
      <c r="AN251" s="1" t="b">
        <f>NOT(ISNA(VLOOKUP(Master_Reference[[#This Row],[Model Number]],ObsoleteModels[],1,FALSE)))</f>
        <v>0</v>
      </c>
      <c r="AO251" s="1" t="str">
        <f>IF(LEFT(Master_Reference[[#This Row],[Model Number]],1)="U",LEFT(Master_Reference[[#This Row],[Model Number]],4),LEFT(Master_Reference[[#This Row],[Model Number]],3))</f>
        <v>EC5</v>
      </c>
    </row>
    <row r="252" spans="1:41" x14ac:dyDescent="0.25">
      <c r="A252" s="2" t="s">
        <v>525</v>
      </c>
      <c r="B252" s="1" t="b">
        <v>1</v>
      </c>
      <c r="C252" s="1" t="b">
        <v>1</v>
      </c>
      <c r="F252" s="1" t="b">
        <v>1</v>
      </c>
      <c r="G252" s="1" t="str">
        <f>IF(OR(LEFT(RIGHT(Master_Reference[[#This Row],[Model Number]],3),1)="C",LEFT(RIGHT(Master_Reference[[#This Row],[Model Number]],4),1)="C"),TRUE,"")</f>
        <v/>
      </c>
      <c r="H252" s="1" t="str">
        <f>IF(LEFT(Master_Reference[[#This Row],[Model Number]],1)="U",TRUE,"")</f>
        <v/>
      </c>
      <c r="I252" s="1" t="b">
        <f>IF(Master_Reference[[#This Row],[Lamp Type]]="T4","",IF(Master_Reference[[#This Row],[Case Type]]="M","",TRUE))</f>
        <v>1</v>
      </c>
      <c r="J252" s="1" t="str">
        <f t="shared" si="5"/>
        <v>T8</v>
      </c>
      <c r="K252" s="1">
        <v>32</v>
      </c>
      <c r="L252" s="1" t="s">
        <v>118</v>
      </c>
      <c r="M252" s="1">
        <v>2</v>
      </c>
      <c r="N252" s="1" t="s">
        <v>149</v>
      </c>
      <c r="O252" s="1" t="s">
        <v>320</v>
      </c>
      <c r="R252" t="b">
        <f>IF(COUNTBLANK(Master_Reference[[#This Row],[C-Flex 3000K Eco Part Number]:[C-Flex 4000K Eco Part Number]])=3,FALSE,TRUE)</f>
        <v>1</v>
      </c>
      <c r="S252" t="b">
        <f>IF(COUNTBLANK(Master_Reference[[#This Row],[C-Flex 3000K 3W Part Number]:[C-Flex 4000K 3W Part Number]])=3,FALSE,TRUE)</f>
        <v>1</v>
      </c>
      <c r="T252" t="b">
        <f>IF(COUNTBLANK(Master_Reference[[#This Row],[Lutron 3000K Eco Part Number]:[Lutron 4000K Eco Part Number]])=3,FALSE,TRUE)</f>
        <v>1</v>
      </c>
      <c r="U252" t="b">
        <f>IF(COUNTBLANK(Master_Reference[[#This Row],[Lutron 3000K 3W Part Number]:[Lutron 4000K 3W Part Number]])=3,FALSE,TRUE)</f>
        <v>1</v>
      </c>
      <c r="V252" s="12" t="s">
        <v>316</v>
      </c>
      <c r="W252" s="12" t="s">
        <v>317</v>
      </c>
      <c r="X252" s="12" t="s">
        <v>318</v>
      </c>
      <c r="Y252" t="s">
        <v>1745</v>
      </c>
      <c r="Z252" s="12" t="s">
        <v>145</v>
      </c>
      <c r="AA252" s="12" t="s">
        <v>146</v>
      </c>
      <c r="AB252" s="12" t="s">
        <v>147</v>
      </c>
      <c r="AC252" t="s">
        <v>1830</v>
      </c>
      <c r="AD252" t="str">
        <f>SUBSTITUTE(Master_Reference[[#This Row],[C-Flex 4000K Eco Part Number]],"40-","xx-")</f>
        <v>RP-T8-4FT-2L-8xx-E1-M-G2</v>
      </c>
      <c r="AE252" t="str">
        <f>SUBSTITUTE(Master_Reference[[#This Row],[C-Flex 4000K 3W Part Number]],"40-","xx-")</f>
        <v>RP-T8-4FT-2L-8xx-3W-M-G2</v>
      </c>
      <c r="AF252" s="1" t="str">
        <f>_xlfn.IFNA(VLOOKUP(Master_Reference[[#This Row],[C-Flex 3000K Eco Part Number]],Lutron_CFlex_Lookup[],MATCH("Lutron Kit PN",Lutron_CFlex_Lookup[#Headers],0),FALSE),"")</f>
        <v>ELD4T8-2M30-q</v>
      </c>
      <c r="AG252" s="1" t="str">
        <f>_xlfn.IFNA(VLOOKUP(Master_Reference[[#This Row],[C-Flex 3500K Eco Part Number]],Lutron_CFlex_Lookup[],MATCH("Lutron Kit PN",Lutron_CFlex_Lookup[#Headers],0),FALSE),"")</f>
        <v>ELD4T8-2M35-q</v>
      </c>
      <c r="AH252" s="1" t="str">
        <f>_xlfn.IFNA(VLOOKUP(Master_Reference[[#This Row],[C-Flex 4000K Eco Part Number]],Lutron_CFlex_Lookup[],MATCH("Lutron Kit PN",Lutron_CFlex_Lookup[#Headers],0),FALSE),"")</f>
        <v>ELD4T8-2M40-q</v>
      </c>
      <c r="AI252" s="1" t="str">
        <f>_xlfn.IFNA(VLOOKUP(Master_Reference[[#This Row],[C-Flex 5000K Eco Part Number]],Lutron_CFlex_Lookup[],MATCH("Lutron Kit PN",Lutron_CFlex_Lookup[#Headers],0),FALSE),"")</f>
        <v>ELD4T8-2M50-q</v>
      </c>
      <c r="AJ252" s="1" t="str">
        <f>_xlfn.IFNA(VLOOKUP(Master_Reference[[#This Row],[C-Flex 3000K 3W Part Number]],Lutron_CFlex_Lookup[],MATCH("Lutron Kit PN",Lutron_CFlex_Lookup[#Headers],0),FALSE),"")</f>
        <v>3LD4T8-2M30-q</v>
      </c>
      <c r="AK252" s="1" t="str">
        <f>_xlfn.IFNA(VLOOKUP(Master_Reference[[#This Row],[C-Flex 3500K 3W Part Number]],Lutron_CFlex_Lookup[],MATCH("Lutron Kit PN",Lutron_CFlex_Lookup[#Headers],0),FALSE),"")</f>
        <v>3LD4T8-2M35-q</v>
      </c>
      <c r="AL252" s="1" t="str">
        <f>_xlfn.IFNA(VLOOKUP(Master_Reference[[#This Row],[C-Flex 4000K 3W Part Number]],Lutron_CFlex_Lookup[],MATCH("Lutron Kit PN",Lutron_CFlex_Lookup[#Headers],0),FALSE),"")</f>
        <v>3LD4T8-2M40-q</v>
      </c>
      <c r="AM252" s="1" t="str">
        <f>_xlfn.IFNA(VLOOKUP(Master_Reference[[#This Row],[C-Flex 5000K 3W Part Number]],Lutron_CFlex_Lookup[],MATCH("Lutron Kit PN",Lutron_CFlex_Lookup[#Headers],0),FALSE),"")</f>
        <v>3LD4T8-2M50-q</v>
      </c>
      <c r="AN252" s="1" t="b">
        <f>NOT(ISNA(VLOOKUP(Master_Reference[[#This Row],[Model Number]],ObsoleteModels[],1,FALSE)))</f>
        <v>0</v>
      </c>
      <c r="AO252" s="1" t="str">
        <f>IF(LEFT(Master_Reference[[#This Row],[Model Number]],1)="U",LEFT(Master_Reference[[#This Row],[Model Number]],4),LEFT(Master_Reference[[#This Row],[Model Number]],3))</f>
        <v>EC5</v>
      </c>
    </row>
    <row r="253" spans="1:41" x14ac:dyDescent="0.25">
      <c r="A253" s="2" t="s">
        <v>526</v>
      </c>
      <c r="B253" s="1" t="b">
        <v>1</v>
      </c>
      <c r="C253" s="1" t="b">
        <v>1</v>
      </c>
      <c r="F253" s="1" t="b">
        <v>1</v>
      </c>
      <c r="G253" s="1" t="b">
        <f>IF(OR(LEFT(RIGHT(Master_Reference[[#This Row],[Model Number]],3),1)="C",LEFT(RIGHT(Master_Reference[[#This Row],[Model Number]],4),1)="C"),TRUE,"")</f>
        <v>1</v>
      </c>
      <c r="H253" s="1" t="str">
        <f>IF(LEFT(Master_Reference[[#This Row],[Model Number]],1)="U",TRUE,"")</f>
        <v/>
      </c>
      <c r="I253" s="1" t="b">
        <f>IF(Master_Reference[[#This Row],[Lamp Type]]="T4","",IF(Master_Reference[[#This Row],[Case Type]]="M","",TRUE))</f>
        <v>1</v>
      </c>
      <c r="J253" s="1" t="str">
        <f t="shared" si="5"/>
        <v>T8</v>
      </c>
      <c r="K253" s="1">
        <v>32</v>
      </c>
      <c r="L253" s="1" t="s">
        <v>118</v>
      </c>
      <c r="M253" s="1">
        <v>2</v>
      </c>
      <c r="N253" s="1" t="s">
        <v>149</v>
      </c>
      <c r="O253" s="1" t="s">
        <v>320</v>
      </c>
      <c r="R253" t="b">
        <f>IF(COUNTBLANK(Master_Reference[[#This Row],[C-Flex 3000K Eco Part Number]:[C-Flex 4000K Eco Part Number]])=3,FALSE,TRUE)</f>
        <v>1</v>
      </c>
      <c r="S253" t="b">
        <f>IF(COUNTBLANK(Master_Reference[[#This Row],[C-Flex 3000K 3W Part Number]:[C-Flex 4000K 3W Part Number]])=3,FALSE,TRUE)</f>
        <v>1</v>
      </c>
      <c r="T253" t="b">
        <f>IF(COUNTBLANK(Master_Reference[[#This Row],[Lutron 3000K Eco Part Number]:[Lutron 4000K Eco Part Number]])=3,FALSE,TRUE)</f>
        <v>1</v>
      </c>
      <c r="U253" t="b">
        <f>IF(COUNTBLANK(Master_Reference[[#This Row],[Lutron 3000K 3W Part Number]:[Lutron 4000K 3W Part Number]])=3,FALSE,TRUE)</f>
        <v>1</v>
      </c>
      <c r="V253" s="12" t="s">
        <v>316</v>
      </c>
      <c r="W253" s="12" t="s">
        <v>317</v>
      </c>
      <c r="X253" s="12" t="s">
        <v>318</v>
      </c>
      <c r="Y253" t="s">
        <v>1745</v>
      </c>
      <c r="Z253" s="12" t="s">
        <v>145</v>
      </c>
      <c r="AA253" s="12" t="s">
        <v>146</v>
      </c>
      <c r="AB253" s="12" t="s">
        <v>147</v>
      </c>
      <c r="AC253" t="s">
        <v>1830</v>
      </c>
      <c r="AD253" t="str">
        <f>SUBSTITUTE(Master_Reference[[#This Row],[C-Flex 4000K Eco Part Number]],"40-","xx-")</f>
        <v>RP-T8-4FT-2L-8xx-E1-M-G2</v>
      </c>
      <c r="AE253" t="str">
        <f>SUBSTITUTE(Master_Reference[[#This Row],[C-Flex 4000K 3W Part Number]],"40-","xx-")</f>
        <v>RP-T8-4FT-2L-8xx-3W-M-G2</v>
      </c>
      <c r="AF253" s="1" t="str">
        <f>_xlfn.IFNA(VLOOKUP(Master_Reference[[#This Row],[C-Flex 3000K Eco Part Number]],Lutron_CFlex_Lookup[],MATCH("Lutron Kit PN",Lutron_CFlex_Lookup[#Headers],0),FALSE),"")</f>
        <v>ELD4T8-2M30-q</v>
      </c>
      <c r="AG253" s="1" t="str">
        <f>_xlfn.IFNA(VLOOKUP(Master_Reference[[#This Row],[C-Flex 3500K Eco Part Number]],Lutron_CFlex_Lookup[],MATCH("Lutron Kit PN",Lutron_CFlex_Lookup[#Headers],0),FALSE),"")</f>
        <v>ELD4T8-2M35-q</v>
      </c>
      <c r="AH253" s="1" t="str">
        <f>_xlfn.IFNA(VLOOKUP(Master_Reference[[#This Row],[C-Flex 4000K Eco Part Number]],Lutron_CFlex_Lookup[],MATCH("Lutron Kit PN",Lutron_CFlex_Lookup[#Headers],0),FALSE),"")</f>
        <v>ELD4T8-2M40-q</v>
      </c>
      <c r="AI253" s="1" t="str">
        <f>_xlfn.IFNA(VLOOKUP(Master_Reference[[#This Row],[C-Flex 5000K Eco Part Number]],Lutron_CFlex_Lookup[],MATCH("Lutron Kit PN",Lutron_CFlex_Lookup[#Headers],0),FALSE),"")</f>
        <v>ELD4T8-2M50-q</v>
      </c>
      <c r="AJ253" s="1" t="str">
        <f>_xlfn.IFNA(VLOOKUP(Master_Reference[[#This Row],[C-Flex 3000K 3W Part Number]],Lutron_CFlex_Lookup[],MATCH("Lutron Kit PN",Lutron_CFlex_Lookup[#Headers],0),FALSE),"")</f>
        <v>3LD4T8-2M30-q</v>
      </c>
      <c r="AK253" s="1" t="str">
        <f>_xlfn.IFNA(VLOOKUP(Master_Reference[[#This Row],[C-Flex 3500K 3W Part Number]],Lutron_CFlex_Lookup[],MATCH("Lutron Kit PN",Lutron_CFlex_Lookup[#Headers],0),FALSE),"")</f>
        <v>3LD4T8-2M35-q</v>
      </c>
      <c r="AL253" s="1" t="str">
        <f>_xlfn.IFNA(VLOOKUP(Master_Reference[[#This Row],[C-Flex 4000K 3W Part Number]],Lutron_CFlex_Lookup[],MATCH("Lutron Kit PN",Lutron_CFlex_Lookup[#Headers],0),FALSE),"")</f>
        <v>3LD4T8-2M40-q</v>
      </c>
      <c r="AM253" s="1" t="str">
        <f>_xlfn.IFNA(VLOOKUP(Master_Reference[[#This Row],[C-Flex 5000K 3W Part Number]],Lutron_CFlex_Lookup[],MATCH("Lutron Kit PN",Lutron_CFlex_Lookup[#Headers],0),FALSE),"")</f>
        <v>3LD4T8-2M50-q</v>
      </c>
      <c r="AN253" s="1" t="b">
        <f>NOT(ISNA(VLOOKUP(Master_Reference[[#This Row],[Model Number]],ObsoleteModels[],1,FALSE)))</f>
        <v>1</v>
      </c>
      <c r="AO253" s="1" t="str">
        <f>IF(LEFT(Master_Reference[[#This Row],[Model Number]],1)="U",LEFT(Master_Reference[[#This Row],[Model Number]],4),LEFT(Master_Reference[[#This Row],[Model Number]],3))</f>
        <v>EC5</v>
      </c>
    </row>
    <row r="254" spans="1:41" x14ac:dyDescent="0.25">
      <c r="A254" s="2" t="s">
        <v>527</v>
      </c>
      <c r="B254" s="1" t="b">
        <v>1</v>
      </c>
      <c r="C254" s="1" t="b">
        <v>1</v>
      </c>
      <c r="F254" s="1" t="b">
        <v>1</v>
      </c>
      <c r="G254" s="1" t="b">
        <f>IF(OR(LEFT(RIGHT(Master_Reference[[#This Row],[Model Number]],3),1)="C",LEFT(RIGHT(Master_Reference[[#This Row],[Model Number]],4),1)="C"),TRUE,"")</f>
        <v>1</v>
      </c>
      <c r="H254" s="1" t="str">
        <f>IF(LEFT(Master_Reference[[#This Row],[Model Number]],1)="U",TRUE,"")</f>
        <v/>
      </c>
      <c r="I254" s="1" t="b">
        <f>IF(Master_Reference[[#This Row],[Lamp Type]]="T4","",IF(Master_Reference[[#This Row],[Case Type]]="M","",TRUE))</f>
        <v>1</v>
      </c>
      <c r="J254" s="1" t="str">
        <f t="shared" si="5"/>
        <v>T8</v>
      </c>
      <c r="K254" s="1">
        <v>32</v>
      </c>
      <c r="L254" s="1" t="s">
        <v>118</v>
      </c>
      <c r="M254" s="1">
        <v>2</v>
      </c>
      <c r="N254" s="1" t="s">
        <v>149</v>
      </c>
      <c r="O254" s="1" t="s">
        <v>320</v>
      </c>
      <c r="R254" t="b">
        <f>IF(COUNTBLANK(Master_Reference[[#This Row],[C-Flex 3000K Eco Part Number]:[C-Flex 4000K Eco Part Number]])=3,FALSE,TRUE)</f>
        <v>1</v>
      </c>
      <c r="S254" t="b">
        <f>IF(COUNTBLANK(Master_Reference[[#This Row],[C-Flex 3000K 3W Part Number]:[C-Flex 4000K 3W Part Number]])=3,FALSE,TRUE)</f>
        <v>1</v>
      </c>
      <c r="T254" t="b">
        <f>IF(COUNTBLANK(Master_Reference[[#This Row],[Lutron 3000K Eco Part Number]:[Lutron 4000K Eco Part Number]])=3,FALSE,TRUE)</f>
        <v>1</v>
      </c>
      <c r="U254" t="b">
        <f>IF(COUNTBLANK(Master_Reference[[#This Row],[Lutron 3000K 3W Part Number]:[Lutron 4000K 3W Part Number]])=3,FALSE,TRUE)</f>
        <v>1</v>
      </c>
      <c r="V254" s="12" t="s">
        <v>316</v>
      </c>
      <c r="W254" s="12" t="s">
        <v>317</v>
      </c>
      <c r="X254" s="12" t="s">
        <v>318</v>
      </c>
      <c r="Y254" t="s">
        <v>1745</v>
      </c>
      <c r="Z254" s="12" t="s">
        <v>145</v>
      </c>
      <c r="AA254" s="12" t="s">
        <v>146</v>
      </c>
      <c r="AB254" s="12" t="s">
        <v>147</v>
      </c>
      <c r="AC254" t="s">
        <v>1830</v>
      </c>
      <c r="AD254" t="str">
        <f>SUBSTITUTE(Master_Reference[[#This Row],[C-Flex 4000K Eco Part Number]],"40-","xx-")</f>
        <v>RP-T8-4FT-2L-8xx-E1-M-G2</v>
      </c>
      <c r="AE254" t="str">
        <f>SUBSTITUTE(Master_Reference[[#This Row],[C-Flex 4000K 3W Part Number]],"40-","xx-")</f>
        <v>RP-T8-4FT-2L-8xx-3W-M-G2</v>
      </c>
      <c r="AF254" s="1" t="str">
        <f>_xlfn.IFNA(VLOOKUP(Master_Reference[[#This Row],[C-Flex 3000K Eco Part Number]],Lutron_CFlex_Lookup[],MATCH("Lutron Kit PN",Lutron_CFlex_Lookup[#Headers],0),FALSE),"")</f>
        <v>ELD4T8-2M30-q</v>
      </c>
      <c r="AG254" s="1" t="str">
        <f>_xlfn.IFNA(VLOOKUP(Master_Reference[[#This Row],[C-Flex 3500K Eco Part Number]],Lutron_CFlex_Lookup[],MATCH("Lutron Kit PN",Lutron_CFlex_Lookup[#Headers],0),FALSE),"")</f>
        <v>ELD4T8-2M35-q</v>
      </c>
      <c r="AH254" s="1" t="str">
        <f>_xlfn.IFNA(VLOOKUP(Master_Reference[[#This Row],[C-Flex 4000K Eco Part Number]],Lutron_CFlex_Lookup[],MATCH("Lutron Kit PN",Lutron_CFlex_Lookup[#Headers],0),FALSE),"")</f>
        <v>ELD4T8-2M40-q</v>
      </c>
      <c r="AI254" s="1" t="str">
        <f>_xlfn.IFNA(VLOOKUP(Master_Reference[[#This Row],[C-Flex 5000K Eco Part Number]],Lutron_CFlex_Lookup[],MATCH("Lutron Kit PN",Lutron_CFlex_Lookup[#Headers],0),FALSE),"")</f>
        <v>ELD4T8-2M50-q</v>
      </c>
      <c r="AJ254" s="1" t="str">
        <f>_xlfn.IFNA(VLOOKUP(Master_Reference[[#This Row],[C-Flex 3000K 3W Part Number]],Lutron_CFlex_Lookup[],MATCH("Lutron Kit PN",Lutron_CFlex_Lookup[#Headers],0),FALSE),"")</f>
        <v>3LD4T8-2M30-q</v>
      </c>
      <c r="AK254" s="1" t="str">
        <f>_xlfn.IFNA(VLOOKUP(Master_Reference[[#This Row],[C-Flex 3500K 3W Part Number]],Lutron_CFlex_Lookup[],MATCH("Lutron Kit PN",Lutron_CFlex_Lookup[#Headers],0),FALSE),"")</f>
        <v>3LD4T8-2M35-q</v>
      </c>
      <c r="AL254" s="1" t="str">
        <f>_xlfn.IFNA(VLOOKUP(Master_Reference[[#This Row],[C-Flex 4000K 3W Part Number]],Lutron_CFlex_Lookup[],MATCH("Lutron Kit PN",Lutron_CFlex_Lookup[#Headers],0),FALSE),"")</f>
        <v>3LD4T8-2M40-q</v>
      </c>
      <c r="AM254" s="1" t="str">
        <f>_xlfn.IFNA(VLOOKUP(Master_Reference[[#This Row],[C-Flex 5000K 3W Part Number]],Lutron_CFlex_Lookup[],MATCH("Lutron Kit PN",Lutron_CFlex_Lookup[#Headers],0),FALSE),"")</f>
        <v>3LD4T8-2M50-q</v>
      </c>
      <c r="AN254" s="1" t="b">
        <f>NOT(ISNA(VLOOKUP(Master_Reference[[#This Row],[Model Number]],ObsoleteModels[],1,FALSE)))</f>
        <v>1</v>
      </c>
      <c r="AO254" s="1" t="str">
        <f>IF(LEFT(Master_Reference[[#This Row],[Model Number]],1)="U",LEFT(Master_Reference[[#This Row],[Model Number]],4),LEFT(Master_Reference[[#This Row],[Model Number]],3))</f>
        <v>EC5</v>
      </c>
    </row>
    <row r="255" spans="1:41" x14ac:dyDescent="0.25">
      <c r="A255" s="2" t="s">
        <v>528</v>
      </c>
      <c r="B255" s="1" t="b">
        <v>1</v>
      </c>
      <c r="C255" s="1" t="b">
        <v>1</v>
      </c>
      <c r="F255" s="1" t="b">
        <v>1</v>
      </c>
      <c r="G255" s="1" t="b">
        <f>IF(OR(LEFT(RIGHT(Master_Reference[[#This Row],[Model Number]],3),1)="C",LEFT(RIGHT(Master_Reference[[#This Row],[Model Number]],4),1)="C"),TRUE,"")</f>
        <v>1</v>
      </c>
      <c r="H255" s="1" t="str">
        <f>IF(LEFT(Master_Reference[[#This Row],[Model Number]],1)="U",TRUE,"")</f>
        <v/>
      </c>
      <c r="I255" s="1" t="b">
        <f>IF(Master_Reference[[#This Row],[Lamp Type]]="T4","",IF(Master_Reference[[#This Row],[Case Type]]="M","",TRUE))</f>
        <v>1</v>
      </c>
      <c r="J255" s="1" t="str">
        <f t="shared" si="5"/>
        <v>T8</v>
      </c>
      <c r="K255" s="1">
        <v>32</v>
      </c>
      <c r="L255" s="1" t="s">
        <v>118</v>
      </c>
      <c r="M255" s="1">
        <v>2</v>
      </c>
      <c r="N255" s="1" t="s">
        <v>149</v>
      </c>
      <c r="O255" s="1" t="s">
        <v>320</v>
      </c>
      <c r="R255" t="b">
        <f>IF(COUNTBLANK(Master_Reference[[#This Row],[C-Flex 3000K Eco Part Number]:[C-Flex 4000K Eco Part Number]])=3,FALSE,TRUE)</f>
        <v>1</v>
      </c>
      <c r="S255" t="b">
        <f>IF(COUNTBLANK(Master_Reference[[#This Row],[C-Flex 3000K 3W Part Number]:[C-Flex 4000K 3W Part Number]])=3,FALSE,TRUE)</f>
        <v>1</v>
      </c>
      <c r="T255" t="b">
        <f>IF(COUNTBLANK(Master_Reference[[#This Row],[Lutron 3000K Eco Part Number]:[Lutron 4000K Eco Part Number]])=3,FALSE,TRUE)</f>
        <v>1</v>
      </c>
      <c r="U255" t="b">
        <f>IF(COUNTBLANK(Master_Reference[[#This Row],[Lutron 3000K 3W Part Number]:[Lutron 4000K 3W Part Number]])=3,FALSE,TRUE)</f>
        <v>1</v>
      </c>
      <c r="V255" s="12" t="s">
        <v>316</v>
      </c>
      <c r="W255" s="12" t="s">
        <v>317</v>
      </c>
      <c r="X255" s="12" t="s">
        <v>318</v>
      </c>
      <c r="Y255" t="s">
        <v>1745</v>
      </c>
      <c r="Z255" s="12" t="s">
        <v>145</v>
      </c>
      <c r="AA255" s="12" t="s">
        <v>146</v>
      </c>
      <c r="AB255" s="12" t="s">
        <v>147</v>
      </c>
      <c r="AC255" t="s">
        <v>1830</v>
      </c>
      <c r="AD255" t="str">
        <f>SUBSTITUTE(Master_Reference[[#This Row],[C-Flex 4000K Eco Part Number]],"40-","xx-")</f>
        <v>RP-T8-4FT-2L-8xx-E1-M-G2</v>
      </c>
      <c r="AE255" t="str">
        <f>SUBSTITUTE(Master_Reference[[#This Row],[C-Flex 4000K 3W Part Number]],"40-","xx-")</f>
        <v>RP-T8-4FT-2L-8xx-3W-M-G2</v>
      </c>
      <c r="AF255" s="1" t="str">
        <f>_xlfn.IFNA(VLOOKUP(Master_Reference[[#This Row],[C-Flex 3000K Eco Part Number]],Lutron_CFlex_Lookup[],MATCH("Lutron Kit PN",Lutron_CFlex_Lookup[#Headers],0),FALSE),"")</f>
        <v>ELD4T8-2M30-q</v>
      </c>
      <c r="AG255" s="1" t="str">
        <f>_xlfn.IFNA(VLOOKUP(Master_Reference[[#This Row],[C-Flex 3500K Eco Part Number]],Lutron_CFlex_Lookup[],MATCH("Lutron Kit PN",Lutron_CFlex_Lookup[#Headers],0),FALSE),"")</f>
        <v>ELD4T8-2M35-q</v>
      </c>
      <c r="AH255" s="1" t="str">
        <f>_xlfn.IFNA(VLOOKUP(Master_Reference[[#This Row],[C-Flex 4000K Eco Part Number]],Lutron_CFlex_Lookup[],MATCH("Lutron Kit PN",Lutron_CFlex_Lookup[#Headers],0),FALSE),"")</f>
        <v>ELD4T8-2M40-q</v>
      </c>
      <c r="AI255" s="1" t="str">
        <f>_xlfn.IFNA(VLOOKUP(Master_Reference[[#This Row],[C-Flex 5000K Eco Part Number]],Lutron_CFlex_Lookup[],MATCH("Lutron Kit PN",Lutron_CFlex_Lookup[#Headers],0),FALSE),"")</f>
        <v>ELD4T8-2M50-q</v>
      </c>
      <c r="AJ255" s="1" t="str">
        <f>_xlfn.IFNA(VLOOKUP(Master_Reference[[#This Row],[C-Flex 3000K 3W Part Number]],Lutron_CFlex_Lookup[],MATCH("Lutron Kit PN",Lutron_CFlex_Lookup[#Headers],0),FALSE),"")</f>
        <v>3LD4T8-2M30-q</v>
      </c>
      <c r="AK255" s="1" t="str">
        <f>_xlfn.IFNA(VLOOKUP(Master_Reference[[#This Row],[C-Flex 3500K 3W Part Number]],Lutron_CFlex_Lookup[],MATCH("Lutron Kit PN",Lutron_CFlex_Lookup[#Headers],0),FALSE),"")</f>
        <v>3LD4T8-2M35-q</v>
      </c>
      <c r="AL255" s="1" t="str">
        <f>_xlfn.IFNA(VLOOKUP(Master_Reference[[#This Row],[C-Flex 4000K 3W Part Number]],Lutron_CFlex_Lookup[],MATCH("Lutron Kit PN",Lutron_CFlex_Lookup[#Headers],0),FALSE),"")</f>
        <v>3LD4T8-2M40-q</v>
      </c>
      <c r="AM255" s="1" t="str">
        <f>_xlfn.IFNA(VLOOKUP(Master_Reference[[#This Row],[C-Flex 5000K 3W Part Number]],Lutron_CFlex_Lookup[],MATCH("Lutron Kit PN",Lutron_CFlex_Lookup[#Headers],0),FALSE),"")</f>
        <v>3LD4T8-2M50-q</v>
      </c>
      <c r="AN255" s="1" t="b">
        <f>NOT(ISNA(VLOOKUP(Master_Reference[[#This Row],[Model Number]],ObsoleteModels[],1,FALSE)))</f>
        <v>1</v>
      </c>
      <c r="AO255" s="1" t="str">
        <f>IF(LEFT(Master_Reference[[#This Row],[Model Number]],1)="U",LEFT(Master_Reference[[#This Row],[Model Number]],4),LEFT(Master_Reference[[#This Row],[Model Number]],3))</f>
        <v>EC5</v>
      </c>
    </row>
    <row r="256" spans="1:41" x14ac:dyDescent="0.25">
      <c r="A256" s="2" t="s">
        <v>529</v>
      </c>
      <c r="B256" s="1" t="b">
        <v>1</v>
      </c>
      <c r="C256" s="1" t="b">
        <v>1</v>
      </c>
      <c r="F256" s="1" t="b">
        <v>1</v>
      </c>
      <c r="G256" s="1" t="str">
        <f>IF(OR(LEFT(RIGHT(Master_Reference[[#This Row],[Model Number]],3),1)="C",LEFT(RIGHT(Master_Reference[[#This Row],[Model Number]],4),1)="C"),TRUE,"")</f>
        <v/>
      </c>
      <c r="H256" s="1" t="str">
        <f>IF(LEFT(Master_Reference[[#This Row],[Model Number]],1)="U",TRUE,"")</f>
        <v/>
      </c>
      <c r="I256" s="1" t="b">
        <f>IF(Master_Reference[[#This Row],[Lamp Type]]="T4","",IF(Master_Reference[[#This Row],[Case Type]]="M","",TRUE))</f>
        <v>1</v>
      </c>
      <c r="J256" s="1" t="str">
        <f t="shared" si="5"/>
        <v>T8</v>
      </c>
      <c r="K256" s="1">
        <v>32</v>
      </c>
      <c r="L256" s="1" t="s">
        <v>118</v>
      </c>
      <c r="M256" s="1">
        <v>2</v>
      </c>
      <c r="N256" s="1" t="s">
        <v>149</v>
      </c>
      <c r="O256" s="1" t="s">
        <v>320</v>
      </c>
      <c r="Q256" s="1" t="s">
        <v>91</v>
      </c>
      <c r="R256" t="b">
        <f>IF(COUNTBLANK(Master_Reference[[#This Row],[C-Flex 3000K Eco Part Number]:[C-Flex 4000K Eco Part Number]])=3,FALSE,TRUE)</f>
        <v>0</v>
      </c>
      <c r="S256" t="b">
        <f>IF(COUNTBLANK(Master_Reference[[#This Row],[C-Flex 3000K 3W Part Number]:[C-Flex 4000K 3W Part Number]])=3,FALSE,TRUE)</f>
        <v>0</v>
      </c>
      <c r="T256" t="b">
        <f>IF(COUNTBLANK(Master_Reference[[#This Row],[Lutron 3000K Eco Part Number]:[Lutron 4000K Eco Part Number]])=3,FALSE,TRUE)</f>
        <v>0</v>
      </c>
      <c r="U256" t="b">
        <f>IF(COUNTBLANK(Master_Reference[[#This Row],[Lutron 3000K 3W Part Number]:[Lutron 4000K 3W Part Number]])=3,FALSE,TRUE)</f>
        <v>0</v>
      </c>
      <c r="V256" s="12"/>
      <c r="W256" s="12"/>
      <c r="X256" s="12"/>
      <c r="Y256" t="s">
        <v>2125</v>
      </c>
      <c r="Z256" s="12"/>
      <c r="AA256" s="12"/>
      <c r="AB256" s="12"/>
      <c r="AC256" t="s">
        <v>2125</v>
      </c>
      <c r="AD256" t="str">
        <f>SUBSTITUTE(Master_Reference[[#This Row],[C-Flex 4000K Eco Part Number]],"40-","xx-")</f>
        <v/>
      </c>
      <c r="AE256" t="str">
        <f>SUBSTITUTE(Master_Reference[[#This Row],[C-Flex 4000K 3W Part Number]],"40-","xx-")</f>
        <v/>
      </c>
      <c r="AF256" s="1" t="str">
        <f>_xlfn.IFNA(VLOOKUP(Master_Reference[[#This Row],[C-Flex 3000K Eco Part Number]],Lutron_CFlex_Lookup[],MATCH("Lutron Kit PN",Lutron_CFlex_Lookup[#Headers],0),FALSE),"")</f>
        <v/>
      </c>
      <c r="AG256" s="1" t="str">
        <f>_xlfn.IFNA(VLOOKUP(Master_Reference[[#This Row],[C-Flex 3500K Eco Part Number]],Lutron_CFlex_Lookup[],MATCH("Lutron Kit PN",Lutron_CFlex_Lookup[#Headers],0),FALSE),"")</f>
        <v/>
      </c>
      <c r="AH256" s="1" t="str">
        <f>_xlfn.IFNA(VLOOKUP(Master_Reference[[#This Row],[C-Flex 4000K Eco Part Number]],Lutron_CFlex_Lookup[],MATCH("Lutron Kit PN",Lutron_CFlex_Lookup[#Headers],0),FALSE),"")</f>
        <v/>
      </c>
      <c r="AI256" s="1" t="str">
        <f>_xlfn.IFNA(VLOOKUP(Master_Reference[[#This Row],[C-Flex 5000K Eco Part Number]],Lutron_CFlex_Lookup[],MATCH("Lutron Kit PN",Lutron_CFlex_Lookup[#Headers],0),FALSE),"")</f>
        <v/>
      </c>
      <c r="AJ256" s="1" t="str">
        <f>_xlfn.IFNA(VLOOKUP(Master_Reference[[#This Row],[C-Flex 3000K 3W Part Number]],Lutron_CFlex_Lookup[],MATCH("Lutron Kit PN",Lutron_CFlex_Lookup[#Headers],0),FALSE),"")</f>
        <v/>
      </c>
      <c r="AK256" s="1" t="str">
        <f>_xlfn.IFNA(VLOOKUP(Master_Reference[[#This Row],[C-Flex 3500K 3W Part Number]],Lutron_CFlex_Lookup[],MATCH("Lutron Kit PN",Lutron_CFlex_Lookup[#Headers],0),FALSE),"")</f>
        <v/>
      </c>
      <c r="AL256" s="1" t="str">
        <f>_xlfn.IFNA(VLOOKUP(Master_Reference[[#This Row],[C-Flex 4000K 3W Part Number]],Lutron_CFlex_Lookup[],MATCH("Lutron Kit PN",Lutron_CFlex_Lookup[#Headers],0),FALSE),"")</f>
        <v/>
      </c>
      <c r="AM256" s="1" t="str">
        <f>_xlfn.IFNA(VLOOKUP(Master_Reference[[#This Row],[C-Flex 5000K 3W Part Number]],Lutron_CFlex_Lookup[],MATCH("Lutron Kit PN",Lutron_CFlex_Lookup[#Headers],0),FALSE),"")</f>
        <v/>
      </c>
      <c r="AN256" s="1" t="b">
        <f>NOT(ISNA(VLOOKUP(Master_Reference[[#This Row],[Model Number]],ObsoleteModels[],1,FALSE)))</f>
        <v>0</v>
      </c>
      <c r="AO256" s="1" t="str">
        <f>IF(LEFT(Master_Reference[[#This Row],[Model Number]],1)="U",LEFT(Master_Reference[[#This Row],[Model Number]],4),LEFT(Master_Reference[[#This Row],[Model Number]],3))</f>
        <v>EC5</v>
      </c>
    </row>
    <row r="257" spans="1:41" x14ac:dyDescent="0.25">
      <c r="A257" s="2" t="s">
        <v>530</v>
      </c>
      <c r="B257" s="1" t="b">
        <v>1</v>
      </c>
      <c r="C257" s="1" t="b">
        <v>1</v>
      </c>
      <c r="F257" s="1" t="b">
        <v>1</v>
      </c>
      <c r="G257" s="1" t="b">
        <v>1</v>
      </c>
      <c r="H257" s="1" t="str">
        <f>IF(LEFT(Master_Reference[[#This Row],[Model Number]],1)="U",TRUE,"")</f>
        <v/>
      </c>
      <c r="I257" s="1" t="b">
        <f>IF(Master_Reference[[#This Row],[Lamp Type]]="T4","",IF(Master_Reference[[#This Row],[Case Type]]="M","",TRUE))</f>
        <v>1</v>
      </c>
      <c r="J257" s="1" t="str">
        <f t="shared" si="5"/>
        <v>T8</v>
      </c>
      <c r="K257" s="1" t="s">
        <v>531</v>
      </c>
      <c r="L257" s="1" t="s">
        <v>118</v>
      </c>
      <c r="M257" s="1">
        <v>3</v>
      </c>
      <c r="N257" s="1" t="s">
        <v>149</v>
      </c>
      <c r="O257" s="1" t="s">
        <v>217</v>
      </c>
      <c r="R257" t="b">
        <f>IF(COUNTBLANK(Master_Reference[[#This Row],[C-Flex 3000K Eco Part Number]:[C-Flex 4000K Eco Part Number]])=3,FALSE,TRUE)</f>
        <v>1</v>
      </c>
      <c r="S257" t="b">
        <f>IF(COUNTBLANK(Master_Reference[[#This Row],[C-Flex 3000K 3W Part Number]:[C-Flex 4000K 3W Part Number]])=3,FALSE,TRUE)</f>
        <v>1</v>
      </c>
      <c r="T257" t="b">
        <f>IF(COUNTBLANK(Master_Reference[[#This Row],[Lutron 3000K Eco Part Number]:[Lutron 4000K Eco Part Number]])=3,FALSE,TRUE)</f>
        <v>1</v>
      </c>
      <c r="U257" t="b">
        <f>IF(COUNTBLANK(Master_Reference[[#This Row],[Lutron 3000K 3W Part Number]:[Lutron 4000K 3W Part Number]])=3,FALSE,TRUE)</f>
        <v>1</v>
      </c>
      <c r="V257" s="12" t="s">
        <v>495</v>
      </c>
      <c r="W257" s="12" t="s">
        <v>496</v>
      </c>
      <c r="X257" s="12" t="s">
        <v>497</v>
      </c>
      <c r="Y257" t="s">
        <v>1746</v>
      </c>
      <c r="Z257" s="12" t="s">
        <v>277</v>
      </c>
      <c r="AA257" s="12" t="s">
        <v>278</v>
      </c>
      <c r="AB257" s="12" t="s">
        <v>279</v>
      </c>
      <c r="AC257" t="s">
        <v>1831</v>
      </c>
      <c r="AD257" t="str">
        <f>SUBSTITUTE(Master_Reference[[#This Row],[C-Flex 4000K Eco Part Number]],"40-","xx-")</f>
        <v>RP-T8-4FT-3L-8xx-E1-M-G2</v>
      </c>
      <c r="AE257" t="str">
        <f>SUBSTITUTE(Master_Reference[[#This Row],[C-Flex 4000K 3W Part Number]],"40-","xx-")</f>
        <v>RP-T8-4FT-3L-8xx-3W-M-G2</v>
      </c>
      <c r="AF257" s="1" t="str">
        <f>_xlfn.IFNA(VLOOKUP(Master_Reference[[#This Row],[C-Flex 3000K Eco Part Number]],Lutron_CFlex_Lookup[],MATCH("Lutron Kit PN",Lutron_CFlex_Lookup[#Headers],0),FALSE),"")</f>
        <v>ELD4T8-3M30-q</v>
      </c>
      <c r="AG257" s="1" t="str">
        <f>_xlfn.IFNA(VLOOKUP(Master_Reference[[#This Row],[C-Flex 3500K Eco Part Number]],Lutron_CFlex_Lookup[],MATCH("Lutron Kit PN",Lutron_CFlex_Lookup[#Headers],0),FALSE),"")</f>
        <v>ELD4T8-3M35-q</v>
      </c>
      <c r="AH257" s="1" t="str">
        <f>_xlfn.IFNA(VLOOKUP(Master_Reference[[#This Row],[C-Flex 4000K Eco Part Number]],Lutron_CFlex_Lookup[],MATCH("Lutron Kit PN",Lutron_CFlex_Lookup[#Headers],0),FALSE),"")</f>
        <v>ELD4T8-3M40-q</v>
      </c>
      <c r="AI257" s="1" t="str">
        <f>_xlfn.IFNA(VLOOKUP(Master_Reference[[#This Row],[C-Flex 5000K Eco Part Number]],Lutron_CFlex_Lookup[],MATCH("Lutron Kit PN",Lutron_CFlex_Lookup[#Headers],0),FALSE),"")</f>
        <v>ELD4T8-3M50-q</v>
      </c>
      <c r="AJ257" s="1" t="str">
        <f>_xlfn.IFNA(VLOOKUP(Master_Reference[[#This Row],[C-Flex 3000K 3W Part Number]],Lutron_CFlex_Lookup[],MATCH("Lutron Kit PN",Lutron_CFlex_Lookup[#Headers],0),FALSE),"")</f>
        <v>3LD4T8-3M30-q</v>
      </c>
      <c r="AK257" s="1" t="str">
        <f>_xlfn.IFNA(VLOOKUP(Master_Reference[[#This Row],[C-Flex 3500K 3W Part Number]],Lutron_CFlex_Lookup[],MATCH("Lutron Kit PN",Lutron_CFlex_Lookup[#Headers],0),FALSE),"")</f>
        <v>3LD4T8-3M35-q</v>
      </c>
      <c r="AL257" s="1" t="str">
        <f>_xlfn.IFNA(VLOOKUP(Master_Reference[[#This Row],[C-Flex 4000K 3W Part Number]],Lutron_CFlex_Lookup[],MATCH("Lutron Kit PN",Lutron_CFlex_Lookup[#Headers],0),FALSE),"")</f>
        <v>3LD4T8-3M40-q</v>
      </c>
      <c r="AM257" s="1" t="str">
        <f>_xlfn.IFNA(VLOOKUP(Master_Reference[[#This Row],[C-Flex 5000K 3W Part Number]],Lutron_CFlex_Lookup[],MATCH("Lutron Kit PN",Lutron_CFlex_Lookup[#Headers],0),FALSE),"")</f>
        <v>3LD4T8-3M50-q</v>
      </c>
      <c r="AN257" s="1" t="b">
        <f>NOT(ISNA(VLOOKUP(Master_Reference[[#This Row],[Model Number]],ObsoleteModels[],1,FALSE)))</f>
        <v>0</v>
      </c>
      <c r="AO257" s="1" t="str">
        <f>IF(LEFT(Master_Reference[[#This Row],[Model Number]],1)="U",LEFT(Master_Reference[[#This Row],[Model Number]],4),LEFT(Master_Reference[[#This Row],[Model Number]],3))</f>
        <v>EC5</v>
      </c>
    </row>
    <row r="258" spans="1:41" x14ac:dyDescent="0.25">
      <c r="A258" s="2" t="s">
        <v>532</v>
      </c>
      <c r="B258" s="1" t="b">
        <v>1</v>
      </c>
      <c r="C258" s="1" t="b">
        <v>1</v>
      </c>
      <c r="F258" s="1" t="b">
        <v>1</v>
      </c>
      <c r="G258" s="1" t="b">
        <v>1</v>
      </c>
      <c r="H258" s="1" t="str">
        <f>IF(LEFT(Master_Reference[[#This Row],[Model Number]],1)="U",TRUE,"")</f>
        <v/>
      </c>
      <c r="I258" s="1" t="b">
        <f>IF(Master_Reference[[#This Row],[Lamp Type]]="T4","",IF(Master_Reference[[#This Row],[Case Type]]="M","",TRUE))</f>
        <v>1</v>
      </c>
      <c r="J258" s="1" t="str">
        <f t="shared" si="5"/>
        <v>T8</v>
      </c>
      <c r="K258" s="1" t="s">
        <v>531</v>
      </c>
      <c r="L258" s="1" t="s">
        <v>118</v>
      </c>
      <c r="M258" s="1">
        <v>1</v>
      </c>
      <c r="N258" s="1" t="s">
        <v>149</v>
      </c>
      <c r="O258" s="1" t="s">
        <v>320</v>
      </c>
      <c r="R258" t="b">
        <f>IF(COUNTBLANK(Master_Reference[[#This Row],[C-Flex 3000K Eco Part Number]:[C-Flex 4000K Eco Part Number]])=3,FALSE,TRUE)</f>
        <v>1</v>
      </c>
      <c r="S258" t="b">
        <f>IF(COUNTBLANK(Master_Reference[[#This Row],[C-Flex 3000K 3W Part Number]:[C-Flex 4000K 3W Part Number]])=3,FALSE,TRUE)</f>
        <v>1</v>
      </c>
      <c r="T258" t="b">
        <f>IF(COUNTBLANK(Master_Reference[[#This Row],[Lutron 3000K Eco Part Number]:[Lutron 4000K Eco Part Number]])=3,FALSE,TRUE)</f>
        <v>1</v>
      </c>
      <c r="U258" t="b">
        <f>IF(COUNTBLANK(Master_Reference[[#This Row],[Lutron 3000K 3W Part Number]:[Lutron 4000K 3W Part Number]])=3,FALSE,TRUE)</f>
        <v>1</v>
      </c>
      <c r="V258" s="12" t="s">
        <v>312</v>
      </c>
      <c r="W258" s="12" t="s">
        <v>313</v>
      </c>
      <c r="X258" s="12" t="s">
        <v>314</v>
      </c>
      <c r="Y258" t="s">
        <v>1744</v>
      </c>
      <c r="Z258" s="12" t="s">
        <v>264</v>
      </c>
      <c r="AA258" s="12" t="s">
        <v>265</v>
      </c>
      <c r="AB258" s="12" t="s">
        <v>266</v>
      </c>
      <c r="AC258" t="s">
        <v>1829</v>
      </c>
      <c r="AD258" t="str">
        <f>SUBSTITUTE(Master_Reference[[#This Row],[C-Flex 4000K Eco Part Number]],"40-","xx-")</f>
        <v>RP-T8-4FT-1L-8xx-E1-M-G2</v>
      </c>
      <c r="AE258" t="str">
        <f>SUBSTITUTE(Master_Reference[[#This Row],[C-Flex 4000K 3W Part Number]],"40-","xx-")</f>
        <v>RP-T8-4FT-1L-8xx-3W-M-G2</v>
      </c>
      <c r="AF258" s="1" t="str">
        <f>_xlfn.IFNA(VLOOKUP(Master_Reference[[#This Row],[C-Flex 3000K Eco Part Number]],Lutron_CFlex_Lookup[],MATCH("Lutron Kit PN",Lutron_CFlex_Lookup[#Headers],0),FALSE),"")</f>
        <v>ELD4T8-1M30-q</v>
      </c>
      <c r="AG258" s="1" t="str">
        <f>_xlfn.IFNA(VLOOKUP(Master_Reference[[#This Row],[C-Flex 3500K Eco Part Number]],Lutron_CFlex_Lookup[],MATCH("Lutron Kit PN",Lutron_CFlex_Lookup[#Headers],0),FALSE),"")</f>
        <v>ELD4T8-1M35-q</v>
      </c>
      <c r="AH258" s="1" t="str">
        <f>_xlfn.IFNA(VLOOKUP(Master_Reference[[#This Row],[C-Flex 4000K Eco Part Number]],Lutron_CFlex_Lookup[],MATCH("Lutron Kit PN",Lutron_CFlex_Lookup[#Headers],0),FALSE),"")</f>
        <v>ELD4T8-1M40-q</v>
      </c>
      <c r="AI258" s="1" t="str">
        <f>_xlfn.IFNA(VLOOKUP(Master_Reference[[#This Row],[C-Flex 5000K Eco Part Number]],Lutron_CFlex_Lookup[],MATCH("Lutron Kit PN",Lutron_CFlex_Lookup[#Headers],0),FALSE),"")</f>
        <v>ELD4T8-1M50-q</v>
      </c>
      <c r="AJ258" s="1" t="str">
        <f>_xlfn.IFNA(VLOOKUP(Master_Reference[[#This Row],[C-Flex 3000K 3W Part Number]],Lutron_CFlex_Lookup[],MATCH("Lutron Kit PN",Lutron_CFlex_Lookup[#Headers],0),FALSE),"")</f>
        <v>3LD4T8-1M30-q</v>
      </c>
      <c r="AK258" s="1" t="str">
        <f>_xlfn.IFNA(VLOOKUP(Master_Reference[[#This Row],[C-Flex 3500K 3W Part Number]],Lutron_CFlex_Lookup[],MATCH("Lutron Kit PN",Lutron_CFlex_Lookup[#Headers],0),FALSE),"")</f>
        <v>3LD4T8-1M35-q</v>
      </c>
      <c r="AL258" s="1" t="str">
        <f>_xlfn.IFNA(VLOOKUP(Master_Reference[[#This Row],[C-Flex 4000K 3W Part Number]],Lutron_CFlex_Lookup[],MATCH("Lutron Kit PN",Lutron_CFlex_Lookup[#Headers],0),FALSE),"")</f>
        <v>3LD4T8-1M40-q</v>
      </c>
      <c r="AM258" s="1" t="str">
        <f>_xlfn.IFNA(VLOOKUP(Master_Reference[[#This Row],[C-Flex 5000K 3W Part Number]],Lutron_CFlex_Lookup[],MATCH("Lutron Kit PN",Lutron_CFlex_Lookup[#Headers],0),FALSE),"")</f>
        <v>3LD4T8-1M50-q</v>
      </c>
      <c r="AN258" s="1" t="b">
        <f>NOT(ISNA(VLOOKUP(Master_Reference[[#This Row],[Model Number]],ObsoleteModels[],1,FALSE)))</f>
        <v>0</v>
      </c>
      <c r="AO258" s="1" t="str">
        <f>IF(LEFT(Master_Reference[[#This Row],[Model Number]],1)="U",LEFT(Master_Reference[[#This Row],[Model Number]],4),LEFT(Master_Reference[[#This Row],[Model Number]],3))</f>
        <v>EC5</v>
      </c>
    </row>
    <row r="259" spans="1:41" x14ac:dyDescent="0.25">
      <c r="A259" s="2" t="s">
        <v>533</v>
      </c>
      <c r="B259" s="1" t="b">
        <v>1</v>
      </c>
      <c r="C259" s="1" t="b">
        <v>1</v>
      </c>
      <c r="F259" s="1" t="b">
        <v>1</v>
      </c>
      <c r="G259" s="1" t="b">
        <v>1</v>
      </c>
      <c r="H259" s="1" t="str">
        <f>IF(LEFT(Master_Reference[[#This Row],[Model Number]],1)="U",TRUE,"")</f>
        <v/>
      </c>
      <c r="I259" s="1" t="b">
        <f>IF(Master_Reference[[#This Row],[Lamp Type]]="T4","",IF(Master_Reference[[#This Row],[Case Type]]="M","",TRUE))</f>
        <v>1</v>
      </c>
      <c r="J259" s="1" t="str">
        <f t="shared" si="5"/>
        <v>T8</v>
      </c>
      <c r="K259" s="1" t="s">
        <v>531</v>
      </c>
      <c r="L259" s="1" t="s">
        <v>118</v>
      </c>
      <c r="M259" s="1">
        <v>2</v>
      </c>
      <c r="N259" s="1" t="s">
        <v>149</v>
      </c>
      <c r="O259" s="1" t="s">
        <v>320</v>
      </c>
      <c r="R259" t="b">
        <f>IF(COUNTBLANK(Master_Reference[[#This Row],[C-Flex 3000K Eco Part Number]:[C-Flex 4000K Eco Part Number]])=3,FALSE,TRUE)</f>
        <v>1</v>
      </c>
      <c r="S259" t="b">
        <f>IF(COUNTBLANK(Master_Reference[[#This Row],[C-Flex 3000K 3W Part Number]:[C-Flex 4000K 3W Part Number]])=3,FALSE,TRUE)</f>
        <v>1</v>
      </c>
      <c r="T259" t="b">
        <f>IF(COUNTBLANK(Master_Reference[[#This Row],[Lutron 3000K Eco Part Number]:[Lutron 4000K Eco Part Number]])=3,FALSE,TRUE)</f>
        <v>1</v>
      </c>
      <c r="U259" t="b">
        <f>IF(COUNTBLANK(Master_Reference[[#This Row],[Lutron 3000K 3W Part Number]:[Lutron 4000K 3W Part Number]])=3,FALSE,TRUE)</f>
        <v>1</v>
      </c>
      <c r="V259" s="12" t="s">
        <v>316</v>
      </c>
      <c r="W259" s="12" t="s">
        <v>317</v>
      </c>
      <c r="X259" s="12" t="s">
        <v>318</v>
      </c>
      <c r="Y259" t="s">
        <v>1745</v>
      </c>
      <c r="Z259" s="12" t="s">
        <v>145</v>
      </c>
      <c r="AA259" s="12" t="s">
        <v>146</v>
      </c>
      <c r="AB259" s="12" t="s">
        <v>147</v>
      </c>
      <c r="AC259" t="s">
        <v>1830</v>
      </c>
      <c r="AD259" t="str">
        <f>SUBSTITUTE(Master_Reference[[#This Row],[C-Flex 4000K Eco Part Number]],"40-","xx-")</f>
        <v>RP-T8-4FT-2L-8xx-E1-M-G2</v>
      </c>
      <c r="AE259" t="str">
        <f>SUBSTITUTE(Master_Reference[[#This Row],[C-Flex 4000K 3W Part Number]],"40-","xx-")</f>
        <v>RP-T8-4FT-2L-8xx-3W-M-G2</v>
      </c>
      <c r="AF259" s="1" t="str">
        <f>_xlfn.IFNA(VLOOKUP(Master_Reference[[#This Row],[C-Flex 3000K Eco Part Number]],Lutron_CFlex_Lookup[],MATCH("Lutron Kit PN",Lutron_CFlex_Lookup[#Headers],0),FALSE),"")</f>
        <v>ELD4T8-2M30-q</v>
      </c>
      <c r="AG259" s="1" t="str">
        <f>_xlfn.IFNA(VLOOKUP(Master_Reference[[#This Row],[C-Flex 3500K Eco Part Number]],Lutron_CFlex_Lookup[],MATCH("Lutron Kit PN",Lutron_CFlex_Lookup[#Headers],0),FALSE),"")</f>
        <v>ELD4T8-2M35-q</v>
      </c>
      <c r="AH259" s="1" t="str">
        <f>_xlfn.IFNA(VLOOKUP(Master_Reference[[#This Row],[C-Flex 4000K Eco Part Number]],Lutron_CFlex_Lookup[],MATCH("Lutron Kit PN",Lutron_CFlex_Lookup[#Headers],0),FALSE),"")</f>
        <v>ELD4T8-2M40-q</v>
      </c>
      <c r="AI259" s="1" t="str">
        <f>_xlfn.IFNA(VLOOKUP(Master_Reference[[#This Row],[C-Flex 5000K Eco Part Number]],Lutron_CFlex_Lookup[],MATCH("Lutron Kit PN",Lutron_CFlex_Lookup[#Headers],0),FALSE),"")</f>
        <v>ELD4T8-2M50-q</v>
      </c>
      <c r="AJ259" s="1" t="str">
        <f>_xlfn.IFNA(VLOOKUP(Master_Reference[[#This Row],[C-Flex 3000K 3W Part Number]],Lutron_CFlex_Lookup[],MATCH("Lutron Kit PN",Lutron_CFlex_Lookup[#Headers],0),FALSE),"")</f>
        <v>3LD4T8-2M30-q</v>
      </c>
      <c r="AK259" s="1" t="str">
        <f>_xlfn.IFNA(VLOOKUP(Master_Reference[[#This Row],[C-Flex 3500K 3W Part Number]],Lutron_CFlex_Lookup[],MATCH("Lutron Kit PN",Lutron_CFlex_Lookup[#Headers],0),FALSE),"")</f>
        <v>3LD4T8-2M35-q</v>
      </c>
      <c r="AL259" s="1" t="str">
        <f>_xlfn.IFNA(VLOOKUP(Master_Reference[[#This Row],[C-Flex 4000K 3W Part Number]],Lutron_CFlex_Lookup[],MATCH("Lutron Kit PN",Lutron_CFlex_Lookup[#Headers],0),FALSE),"")</f>
        <v>3LD4T8-2M40-q</v>
      </c>
      <c r="AM259" s="1" t="str">
        <f>_xlfn.IFNA(VLOOKUP(Master_Reference[[#This Row],[C-Flex 5000K 3W Part Number]],Lutron_CFlex_Lookup[],MATCH("Lutron Kit PN",Lutron_CFlex_Lookup[#Headers],0),FALSE),"")</f>
        <v>3LD4T8-2M50-q</v>
      </c>
      <c r="AN259" s="1" t="b">
        <f>NOT(ISNA(VLOOKUP(Master_Reference[[#This Row],[Model Number]],ObsoleteModels[],1,FALSE)))</f>
        <v>0</v>
      </c>
      <c r="AO259" s="1" t="str">
        <f>IF(LEFT(Master_Reference[[#This Row],[Model Number]],1)="U",LEFT(Master_Reference[[#This Row],[Model Number]],4),LEFT(Master_Reference[[#This Row],[Model Number]],3))</f>
        <v>EC5</v>
      </c>
    </row>
    <row r="260" spans="1:41" x14ac:dyDescent="0.25">
      <c r="A260" s="2" t="s">
        <v>534</v>
      </c>
      <c r="B260" s="1" t="b">
        <v>1</v>
      </c>
      <c r="G260" s="1" t="str">
        <f>IF(OR(LEFT(RIGHT(Master_Reference[[#This Row],[Model Number]],3),1)="C",LEFT(RIGHT(Master_Reference[[#This Row],[Model Number]],4),1)="C"),TRUE,"")</f>
        <v/>
      </c>
      <c r="H260" s="1" t="str">
        <f>IF(LEFT(Master_Reference[[#This Row],[Model Number]],1)="U",TRUE,"")</f>
        <v/>
      </c>
      <c r="I260" s="1" t="b">
        <f>IF(Master_Reference[[#This Row],[Lamp Type]]="T4","",IF(Master_Reference[[#This Row],[Case Type]]="M","",TRUE))</f>
        <v>1</v>
      </c>
      <c r="J260" s="1" t="s">
        <v>123</v>
      </c>
      <c r="K260" s="1">
        <v>21</v>
      </c>
      <c r="L260" s="1" t="s">
        <v>115</v>
      </c>
      <c r="M260" s="1">
        <v>2</v>
      </c>
      <c r="N260" s="1">
        <v>347</v>
      </c>
      <c r="O260" s="1" t="s">
        <v>113</v>
      </c>
      <c r="Q260" s="1" t="s">
        <v>535</v>
      </c>
      <c r="R260" t="b">
        <f>IF(COUNTBLANK(Master_Reference[[#This Row],[C-Flex 3000K Eco Part Number]:[C-Flex 4000K Eco Part Number]])=3,FALSE,TRUE)</f>
        <v>0</v>
      </c>
      <c r="S260" t="b">
        <f>IF(COUNTBLANK(Master_Reference[[#This Row],[C-Flex 3000K 3W Part Number]:[C-Flex 4000K 3W Part Number]])=3,FALSE,TRUE)</f>
        <v>0</v>
      </c>
      <c r="T260" t="b">
        <f>IF(COUNTBLANK(Master_Reference[[#This Row],[Lutron 3000K Eco Part Number]:[Lutron 4000K Eco Part Number]])=3,FALSE,TRUE)</f>
        <v>0</v>
      </c>
      <c r="U260" t="b">
        <f>IF(COUNTBLANK(Master_Reference[[#This Row],[Lutron 3000K 3W Part Number]:[Lutron 4000K 3W Part Number]])=3,FALSE,TRUE)</f>
        <v>0</v>
      </c>
      <c r="V260" s="12"/>
      <c r="W260" s="12"/>
      <c r="X260" s="12"/>
      <c r="Y260" t="s">
        <v>2125</v>
      </c>
      <c r="Z260" s="12"/>
      <c r="AA260" s="12"/>
      <c r="AB260" s="12"/>
      <c r="AC260" t="s">
        <v>2125</v>
      </c>
      <c r="AD260" t="str">
        <f>SUBSTITUTE(Master_Reference[[#This Row],[C-Flex 4000K Eco Part Number]],"40-","xx-")</f>
        <v/>
      </c>
      <c r="AE260" t="str">
        <f>SUBSTITUTE(Master_Reference[[#This Row],[C-Flex 4000K 3W Part Number]],"40-","xx-")</f>
        <v/>
      </c>
      <c r="AF260" s="1" t="str">
        <f>_xlfn.IFNA(VLOOKUP(Master_Reference[[#This Row],[C-Flex 3000K Eco Part Number]],Lutron_CFlex_Lookup[],MATCH("Lutron Kit PN",Lutron_CFlex_Lookup[#Headers],0),FALSE),"")</f>
        <v/>
      </c>
      <c r="AG260" s="1" t="str">
        <f>_xlfn.IFNA(VLOOKUP(Master_Reference[[#This Row],[C-Flex 3500K Eco Part Number]],Lutron_CFlex_Lookup[],MATCH("Lutron Kit PN",Lutron_CFlex_Lookup[#Headers],0),FALSE),"")</f>
        <v/>
      </c>
      <c r="AH260" s="1" t="str">
        <f>_xlfn.IFNA(VLOOKUP(Master_Reference[[#This Row],[C-Flex 4000K Eco Part Number]],Lutron_CFlex_Lookup[],MATCH("Lutron Kit PN",Lutron_CFlex_Lookup[#Headers],0),FALSE),"")</f>
        <v/>
      </c>
      <c r="AI260" s="1" t="str">
        <f>_xlfn.IFNA(VLOOKUP(Master_Reference[[#This Row],[C-Flex 5000K Eco Part Number]],Lutron_CFlex_Lookup[],MATCH("Lutron Kit PN",Lutron_CFlex_Lookup[#Headers],0),FALSE),"")</f>
        <v/>
      </c>
      <c r="AJ260" s="1" t="str">
        <f>_xlfn.IFNA(VLOOKUP(Master_Reference[[#This Row],[C-Flex 3000K 3W Part Number]],Lutron_CFlex_Lookup[],MATCH("Lutron Kit PN",Lutron_CFlex_Lookup[#Headers],0),FALSE),"")</f>
        <v/>
      </c>
      <c r="AK260" s="1" t="str">
        <f>_xlfn.IFNA(VLOOKUP(Master_Reference[[#This Row],[C-Flex 3500K 3W Part Number]],Lutron_CFlex_Lookup[],MATCH("Lutron Kit PN",Lutron_CFlex_Lookup[#Headers],0),FALSE),"")</f>
        <v/>
      </c>
      <c r="AL260" s="1" t="str">
        <f>_xlfn.IFNA(VLOOKUP(Master_Reference[[#This Row],[C-Flex 4000K 3W Part Number]],Lutron_CFlex_Lookup[],MATCH("Lutron Kit PN",Lutron_CFlex_Lookup[#Headers],0),FALSE),"")</f>
        <v/>
      </c>
      <c r="AM260" s="1" t="str">
        <f>_xlfn.IFNA(VLOOKUP(Master_Reference[[#This Row],[C-Flex 5000K 3W Part Number]],Lutron_CFlex_Lookup[],MATCH("Lutron Kit PN",Lutron_CFlex_Lookup[#Headers],0),FALSE),"")</f>
        <v/>
      </c>
      <c r="AN260" s="1" t="b">
        <f>NOT(ISNA(VLOOKUP(Master_Reference[[#This Row],[Model Number]],ObsoleteModels[],1,FALSE)))</f>
        <v>1</v>
      </c>
      <c r="AO260" s="1" t="str">
        <f>IF(LEFT(Master_Reference[[#This Row],[Model Number]],1)="U",LEFT(Master_Reference[[#This Row],[Model Number]],4),LEFT(Master_Reference[[#This Row],[Model Number]],3))</f>
        <v>ECD</v>
      </c>
    </row>
    <row r="261" spans="1:41" x14ac:dyDescent="0.25">
      <c r="A261" s="2" t="s">
        <v>536</v>
      </c>
      <c r="B261" s="1" t="b">
        <v>1</v>
      </c>
      <c r="G261" s="1" t="str">
        <f>IF(OR(LEFT(RIGHT(Master_Reference[[#This Row],[Model Number]],3),1)="C",LEFT(RIGHT(Master_Reference[[#This Row],[Model Number]],4),1)="C"),TRUE,"")</f>
        <v/>
      </c>
      <c r="H261" s="1" t="str">
        <f>IF(LEFT(Master_Reference[[#This Row],[Model Number]],1)="U",TRUE,"")</f>
        <v/>
      </c>
      <c r="I261" s="1" t="b">
        <f>IF(Master_Reference[[#This Row],[Lamp Type]]="T4","",IF(Master_Reference[[#This Row],[Case Type]]="M","",TRUE))</f>
        <v>1</v>
      </c>
      <c r="J261" s="1" t="s">
        <v>297</v>
      </c>
      <c r="K261" s="1">
        <v>54</v>
      </c>
      <c r="L261" s="1" t="s">
        <v>118</v>
      </c>
      <c r="M261" s="1">
        <v>1</v>
      </c>
      <c r="N261" s="1">
        <v>347</v>
      </c>
      <c r="O261" s="1" t="s">
        <v>113</v>
      </c>
      <c r="Q261" s="1" t="s">
        <v>535</v>
      </c>
      <c r="R261" t="b">
        <f>IF(COUNTBLANK(Master_Reference[[#This Row],[C-Flex 3000K Eco Part Number]:[C-Flex 4000K Eco Part Number]])=3,FALSE,TRUE)</f>
        <v>0</v>
      </c>
      <c r="S261" t="b">
        <f>IF(COUNTBLANK(Master_Reference[[#This Row],[C-Flex 3000K 3W Part Number]:[C-Flex 4000K 3W Part Number]])=3,FALSE,TRUE)</f>
        <v>0</v>
      </c>
      <c r="T261" t="b">
        <f>IF(COUNTBLANK(Master_Reference[[#This Row],[Lutron 3000K Eco Part Number]:[Lutron 4000K Eco Part Number]])=3,FALSE,TRUE)</f>
        <v>0</v>
      </c>
      <c r="U261" t="b">
        <f>IF(COUNTBLANK(Master_Reference[[#This Row],[Lutron 3000K 3W Part Number]:[Lutron 4000K 3W Part Number]])=3,FALSE,TRUE)</f>
        <v>0</v>
      </c>
      <c r="V261" s="12"/>
      <c r="W261" s="12"/>
      <c r="X261" s="12"/>
      <c r="Y261" t="s">
        <v>2125</v>
      </c>
      <c r="Z261" s="12"/>
      <c r="AA261" s="12"/>
      <c r="AB261" s="12"/>
      <c r="AC261" t="s">
        <v>2125</v>
      </c>
      <c r="AD261" t="str">
        <f>SUBSTITUTE(Master_Reference[[#This Row],[C-Flex 4000K Eco Part Number]],"40-","xx-")</f>
        <v/>
      </c>
      <c r="AE261" t="str">
        <f>SUBSTITUTE(Master_Reference[[#This Row],[C-Flex 4000K 3W Part Number]],"40-","xx-")</f>
        <v/>
      </c>
      <c r="AF261" s="1" t="str">
        <f>_xlfn.IFNA(VLOOKUP(Master_Reference[[#This Row],[C-Flex 3000K Eco Part Number]],Lutron_CFlex_Lookup[],MATCH("Lutron Kit PN",Lutron_CFlex_Lookup[#Headers],0),FALSE),"")</f>
        <v/>
      </c>
      <c r="AG261" s="1" t="str">
        <f>_xlfn.IFNA(VLOOKUP(Master_Reference[[#This Row],[C-Flex 3500K Eco Part Number]],Lutron_CFlex_Lookup[],MATCH("Lutron Kit PN",Lutron_CFlex_Lookup[#Headers],0),FALSE),"")</f>
        <v/>
      </c>
      <c r="AH261" s="1" t="str">
        <f>_xlfn.IFNA(VLOOKUP(Master_Reference[[#This Row],[C-Flex 4000K Eco Part Number]],Lutron_CFlex_Lookup[],MATCH("Lutron Kit PN",Lutron_CFlex_Lookup[#Headers],0),FALSE),"")</f>
        <v/>
      </c>
      <c r="AI261" s="1" t="str">
        <f>_xlfn.IFNA(VLOOKUP(Master_Reference[[#This Row],[C-Flex 5000K Eco Part Number]],Lutron_CFlex_Lookup[],MATCH("Lutron Kit PN",Lutron_CFlex_Lookup[#Headers],0),FALSE),"")</f>
        <v/>
      </c>
      <c r="AJ261" s="1" t="str">
        <f>_xlfn.IFNA(VLOOKUP(Master_Reference[[#This Row],[C-Flex 3000K 3W Part Number]],Lutron_CFlex_Lookup[],MATCH("Lutron Kit PN",Lutron_CFlex_Lookup[#Headers],0),FALSE),"")</f>
        <v/>
      </c>
      <c r="AK261" s="1" t="str">
        <f>_xlfn.IFNA(VLOOKUP(Master_Reference[[#This Row],[C-Flex 3500K 3W Part Number]],Lutron_CFlex_Lookup[],MATCH("Lutron Kit PN",Lutron_CFlex_Lookup[#Headers],0),FALSE),"")</f>
        <v/>
      </c>
      <c r="AL261" s="1" t="str">
        <f>_xlfn.IFNA(VLOOKUP(Master_Reference[[#This Row],[C-Flex 4000K 3W Part Number]],Lutron_CFlex_Lookup[],MATCH("Lutron Kit PN",Lutron_CFlex_Lookup[#Headers],0),FALSE),"")</f>
        <v/>
      </c>
      <c r="AM261" s="1" t="str">
        <f>_xlfn.IFNA(VLOOKUP(Master_Reference[[#This Row],[C-Flex 5000K 3W Part Number]],Lutron_CFlex_Lookup[],MATCH("Lutron Kit PN",Lutron_CFlex_Lookup[#Headers],0),FALSE),"")</f>
        <v/>
      </c>
      <c r="AN261" s="1" t="b">
        <f>NOT(ISNA(VLOOKUP(Master_Reference[[#This Row],[Model Number]],ObsoleteModels[],1,FALSE)))</f>
        <v>1</v>
      </c>
      <c r="AO261" s="1" t="str">
        <f>IF(LEFT(Master_Reference[[#This Row],[Model Number]],1)="U",LEFT(Master_Reference[[#This Row],[Model Number]],4),LEFT(Master_Reference[[#This Row],[Model Number]],3))</f>
        <v>ECD</v>
      </c>
    </row>
    <row r="262" spans="1:41" x14ac:dyDescent="0.25">
      <c r="A262" s="2" t="s">
        <v>537</v>
      </c>
      <c r="B262" s="1" t="b">
        <v>1</v>
      </c>
      <c r="G262" s="1" t="str">
        <f>IF(OR(LEFT(RIGHT(Master_Reference[[#This Row],[Model Number]],3),1)="C",LEFT(RIGHT(Master_Reference[[#This Row],[Model Number]],4),1)="C"),TRUE,"")</f>
        <v/>
      </c>
      <c r="H262" s="1" t="str">
        <f>IF(LEFT(Master_Reference[[#This Row],[Model Number]],1)="U",TRUE,"")</f>
        <v/>
      </c>
      <c r="I262" s="1" t="b">
        <f>IF(Master_Reference[[#This Row],[Lamp Type]]="T4","",IF(Master_Reference[[#This Row],[Case Type]]="M","",TRUE))</f>
        <v>1</v>
      </c>
      <c r="J262" s="1" t="s">
        <v>297</v>
      </c>
      <c r="K262" s="1">
        <v>54</v>
      </c>
      <c r="L262" s="1" t="s">
        <v>118</v>
      </c>
      <c r="M262" s="1">
        <v>2</v>
      </c>
      <c r="N262" s="1">
        <v>347</v>
      </c>
      <c r="O262" s="1" t="s">
        <v>113</v>
      </c>
      <c r="Q262" s="1" t="s">
        <v>535</v>
      </c>
      <c r="R262" t="b">
        <f>IF(COUNTBLANK(Master_Reference[[#This Row],[C-Flex 3000K Eco Part Number]:[C-Flex 4000K Eco Part Number]])=3,FALSE,TRUE)</f>
        <v>0</v>
      </c>
      <c r="S262" t="b">
        <f>IF(COUNTBLANK(Master_Reference[[#This Row],[C-Flex 3000K 3W Part Number]:[C-Flex 4000K 3W Part Number]])=3,FALSE,TRUE)</f>
        <v>0</v>
      </c>
      <c r="T262" t="b">
        <f>IF(COUNTBLANK(Master_Reference[[#This Row],[Lutron 3000K Eco Part Number]:[Lutron 4000K Eco Part Number]])=3,FALSE,TRUE)</f>
        <v>0</v>
      </c>
      <c r="U262" t="b">
        <f>IF(COUNTBLANK(Master_Reference[[#This Row],[Lutron 3000K 3W Part Number]:[Lutron 4000K 3W Part Number]])=3,FALSE,TRUE)</f>
        <v>0</v>
      </c>
      <c r="V262" s="12"/>
      <c r="W262" s="12"/>
      <c r="X262" s="12"/>
      <c r="Y262" t="s">
        <v>2125</v>
      </c>
      <c r="Z262" s="12"/>
      <c r="AA262" s="12"/>
      <c r="AB262" s="12"/>
      <c r="AC262" t="s">
        <v>2125</v>
      </c>
      <c r="AD262" t="str">
        <f>SUBSTITUTE(Master_Reference[[#This Row],[C-Flex 4000K Eco Part Number]],"40-","xx-")</f>
        <v/>
      </c>
      <c r="AE262" t="str">
        <f>SUBSTITUTE(Master_Reference[[#This Row],[C-Flex 4000K 3W Part Number]],"40-","xx-")</f>
        <v/>
      </c>
      <c r="AF262" s="1" t="str">
        <f>_xlfn.IFNA(VLOOKUP(Master_Reference[[#This Row],[C-Flex 3000K Eco Part Number]],Lutron_CFlex_Lookup[],MATCH("Lutron Kit PN",Lutron_CFlex_Lookup[#Headers],0),FALSE),"")</f>
        <v/>
      </c>
      <c r="AG262" s="1" t="str">
        <f>_xlfn.IFNA(VLOOKUP(Master_Reference[[#This Row],[C-Flex 3500K Eco Part Number]],Lutron_CFlex_Lookup[],MATCH("Lutron Kit PN",Lutron_CFlex_Lookup[#Headers],0),FALSE),"")</f>
        <v/>
      </c>
      <c r="AH262" s="1" t="str">
        <f>_xlfn.IFNA(VLOOKUP(Master_Reference[[#This Row],[C-Flex 4000K Eco Part Number]],Lutron_CFlex_Lookup[],MATCH("Lutron Kit PN",Lutron_CFlex_Lookup[#Headers],0),FALSE),"")</f>
        <v/>
      </c>
      <c r="AI262" s="1" t="str">
        <f>_xlfn.IFNA(VLOOKUP(Master_Reference[[#This Row],[C-Flex 5000K Eco Part Number]],Lutron_CFlex_Lookup[],MATCH("Lutron Kit PN",Lutron_CFlex_Lookup[#Headers],0),FALSE),"")</f>
        <v/>
      </c>
      <c r="AJ262" s="1" t="str">
        <f>_xlfn.IFNA(VLOOKUP(Master_Reference[[#This Row],[C-Flex 3000K 3W Part Number]],Lutron_CFlex_Lookup[],MATCH("Lutron Kit PN",Lutron_CFlex_Lookup[#Headers],0),FALSE),"")</f>
        <v/>
      </c>
      <c r="AK262" s="1" t="str">
        <f>_xlfn.IFNA(VLOOKUP(Master_Reference[[#This Row],[C-Flex 3500K 3W Part Number]],Lutron_CFlex_Lookup[],MATCH("Lutron Kit PN",Lutron_CFlex_Lookup[#Headers],0),FALSE),"")</f>
        <v/>
      </c>
      <c r="AL262" s="1" t="str">
        <f>_xlfn.IFNA(VLOOKUP(Master_Reference[[#This Row],[C-Flex 4000K 3W Part Number]],Lutron_CFlex_Lookup[],MATCH("Lutron Kit PN",Lutron_CFlex_Lookup[#Headers],0),FALSE),"")</f>
        <v/>
      </c>
      <c r="AM262" s="1" t="str">
        <f>_xlfn.IFNA(VLOOKUP(Master_Reference[[#This Row],[C-Flex 5000K 3W Part Number]],Lutron_CFlex_Lookup[],MATCH("Lutron Kit PN",Lutron_CFlex_Lookup[#Headers],0),FALSE),"")</f>
        <v/>
      </c>
      <c r="AN262" s="1" t="b">
        <f>NOT(ISNA(VLOOKUP(Master_Reference[[#This Row],[Model Number]],ObsoleteModels[],1,FALSE)))</f>
        <v>1</v>
      </c>
      <c r="AO262" s="1" t="str">
        <f>IF(LEFT(Master_Reference[[#This Row],[Model Number]],1)="U",LEFT(Master_Reference[[#This Row],[Model Number]],4),LEFT(Master_Reference[[#This Row],[Model Number]],3))</f>
        <v>ECD</v>
      </c>
    </row>
    <row r="263" spans="1:41" x14ac:dyDescent="0.25">
      <c r="A263" s="2" t="s">
        <v>538</v>
      </c>
      <c r="B263" s="1"/>
      <c r="C263" s="1" t="b">
        <v>1</v>
      </c>
      <c r="G263" s="1" t="str">
        <f>IF(OR(LEFT(RIGHT(Master_Reference[[#This Row],[Model Number]],3),1)="C",LEFT(RIGHT(Master_Reference[[#This Row],[Model Number]],4),1)="C"),TRUE,"")</f>
        <v/>
      </c>
      <c r="H263" s="1" t="str">
        <f>IF(LEFT(Master_Reference[[#This Row],[Model Number]],1)="U",TRUE,"")</f>
        <v/>
      </c>
      <c r="I263" s="1" t="b">
        <f>IF(Master_Reference[[#This Row],[Lamp Type]]="T4","",IF(Master_Reference[[#This Row],[Case Type]]="M","",TRUE))</f>
        <v>1</v>
      </c>
      <c r="J263" s="1" t="s">
        <v>297</v>
      </c>
      <c r="K263" s="1">
        <v>24</v>
      </c>
      <c r="L263" s="1" t="s">
        <v>112</v>
      </c>
      <c r="M263" s="1">
        <v>1</v>
      </c>
      <c r="N263" s="1">
        <v>120</v>
      </c>
      <c r="O263" s="1" t="s">
        <v>113</v>
      </c>
      <c r="R263" t="b">
        <f>IF(COUNTBLANK(Master_Reference[[#This Row],[C-Flex 3000K Eco Part Number]:[C-Flex 4000K Eco Part Number]])=3,FALSE,TRUE)</f>
        <v>0</v>
      </c>
      <c r="S263" t="b">
        <f>IF(COUNTBLANK(Master_Reference[[#This Row],[C-Flex 3000K 3W Part Number]:[C-Flex 4000K 3W Part Number]])=3,FALSE,TRUE)</f>
        <v>1</v>
      </c>
      <c r="T263" t="b">
        <f>IF(COUNTBLANK(Master_Reference[[#This Row],[Lutron 3000K Eco Part Number]:[Lutron 4000K Eco Part Number]])=3,FALSE,TRUE)</f>
        <v>0</v>
      </c>
      <c r="U263" t="b">
        <f>IF(COUNTBLANK(Master_Reference[[#This Row],[Lutron 3000K 3W Part Number]:[Lutron 4000K 3W Part Number]])=3,FALSE,TRUE)</f>
        <v>1</v>
      </c>
      <c r="V263" s="12"/>
      <c r="W263" s="12"/>
      <c r="X263" s="12"/>
      <c r="Y263" t="s">
        <v>2125</v>
      </c>
      <c r="Z263" s="12" t="s">
        <v>358</v>
      </c>
      <c r="AA263" s="12" t="s">
        <v>359</v>
      </c>
      <c r="AB263" s="12" t="s">
        <v>360</v>
      </c>
      <c r="AC263" t="s">
        <v>1809</v>
      </c>
      <c r="AD263" t="str">
        <f>SUBSTITUTE(Master_Reference[[#This Row],[C-Flex 4000K Eco Part Number]],"40-","xx-")</f>
        <v/>
      </c>
      <c r="AE263" t="str">
        <f>SUBSTITUTE(Master_Reference[[#This Row],[C-Flex 4000K 3W Part Number]],"40-","xx-")</f>
        <v>RP-T5HO-2FT-1L-8xx-3W-M-G2</v>
      </c>
      <c r="AF263" s="1" t="str">
        <f>_xlfn.IFNA(VLOOKUP(Master_Reference[[#This Row],[C-Flex 3000K Eco Part Number]],Lutron_CFlex_Lookup[],MATCH("Lutron Kit PN",Lutron_CFlex_Lookup[#Headers],0),FALSE),"")</f>
        <v/>
      </c>
      <c r="AG263" s="1" t="str">
        <f>_xlfn.IFNA(VLOOKUP(Master_Reference[[#This Row],[C-Flex 3500K Eco Part Number]],Lutron_CFlex_Lookup[],MATCH("Lutron Kit PN",Lutron_CFlex_Lookup[#Headers],0),FALSE),"")</f>
        <v/>
      </c>
      <c r="AH263" s="1" t="str">
        <f>_xlfn.IFNA(VLOOKUP(Master_Reference[[#This Row],[C-Flex 4000K Eco Part Number]],Lutron_CFlex_Lookup[],MATCH("Lutron Kit PN",Lutron_CFlex_Lookup[#Headers],0),FALSE),"")</f>
        <v/>
      </c>
      <c r="AI263" s="1" t="str">
        <f>_xlfn.IFNA(VLOOKUP(Master_Reference[[#This Row],[C-Flex 5000K Eco Part Number]],Lutron_CFlex_Lookup[],MATCH("Lutron Kit PN",Lutron_CFlex_Lookup[#Headers],0),FALSE),"")</f>
        <v/>
      </c>
      <c r="AJ263" s="1" t="str">
        <f>_xlfn.IFNA(VLOOKUP(Master_Reference[[#This Row],[C-Flex 3000K 3W Part Number]],Lutron_CFlex_Lookup[],MATCH("Lutron Kit PN",Lutron_CFlex_Lookup[#Headers],0),FALSE),"")</f>
        <v>3LD2T5H-1M30-q</v>
      </c>
      <c r="AK263" s="1" t="str">
        <f>_xlfn.IFNA(VLOOKUP(Master_Reference[[#This Row],[C-Flex 3500K 3W Part Number]],Lutron_CFlex_Lookup[],MATCH("Lutron Kit PN",Lutron_CFlex_Lookup[#Headers],0),FALSE),"")</f>
        <v>3LD2T5H-1M35-q</v>
      </c>
      <c r="AL263" s="1" t="str">
        <f>_xlfn.IFNA(VLOOKUP(Master_Reference[[#This Row],[C-Flex 4000K 3W Part Number]],Lutron_CFlex_Lookup[],MATCH("Lutron Kit PN",Lutron_CFlex_Lookup[#Headers],0),FALSE),"")</f>
        <v>3LD2T5H-1M40-q</v>
      </c>
      <c r="AM263" s="1" t="str">
        <f>_xlfn.IFNA(VLOOKUP(Master_Reference[[#This Row],[C-Flex 5000K 3W Part Number]],Lutron_CFlex_Lookup[],MATCH("Lutron Kit PN",Lutron_CFlex_Lookup[#Headers],0),FALSE),"")</f>
        <v>3LD2T5H-1M50-q</v>
      </c>
      <c r="AN263" s="1" t="b">
        <f>NOT(ISNA(VLOOKUP(Master_Reference[[#This Row],[Model Number]],ObsoleteModels[],1,FALSE)))</f>
        <v>1</v>
      </c>
      <c r="AO263" s="1" t="str">
        <f>IF(LEFT(Master_Reference[[#This Row],[Model Number]],1)="U",LEFT(Master_Reference[[#This Row],[Model Number]],4),LEFT(Master_Reference[[#This Row],[Model Number]],3))</f>
        <v>ECO</v>
      </c>
    </row>
    <row r="264" spans="1:41" x14ac:dyDescent="0.25">
      <c r="A264" s="2" t="s">
        <v>539</v>
      </c>
      <c r="B264" s="1"/>
      <c r="C264" s="1" t="b">
        <v>1</v>
      </c>
      <c r="G264" s="1" t="str">
        <f>IF(OR(LEFT(RIGHT(Master_Reference[[#This Row],[Model Number]],3),1)="C",LEFT(RIGHT(Master_Reference[[#This Row],[Model Number]],4),1)="C"),TRUE,"")</f>
        <v/>
      </c>
      <c r="H264" s="1" t="str">
        <f>IF(LEFT(Master_Reference[[#This Row],[Model Number]],1)="U",TRUE,"")</f>
        <v/>
      </c>
      <c r="I264" s="1" t="b">
        <f>IF(Master_Reference[[#This Row],[Lamp Type]]="T4","",IF(Master_Reference[[#This Row],[Case Type]]="M","",TRUE))</f>
        <v>1</v>
      </c>
      <c r="J264" s="1" t="s">
        <v>297</v>
      </c>
      <c r="K264" s="1">
        <v>24</v>
      </c>
      <c r="L264" s="1" t="s">
        <v>112</v>
      </c>
      <c r="M264" s="1">
        <v>2</v>
      </c>
      <c r="N264" s="1">
        <v>120</v>
      </c>
      <c r="O264" s="1" t="s">
        <v>113</v>
      </c>
      <c r="R264" t="b">
        <f>IF(COUNTBLANK(Master_Reference[[#This Row],[C-Flex 3000K Eco Part Number]:[C-Flex 4000K Eco Part Number]])=3,FALSE,TRUE)</f>
        <v>0</v>
      </c>
      <c r="S264" t="b">
        <f>IF(COUNTBLANK(Master_Reference[[#This Row],[C-Flex 3000K 3W Part Number]:[C-Flex 4000K 3W Part Number]])=3,FALSE,TRUE)</f>
        <v>1</v>
      </c>
      <c r="T264" t="b">
        <f>IF(COUNTBLANK(Master_Reference[[#This Row],[Lutron 3000K Eco Part Number]:[Lutron 4000K Eco Part Number]])=3,FALSE,TRUE)</f>
        <v>0</v>
      </c>
      <c r="U264" t="b">
        <f>IF(COUNTBLANK(Master_Reference[[#This Row],[Lutron 3000K 3W Part Number]:[Lutron 4000K 3W Part Number]])=3,FALSE,TRUE)</f>
        <v>1</v>
      </c>
      <c r="V264" s="12"/>
      <c r="W264" s="12"/>
      <c r="X264" s="12"/>
      <c r="Y264" t="s">
        <v>2125</v>
      </c>
      <c r="Z264" s="12" t="s">
        <v>365</v>
      </c>
      <c r="AA264" s="12" t="s">
        <v>366</v>
      </c>
      <c r="AB264" s="12" t="s">
        <v>367</v>
      </c>
      <c r="AC264" t="s">
        <v>1810</v>
      </c>
      <c r="AD264" t="str">
        <f>SUBSTITUTE(Master_Reference[[#This Row],[C-Flex 4000K Eco Part Number]],"40-","xx-")</f>
        <v/>
      </c>
      <c r="AE264" t="str">
        <f>SUBSTITUTE(Master_Reference[[#This Row],[C-Flex 4000K 3W Part Number]],"40-","xx-")</f>
        <v>RP-T5HO-2FT-2L-8xx-3W-M-G2</v>
      </c>
      <c r="AF264" s="1" t="str">
        <f>_xlfn.IFNA(VLOOKUP(Master_Reference[[#This Row],[C-Flex 3000K Eco Part Number]],Lutron_CFlex_Lookup[],MATCH("Lutron Kit PN",Lutron_CFlex_Lookup[#Headers],0),FALSE),"")</f>
        <v/>
      </c>
      <c r="AG264" s="1" t="str">
        <f>_xlfn.IFNA(VLOOKUP(Master_Reference[[#This Row],[C-Flex 3500K Eco Part Number]],Lutron_CFlex_Lookup[],MATCH("Lutron Kit PN",Lutron_CFlex_Lookup[#Headers],0),FALSE),"")</f>
        <v/>
      </c>
      <c r="AH264" s="1" t="str">
        <f>_xlfn.IFNA(VLOOKUP(Master_Reference[[#This Row],[C-Flex 4000K Eco Part Number]],Lutron_CFlex_Lookup[],MATCH("Lutron Kit PN",Lutron_CFlex_Lookup[#Headers],0),FALSE),"")</f>
        <v/>
      </c>
      <c r="AI264" s="1" t="str">
        <f>_xlfn.IFNA(VLOOKUP(Master_Reference[[#This Row],[C-Flex 5000K Eco Part Number]],Lutron_CFlex_Lookup[],MATCH("Lutron Kit PN",Lutron_CFlex_Lookup[#Headers],0),FALSE),"")</f>
        <v/>
      </c>
      <c r="AJ264" s="1" t="str">
        <f>_xlfn.IFNA(VLOOKUP(Master_Reference[[#This Row],[C-Flex 3000K 3W Part Number]],Lutron_CFlex_Lookup[],MATCH("Lutron Kit PN",Lutron_CFlex_Lookup[#Headers],0),FALSE),"")</f>
        <v>3LD2T5H-2M30-q</v>
      </c>
      <c r="AK264" s="1" t="str">
        <f>_xlfn.IFNA(VLOOKUP(Master_Reference[[#This Row],[C-Flex 3500K 3W Part Number]],Lutron_CFlex_Lookup[],MATCH("Lutron Kit PN",Lutron_CFlex_Lookup[#Headers],0),FALSE),"")</f>
        <v>3LD2T5H-2M35-q</v>
      </c>
      <c r="AL264" s="1" t="str">
        <f>_xlfn.IFNA(VLOOKUP(Master_Reference[[#This Row],[C-Flex 4000K 3W Part Number]],Lutron_CFlex_Lookup[],MATCH("Lutron Kit PN",Lutron_CFlex_Lookup[#Headers],0),FALSE),"")</f>
        <v>3LD2T5H-2M40-q</v>
      </c>
      <c r="AM264" s="1" t="str">
        <f>_xlfn.IFNA(VLOOKUP(Master_Reference[[#This Row],[C-Flex 5000K 3W Part Number]],Lutron_CFlex_Lookup[],MATCH("Lutron Kit PN",Lutron_CFlex_Lookup[#Headers],0),FALSE),"")</f>
        <v>3LD2T5H-2M50-q</v>
      </c>
      <c r="AN264" s="1" t="b">
        <f>NOT(ISNA(VLOOKUP(Master_Reference[[#This Row],[Model Number]],ObsoleteModels[],1,FALSE)))</f>
        <v>1</v>
      </c>
      <c r="AO264" s="1" t="str">
        <f>IF(LEFT(Master_Reference[[#This Row],[Model Number]],1)="U",LEFT(Master_Reference[[#This Row],[Model Number]],4),LEFT(Master_Reference[[#This Row],[Model Number]],3))</f>
        <v>ECO</v>
      </c>
    </row>
    <row r="265" spans="1:41" x14ac:dyDescent="0.25">
      <c r="A265" s="2" t="s">
        <v>540</v>
      </c>
      <c r="B265" s="1"/>
      <c r="C265" s="1" t="b">
        <v>1</v>
      </c>
      <c r="G265" s="1" t="str">
        <f>IF(OR(LEFT(RIGHT(Master_Reference[[#This Row],[Model Number]],3),1)="C",LEFT(RIGHT(Master_Reference[[#This Row],[Model Number]],4),1)="C"),TRUE,"")</f>
        <v/>
      </c>
      <c r="H265" s="1" t="str">
        <f>IF(LEFT(Master_Reference[[#This Row],[Model Number]],1)="U",TRUE,"")</f>
        <v/>
      </c>
      <c r="I265" s="1" t="b">
        <f>IF(Master_Reference[[#This Row],[Lamp Type]]="T4","",IF(Master_Reference[[#This Row],[Case Type]]="M","",TRUE))</f>
        <v>1</v>
      </c>
      <c r="J265" s="1" t="s">
        <v>297</v>
      </c>
      <c r="K265" s="1">
        <v>24</v>
      </c>
      <c r="L265" s="1" t="s">
        <v>112</v>
      </c>
      <c r="M265" s="1">
        <v>1</v>
      </c>
      <c r="N265" s="1">
        <v>277</v>
      </c>
      <c r="O265" s="1" t="s">
        <v>113</v>
      </c>
      <c r="R265" t="b">
        <f>IF(COUNTBLANK(Master_Reference[[#This Row],[C-Flex 3000K Eco Part Number]:[C-Flex 4000K Eco Part Number]])=3,FALSE,TRUE)</f>
        <v>0</v>
      </c>
      <c r="S265" t="b">
        <f>IF(COUNTBLANK(Master_Reference[[#This Row],[C-Flex 3000K 3W Part Number]:[C-Flex 4000K 3W Part Number]])=3,FALSE,TRUE)</f>
        <v>1</v>
      </c>
      <c r="T265" t="b">
        <f>IF(COUNTBLANK(Master_Reference[[#This Row],[Lutron 3000K Eco Part Number]:[Lutron 4000K Eco Part Number]])=3,FALSE,TRUE)</f>
        <v>0</v>
      </c>
      <c r="U265" t="b">
        <f>IF(COUNTBLANK(Master_Reference[[#This Row],[Lutron 3000K 3W Part Number]:[Lutron 4000K 3W Part Number]])=3,FALSE,TRUE)</f>
        <v>1</v>
      </c>
      <c r="V265" s="12"/>
      <c r="W265" s="12"/>
      <c r="X265" s="12"/>
      <c r="Y265" t="s">
        <v>2125</v>
      </c>
      <c r="Z265" s="12" t="s">
        <v>358</v>
      </c>
      <c r="AA265" s="12" t="s">
        <v>359</v>
      </c>
      <c r="AB265" s="12" t="s">
        <v>360</v>
      </c>
      <c r="AC265" t="s">
        <v>1809</v>
      </c>
      <c r="AD265" t="str">
        <f>SUBSTITUTE(Master_Reference[[#This Row],[C-Flex 4000K Eco Part Number]],"40-","xx-")</f>
        <v/>
      </c>
      <c r="AE265" t="str">
        <f>SUBSTITUTE(Master_Reference[[#This Row],[C-Flex 4000K 3W Part Number]],"40-","xx-")</f>
        <v>RP-T5HO-2FT-1L-8xx-3W-M-G2</v>
      </c>
      <c r="AF265" s="1" t="str">
        <f>_xlfn.IFNA(VLOOKUP(Master_Reference[[#This Row],[C-Flex 3000K Eco Part Number]],Lutron_CFlex_Lookup[],MATCH("Lutron Kit PN",Lutron_CFlex_Lookup[#Headers],0),FALSE),"")</f>
        <v/>
      </c>
      <c r="AG265" s="1" t="str">
        <f>_xlfn.IFNA(VLOOKUP(Master_Reference[[#This Row],[C-Flex 3500K Eco Part Number]],Lutron_CFlex_Lookup[],MATCH("Lutron Kit PN",Lutron_CFlex_Lookup[#Headers],0),FALSE),"")</f>
        <v/>
      </c>
      <c r="AH265" s="1" t="str">
        <f>_xlfn.IFNA(VLOOKUP(Master_Reference[[#This Row],[C-Flex 4000K Eco Part Number]],Lutron_CFlex_Lookup[],MATCH("Lutron Kit PN",Lutron_CFlex_Lookup[#Headers],0),FALSE),"")</f>
        <v/>
      </c>
      <c r="AI265" s="1" t="str">
        <f>_xlfn.IFNA(VLOOKUP(Master_Reference[[#This Row],[C-Flex 5000K Eco Part Number]],Lutron_CFlex_Lookup[],MATCH("Lutron Kit PN",Lutron_CFlex_Lookup[#Headers],0),FALSE),"")</f>
        <v/>
      </c>
      <c r="AJ265" s="1" t="str">
        <f>_xlfn.IFNA(VLOOKUP(Master_Reference[[#This Row],[C-Flex 3000K 3W Part Number]],Lutron_CFlex_Lookup[],MATCH("Lutron Kit PN",Lutron_CFlex_Lookup[#Headers],0),FALSE),"")</f>
        <v>3LD2T5H-1M30-q</v>
      </c>
      <c r="AK265" s="1" t="str">
        <f>_xlfn.IFNA(VLOOKUP(Master_Reference[[#This Row],[C-Flex 3500K 3W Part Number]],Lutron_CFlex_Lookup[],MATCH("Lutron Kit PN",Lutron_CFlex_Lookup[#Headers],0),FALSE),"")</f>
        <v>3LD2T5H-1M35-q</v>
      </c>
      <c r="AL265" s="1" t="str">
        <f>_xlfn.IFNA(VLOOKUP(Master_Reference[[#This Row],[C-Flex 4000K 3W Part Number]],Lutron_CFlex_Lookup[],MATCH("Lutron Kit PN",Lutron_CFlex_Lookup[#Headers],0),FALSE),"")</f>
        <v>3LD2T5H-1M40-q</v>
      </c>
      <c r="AM265" s="1" t="str">
        <f>_xlfn.IFNA(VLOOKUP(Master_Reference[[#This Row],[C-Flex 5000K 3W Part Number]],Lutron_CFlex_Lookup[],MATCH("Lutron Kit PN",Lutron_CFlex_Lookup[#Headers],0),FALSE),"")</f>
        <v>3LD2T5H-1M50-q</v>
      </c>
      <c r="AN265" s="1" t="b">
        <f>NOT(ISNA(VLOOKUP(Master_Reference[[#This Row],[Model Number]],ObsoleteModels[],1,FALSE)))</f>
        <v>1</v>
      </c>
      <c r="AO265" s="1" t="str">
        <f>IF(LEFT(Master_Reference[[#This Row],[Model Number]],1)="U",LEFT(Master_Reference[[#This Row],[Model Number]],4),LEFT(Master_Reference[[#This Row],[Model Number]],3))</f>
        <v>ECO</v>
      </c>
    </row>
    <row r="266" spans="1:41" x14ac:dyDescent="0.25">
      <c r="A266" s="2" t="s">
        <v>541</v>
      </c>
      <c r="B266" s="1"/>
      <c r="C266" s="1" t="b">
        <v>1</v>
      </c>
      <c r="G266" s="1" t="str">
        <f>IF(OR(LEFT(RIGHT(Master_Reference[[#This Row],[Model Number]],3),1)="C",LEFT(RIGHT(Master_Reference[[#This Row],[Model Number]],4),1)="C"),TRUE,"")</f>
        <v/>
      </c>
      <c r="H266" s="1" t="str">
        <f>IF(LEFT(Master_Reference[[#This Row],[Model Number]],1)="U",TRUE,"")</f>
        <v/>
      </c>
      <c r="I266" s="1" t="b">
        <f>IF(Master_Reference[[#This Row],[Lamp Type]]="T4","",IF(Master_Reference[[#This Row],[Case Type]]="M","",TRUE))</f>
        <v>1</v>
      </c>
      <c r="J266" s="1" t="s">
        <v>297</v>
      </c>
      <c r="K266" s="1">
        <v>24</v>
      </c>
      <c r="L266" s="1" t="s">
        <v>112</v>
      </c>
      <c r="M266" s="1">
        <v>2</v>
      </c>
      <c r="N266" s="1">
        <v>277</v>
      </c>
      <c r="O266" s="1" t="s">
        <v>113</v>
      </c>
      <c r="R266" t="b">
        <f>IF(COUNTBLANK(Master_Reference[[#This Row],[C-Flex 3000K Eco Part Number]:[C-Flex 4000K Eco Part Number]])=3,FALSE,TRUE)</f>
        <v>0</v>
      </c>
      <c r="S266" t="b">
        <f>IF(COUNTBLANK(Master_Reference[[#This Row],[C-Flex 3000K 3W Part Number]:[C-Flex 4000K 3W Part Number]])=3,FALSE,TRUE)</f>
        <v>1</v>
      </c>
      <c r="T266" t="b">
        <f>IF(COUNTBLANK(Master_Reference[[#This Row],[Lutron 3000K Eco Part Number]:[Lutron 4000K Eco Part Number]])=3,FALSE,TRUE)</f>
        <v>0</v>
      </c>
      <c r="U266" t="b">
        <f>IF(COUNTBLANK(Master_Reference[[#This Row],[Lutron 3000K 3W Part Number]:[Lutron 4000K 3W Part Number]])=3,FALSE,TRUE)</f>
        <v>1</v>
      </c>
      <c r="V266" s="12"/>
      <c r="W266" s="12"/>
      <c r="X266" s="12"/>
      <c r="Y266" t="s">
        <v>2125</v>
      </c>
      <c r="Z266" s="12" t="s">
        <v>365</v>
      </c>
      <c r="AA266" s="12" t="s">
        <v>366</v>
      </c>
      <c r="AB266" s="12" t="s">
        <v>367</v>
      </c>
      <c r="AC266" t="s">
        <v>1810</v>
      </c>
      <c r="AD266" t="str">
        <f>SUBSTITUTE(Master_Reference[[#This Row],[C-Flex 4000K Eco Part Number]],"40-","xx-")</f>
        <v/>
      </c>
      <c r="AE266" t="str">
        <f>SUBSTITUTE(Master_Reference[[#This Row],[C-Flex 4000K 3W Part Number]],"40-","xx-")</f>
        <v>RP-T5HO-2FT-2L-8xx-3W-M-G2</v>
      </c>
      <c r="AF266" s="1" t="str">
        <f>_xlfn.IFNA(VLOOKUP(Master_Reference[[#This Row],[C-Flex 3000K Eco Part Number]],Lutron_CFlex_Lookup[],MATCH("Lutron Kit PN",Lutron_CFlex_Lookup[#Headers],0),FALSE),"")</f>
        <v/>
      </c>
      <c r="AG266" s="1" t="str">
        <f>_xlfn.IFNA(VLOOKUP(Master_Reference[[#This Row],[C-Flex 3500K Eco Part Number]],Lutron_CFlex_Lookup[],MATCH("Lutron Kit PN",Lutron_CFlex_Lookup[#Headers],0),FALSE),"")</f>
        <v/>
      </c>
      <c r="AH266" s="1" t="str">
        <f>_xlfn.IFNA(VLOOKUP(Master_Reference[[#This Row],[C-Flex 4000K Eco Part Number]],Lutron_CFlex_Lookup[],MATCH("Lutron Kit PN",Lutron_CFlex_Lookup[#Headers],0),FALSE),"")</f>
        <v/>
      </c>
      <c r="AI266" s="1" t="str">
        <f>_xlfn.IFNA(VLOOKUP(Master_Reference[[#This Row],[C-Flex 5000K Eco Part Number]],Lutron_CFlex_Lookup[],MATCH("Lutron Kit PN",Lutron_CFlex_Lookup[#Headers],0),FALSE),"")</f>
        <v/>
      </c>
      <c r="AJ266" s="1" t="str">
        <f>_xlfn.IFNA(VLOOKUP(Master_Reference[[#This Row],[C-Flex 3000K 3W Part Number]],Lutron_CFlex_Lookup[],MATCH("Lutron Kit PN",Lutron_CFlex_Lookup[#Headers],0),FALSE),"")</f>
        <v>3LD2T5H-2M30-q</v>
      </c>
      <c r="AK266" s="1" t="str">
        <f>_xlfn.IFNA(VLOOKUP(Master_Reference[[#This Row],[C-Flex 3500K 3W Part Number]],Lutron_CFlex_Lookup[],MATCH("Lutron Kit PN",Lutron_CFlex_Lookup[#Headers],0),FALSE),"")</f>
        <v>3LD2T5H-2M35-q</v>
      </c>
      <c r="AL266" s="1" t="str">
        <f>_xlfn.IFNA(VLOOKUP(Master_Reference[[#This Row],[C-Flex 4000K 3W Part Number]],Lutron_CFlex_Lookup[],MATCH("Lutron Kit PN",Lutron_CFlex_Lookup[#Headers],0),FALSE),"")</f>
        <v>3LD2T5H-2M40-q</v>
      </c>
      <c r="AM266" s="1" t="str">
        <f>_xlfn.IFNA(VLOOKUP(Master_Reference[[#This Row],[C-Flex 5000K 3W Part Number]],Lutron_CFlex_Lookup[],MATCH("Lutron Kit PN",Lutron_CFlex_Lookup[#Headers],0),FALSE),"")</f>
        <v>3LD2T5H-2M50-q</v>
      </c>
      <c r="AN266" s="1" t="b">
        <f>NOT(ISNA(VLOOKUP(Master_Reference[[#This Row],[Model Number]],ObsoleteModels[],1,FALSE)))</f>
        <v>1</v>
      </c>
      <c r="AO266" s="1" t="str">
        <f>IF(LEFT(Master_Reference[[#This Row],[Model Number]],1)="U",LEFT(Master_Reference[[#This Row],[Model Number]],4),LEFT(Master_Reference[[#This Row],[Model Number]],3))</f>
        <v>ECO</v>
      </c>
    </row>
    <row r="267" spans="1:41" x14ac:dyDescent="0.25">
      <c r="A267" s="2" t="s">
        <v>542</v>
      </c>
      <c r="B267" s="1"/>
      <c r="C267" s="1" t="b">
        <v>1</v>
      </c>
      <c r="G267" s="1" t="str">
        <f>IF(OR(LEFT(RIGHT(Master_Reference[[#This Row],[Model Number]],3),1)="C",LEFT(RIGHT(Master_Reference[[#This Row],[Model Number]],4),1)="C"),TRUE,"")</f>
        <v/>
      </c>
      <c r="H267" s="1" t="str">
        <f>IF(LEFT(Master_Reference[[#This Row],[Model Number]],1)="U",TRUE,"")</f>
        <v/>
      </c>
      <c r="I267" s="1" t="b">
        <f>IF(Master_Reference[[#This Row],[Lamp Type]]="T4","",IF(Master_Reference[[#This Row],[Case Type]]="M","",TRUE))</f>
        <v>1</v>
      </c>
      <c r="J267" s="1" t="s">
        <v>123</v>
      </c>
      <c r="K267" s="1">
        <v>28</v>
      </c>
      <c r="L267" s="1" t="s">
        <v>118</v>
      </c>
      <c r="M267" s="1">
        <v>1</v>
      </c>
      <c r="N267" s="1">
        <v>120</v>
      </c>
      <c r="O267" s="1" t="s">
        <v>113</v>
      </c>
      <c r="R267" t="b">
        <f>IF(COUNTBLANK(Master_Reference[[#This Row],[C-Flex 3000K Eco Part Number]:[C-Flex 4000K Eco Part Number]])=3,FALSE,TRUE)</f>
        <v>0</v>
      </c>
      <c r="S267" t="b">
        <f>IF(COUNTBLANK(Master_Reference[[#This Row],[C-Flex 3000K 3W Part Number]:[C-Flex 4000K 3W Part Number]])=3,FALSE,TRUE)</f>
        <v>1</v>
      </c>
      <c r="T267" t="b">
        <f>IF(COUNTBLANK(Master_Reference[[#This Row],[Lutron 3000K Eco Part Number]:[Lutron 4000K Eco Part Number]])=3,FALSE,TRUE)</f>
        <v>0</v>
      </c>
      <c r="U267" t="b">
        <f>IF(COUNTBLANK(Master_Reference[[#This Row],[Lutron 3000K 3W Part Number]:[Lutron 4000K 3W Part Number]])=3,FALSE,TRUE)</f>
        <v>1</v>
      </c>
      <c r="V267" s="12"/>
      <c r="W267" s="12"/>
      <c r="X267" s="12"/>
      <c r="Y267" t="s">
        <v>2125</v>
      </c>
      <c r="Z267" s="12" t="s">
        <v>286</v>
      </c>
      <c r="AA267" s="12" t="s">
        <v>287</v>
      </c>
      <c r="AB267" s="12" t="s">
        <v>288</v>
      </c>
      <c r="AC267" t="s">
        <v>1807</v>
      </c>
      <c r="AD267" t="str">
        <f>SUBSTITUTE(Master_Reference[[#This Row],[C-Flex 4000K Eco Part Number]],"40-","xx-")</f>
        <v/>
      </c>
      <c r="AE267" t="str">
        <f>SUBSTITUTE(Master_Reference[[#This Row],[C-Flex 4000K 3W Part Number]],"40-","xx-")</f>
        <v>RP-T5-4FT-1L-8xx-3W-M-G2</v>
      </c>
      <c r="AF267" s="1" t="str">
        <f>_xlfn.IFNA(VLOOKUP(Master_Reference[[#This Row],[C-Flex 3000K Eco Part Number]],Lutron_CFlex_Lookup[],MATCH("Lutron Kit PN",Lutron_CFlex_Lookup[#Headers],0),FALSE),"")</f>
        <v/>
      </c>
      <c r="AG267" s="1" t="str">
        <f>_xlfn.IFNA(VLOOKUP(Master_Reference[[#This Row],[C-Flex 3500K Eco Part Number]],Lutron_CFlex_Lookup[],MATCH("Lutron Kit PN",Lutron_CFlex_Lookup[#Headers],0),FALSE),"")</f>
        <v/>
      </c>
      <c r="AH267" s="1" t="str">
        <f>_xlfn.IFNA(VLOOKUP(Master_Reference[[#This Row],[C-Flex 4000K Eco Part Number]],Lutron_CFlex_Lookup[],MATCH("Lutron Kit PN",Lutron_CFlex_Lookup[#Headers],0),FALSE),"")</f>
        <v/>
      </c>
      <c r="AI267" s="1" t="str">
        <f>_xlfn.IFNA(VLOOKUP(Master_Reference[[#This Row],[C-Flex 5000K Eco Part Number]],Lutron_CFlex_Lookup[],MATCH("Lutron Kit PN",Lutron_CFlex_Lookup[#Headers],0),FALSE),"")</f>
        <v/>
      </c>
      <c r="AJ267" s="1" t="str">
        <f>_xlfn.IFNA(VLOOKUP(Master_Reference[[#This Row],[C-Flex 3000K 3W Part Number]],Lutron_CFlex_Lookup[],MATCH("Lutron Kit PN",Lutron_CFlex_Lookup[#Headers],0),FALSE),"")</f>
        <v>3LD4T5-1M30-q</v>
      </c>
      <c r="AK267" s="1" t="str">
        <f>_xlfn.IFNA(VLOOKUP(Master_Reference[[#This Row],[C-Flex 3500K 3W Part Number]],Lutron_CFlex_Lookup[],MATCH("Lutron Kit PN",Lutron_CFlex_Lookup[#Headers],0),FALSE),"")</f>
        <v>3LD4T5-1M35-q</v>
      </c>
      <c r="AL267" s="1" t="str">
        <f>_xlfn.IFNA(VLOOKUP(Master_Reference[[#This Row],[C-Flex 4000K 3W Part Number]],Lutron_CFlex_Lookup[],MATCH("Lutron Kit PN",Lutron_CFlex_Lookup[#Headers],0),FALSE),"")</f>
        <v>3LD4T5-1M40-q</v>
      </c>
      <c r="AM267" s="1" t="str">
        <f>_xlfn.IFNA(VLOOKUP(Master_Reference[[#This Row],[C-Flex 5000K 3W Part Number]],Lutron_CFlex_Lookup[],MATCH("Lutron Kit PN",Lutron_CFlex_Lookup[#Headers],0),FALSE),"")</f>
        <v>3LD4T5-1M50-q</v>
      </c>
      <c r="AN267" s="1" t="b">
        <f>NOT(ISNA(VLOOKUP(Master_Reference[[#This Row],[Model Number]],ObsoleteModels[],1,FALSE)))</f>
        <v>1</v>
      </c>
      <c r="AO267" s="1" t="str">
        <f>IF(LEFT(Master_Reference[[#This Row],[Model Number]],1)="U",LEFT(Master_Reference[[#This Row],[Model Number]],4),LEFT(Master_Reference[[#This Row],[Model Number]],3))</f>
        <v>ECO</v>
      </c>
    </row>
    <row r="268" spans="1:41" x14ac:dyDescent="0.25">
      <c r="A268" s="2" t="s">
        <v>543</v>
      </c>
      <c r="B268" s="1"/>
      <c r="C268" s="1" t="b">
        <v>1</v>
      </c>
      <c r="G268" s="1" t="str">
        <f>IF(OR(LEFT(RIGHT(Master_Reference[[#This Row],[Model Number]],3),1)="C",LEFT(RIGHT(Master_Reference[[#This Row],[Model Number]],4),1)="C"),TRUE,"")</f>
        <v/>
      </c>
      <c r="H268" s="1" t="str">
        <f>IF(LEFT(Master_Reference[[#This Row],[Model Number]],1)="U",TRUE,"")</f>
        <v/>
      </c>
      <c r="I268" s="1" t="b">
        <f>IF(Master_Reference[[#This Row],[Lamp Type]]="T4","",IF(Master_Reference[[#This Row],[Case Type]]="M","",TRUE))</f>
        <v>1</v>
      </c>
      <c r="J268" s="1" t="s">
        <v>123</v>
      </c>
      <c r="K268" s="1">
        <v>28</v>
      </c>
      <c r="L268" s="1" t="s">
        <v>118</v>
      </c>
      <c r="M268" s="1">
        <v>1</v>
      </c>
      <c r="N268" s="1">
        <v>120</v>
      </c>
      <c r="O268" s="1" t="s">
        <v>113</v>
      </c>
      <c r="Q268" s="1" t="s">
        <v>91</v>
      </c>
      <c r="R268" t="b">
        <f>IF(COUNTBLANK(Master_Reference[[#This Row],[C-Flex 3000K Eco Part Number]:[C-Flex 4000K Eco Part Number]])=3,FALSE,TRUE)</f>
        <v>0</v>
      </c>
      <c r="S268" t="b">
        <f>IF(COUNTBLANK(Master_Reference[[#This Row],[C-Flex 3000K 3W Part Number]:[C-Flex 4000K 3W Part Number]])=3,FALSE,TRUE)</f>
        <v>0</v>
      </c>
      <c r="T268" t="b">
        <f>IF(COUNTBLANK(Master_Reference[[#This Row],[Lutron 3000K Eco Part Number]:[Lutron 4000K Eco Part Number]])=3,FALSE,TRUE)</f>
        <v>0</v>
      </c>
      <c r="U268" t="b">
        <f>IF(COUNTBLANK(Master_Reference[[#This Row],[Lutron 3000K 3W Part Number]:[Lutron 4000K 3W Part Number]])=3,FALSE,TRUE)</f>
        <v>0</v>
      </c>
      <c r="V268" s="12"/>
      <c r="W268" s="12"/>
      <c r="X268" s="12"/>
      <c r="Y268" t="s">
        <v>2125</v>
      </c>
      <c r="Z268" s="12"/>
      <c r="AA268" s="12"/>
      <c r="AB268" s="12"/>
      <c r="AC268" t="s">
        <v>2125</v>
      </c>
      <c r="AD268" t="str">
        <f>SUBSTITUTE(Master_Reference[[#This Row],[C-Flex 4000K Eco Part Number]],"40-","xx-")</f>
        <v/>
      </c>
      <c r="AE268" t="str">
        <f>SUBSTITUTE(Master_Reference[[#This Row],[C-Flex 4000K 3W Part Number]],"40-","xx-")</f>
        <v/>
      </c>
      <c r="AF268" s="1" t="str">
        <f>_xlfn.IFNA(VLOOKUP(Master_Reference[[#This Row],[C-Flex 3000K Eco Part Number]],Lutron_CFlex_Lookup[],MATCH("Lutron Kit PN",Lutron_CFlex_Lookup[#Headers],0),FALSE),"")</f>
        <v/>
      </c>
      <c r="AG268" s="1" t="str">
        <f>_xlfn.IFNA(VLOOKUP(Master_Reference[[#This Row],[C-Flex 3500K Eco Part Number]],Lutron_CFlex_Lookup[],MATCH("Lutron Kit PN",Lutron_CFlex_Lookup[#Headers],0),FALSE),"")</f>
        <v/>
      </c>
      <c r="AH268" s="1" t="str">
        <f>_xlfn.IFNA(VLOOKUP(Master_Reference[[#This Row],[C-Flex 4000K Eco Part Number]],Lutron_CFlex_Lookup[],MATCH("Lutron Kit PN",Lutron_CFlex_Lookup[#Headers],0),FALSE),"")</f>
        <v/>
      </c>
      <c r="AI268" s="1" t="str">
        <f>_xlfn.IFNA(VLOOKUP(Master_Reference[[#This Row],[C-Flex 5000K Eco Part Number]],Lutron_CFlex_Lookup[],MATCH("Lutron Kit PN",Lutron_CFlex_Lookup[#Headers],0),FALSE),"")</f>
        <v/>
      </c>
      <c r="AJ268" s="1" t="str">
        <f>_xlfn.IFNA(VLOOKUP(Master_Reference[[#This Row],[C-Flex 3000K 3W Part Number]],Lutron_CFlex_Lookup[],MATCH("Lutron Kit PN",Lutron_CFlex_Lookup[#Headers],0),FALSE),"")</f>
        <v/>
      </c>
      <c r="AK268" s="1" t="str">
        <f>_xlfn.IFNA(VLOOKUP(Master_Reference[[#This Row],[C-Flex 3500K 3W Part Number]],Lutron_CFlex_Lookup[],MATCH("Lutron Kit PN",Lutron_CFlex_Lookup[#Headers],0),FALSE),"")</f>
        <v/>
      </c>
      <c r="AL268" s="1" t="str">
        <f>_xlfn.IFNA(VLOOKUP(Master_Reference[[#This Row],[C-Flex 4000K 3W Part Number]],Lutron_CFlex_Lookup[],MATCH("Lutron Kit PN",Lutron_CFlex_Lookup[#Headers],0),FALSE),"")</f>
        <v/>
      </c>
      <c r="AM268" s="1" t="str">
        <f>_xlfn.IFNA(VLOOKUP(Master_Reference[[#This Row],[C-Flex 5000K 3W Part Number]],Lutron_CFlex_Lookup[],MATCH("Lutron Kit PN",Lutron_CFlex_Lookup[#Headers],0),FALSE),"")</f>
        <v/>
      </c>
      <c r="AN268" s="1" t="b">
        <f>NOT(ISNA(VLOOKUP(Master_Reference[[#This Row],[Model Number]],ObsoleteModels[],1,FALSE)))</f>
        <v>1</v>
      </c>
      <c r="AO268" s="1" t="str">
        <f>IF(LEFT(Master_Reference[[#This Row],[Model Number]],1)="U",LEFT(Master_Reference[[#This Row],[Model Number]],4),LEFT(Master_Reference[[#This Row],[Model Number]],3))</f>
        <v>ECO</v>
      </c>
    </row>
    <row r="269" spans="1:41" x14ac:dyDescent="0.25">
      <c r="A269" s="2" t="s">
        <v>544</v>
      </c>
      <c r="B269" s="1"/>
      <c r="C269" s="1" t="b">
        <v>1</v>
      </c>
      <c r="G269" s="1" t="str">
        <f>IF(OR(LEFT(RIGHT(Master_Reference[[#This Row],[Model Number]],3),1)="C",LEFT(RIGHT(Master_Reference[[#This Row],[Model Number]],4),1)="C"),TRUE,"")</f>
        <v/>
      </c>
      <c r="H269" s="1" t="str">
        <f>IF(LEFT(Master_Reference[[#This Row],[Model Number]],1)="U",TRUE,"")</f>
        <v/>
      </c>
      <c r="I269" s="1" t="b">
        <f>IF(Master_Reference[[#This Row],[Lamp Type]]="T4","",IF(Master_Reference[[#This Row],[Case Type]]="M","",TRUE))</f>
        <v>1</v>
      </c>
      <c r="J269" s="1" t="s">
        <v>123</v>
      </c>
      <c r="K269" s="1">
        <v>28</v>
      </c>
      <c r="L269" s="1" t="s">
        <v>118</v>
      </c>
      <c r="M269" s="1">
        <v>2</v>
      </c>
      <c r="N269" s="1">
        <v>120</v>
      </c>
      <c r="O269" s="1" t="s">
        <v>113</v>
      </c>
      <c r="R269" t="b">
        <f>IF(COUNTBLANK(Master_Reference[[#This Row],[C-Flex 3000K Eco Part Number]:[C-Flex 4000K Eco Part Number]])=3,FALSE,TRUE)</f>
        <v>0</v>
      </c>
      <c r="S269" t="b">
        <f>IF(COUNTBLANK(Master_Reference[[#This Row],[C-Flex 3000K 3W Part Number]:[C-Flex 4000K 3W Part Number]])=3,FALSE,TRUE)</f>
        <v>1</v>
      </c>
      <c r="T269" t="b">
        <f>IF(COUNTBLANK(Master_Reference[[#This Row],[Lutron 3000K Eco Part Number]:[Lutron 4000K Eco Part Number]])=3,FALSE,TRUE)</f>
        <v>0</v>
      </c>
      <c r="U269" t="b">
        <f>IF(COUNTBLANK(Master_Reference[[#This Row],[Lutron 3000K 3W Part Number]:[Lutron 4000K 3W Part Number]])=3,FALSE,TRUE)</f>
        <v>1</v>
      </c>
      <c r="V269" s="12"/>
      <c r="W269" s="12"/>
      <c r="X269" s="12"/>
      <c r="Y269" t="s">
        <v>2125</v>
      </c>
      <c r="Z269" s="12" t="s">
        <v>293</v>
      </c>
      <c r="AA269" s="12" t="s">
        <v>294</v>
      </c>
      <c r="AB269" s="12" t="s">
        <v>295</v>
      </c>
      <c r="AC269" t="s">
        <v>1808</v>
      </c>
      <c r="AD269" t="str">
        <f>SUBSTITUTE(Master_Reference[[#This Row],[C-Flex 4000K Eco Part Number]],"40-","xx-")</f>
        <v/>
      </c>
      <c r="AE269" t="str">
        <f>SUBSTITUTE(Master_Reference[[#This Row],[C-Flex 4000K 3W Part Number]],"40-","xx-")</f>
        <v>RP-T5-4FT-2L-8xx-3W-M-G2</v>
      </c>
      <c r="AF269" s="1" t="str">
        <f>_xlfn.IFNA(VLOOKUP(Master_Reference[[#This Row],[C-Flex 3000K Eco Part Number]],Lutron_CFlex_Lookup[],MATCH("Lutron Kit PN",Lutron_CFlex_Lookup[#Headers],0),FALSE),"")</f>
        <v/>
      </c>
      <c r="AG269" s="1" t="str">
        <f>_xlfn.IFNA(VLOOKUP(Master_Reference[[#This Row],[C-Flex 3500K Eco Part Number]],Lutron_CFlex_Lookup[],MATCH("Lutron Kit PN",Lutron_CFlex_Lookup[#Headers],0),FALSE),"")</f>
        <v/>
      </c>
      <c r="AH269" s="1" t="str">
        <f>_xlfn.IFNA(VLOOKUP(Master_Reference[[#This Row],[C-Flex 4000K Eco Part Number]],Lutron_CFlex_Lookup[],MATCH("Lutron Kit PN",Lutron_CFlex_Lookup[#Headers],0),FALSE),"")</f>
        <v/>
      </c>
      <c r="AI269" s="1" t="str">
        <f>_xlfn.IFNA(VLOOKUP(Master_Reference[[#This Row],[C-Flex 5000K Eco Part Number]],Lutron_CFlex_Lookup[],MATCH("Lutron Kit PN",Lutron_CFlex_Lookup[#Headers],0),FALSE),"")</f>
        <v/>
      </c>
      <c r="AJ269" s="1" t="str">
        <f>_xlfn.IFNA(VLOOKUP(Master_Reference[[#This Row],[C-Flex 3000K 3W Part Number]],Lutron_CFlex_Lookup[],MATCH("Lutron Kit PN",Lutron_CFlex_Lookup[#Headers],0),FALSE),"")</f>
        <v>3LD4T5-2M30-q</v>
      </c>
      <c r="AK269" s="1" t="str">
        <f>_xlfn.IFNA(VLOOKUP(Master_Reference[[#This Row],[C-Flex 3500K 3W Part Number]],Lutron_CFlex_Lookup[],MATCH("Lutron Kit PN",Lutron_CFlex_Lookup[#Headers],0),FALSE),"")</f>
        <v>3LD4T5-2M35-q</v>
      </c>
      <c r="AL269" s="1" t="str">
        <f>_xlfn.IFNA(VLOOKUP(Master_Reference[[#This Row],[C-Flex 4000K 3W Part Number]],Lutron_CFlex_Lookup[],MATCH("Lutron Kit PN",Lutron_CFlex_Lookup[#Headers],0),FALSE),"")</f>
        <v>3LD4T5-2M40-q</v>
      </c>
      <c r="AM269" s="1" t="str">
        <f>_xlfn.IFNA(VLOOKUP(Master_Reference[[#This Row],[C-Flex 5000K 3W Part Number]],Lutron_CFlex_Lookup[],MATCH("Lutron Kit PN",Lutron_CFlex_Lookup[#Headers],0),FALSE),"")</f>
        <v>3LD4T5-2M50-q</v>
      </c>
      <c r="AN269" s="1" t="b">
        <f>NOT(ISNA(VLOOKUP(Master_Reference[[#This Row],[Model Number]],ObsoleteModels[],1,FALSE)))</f>
        <v>1</v>
      </c>
      <c r="AO269" s="1" t="str">
        <f>IF(LEFT(Master_Reference[[#This Row],[Model Number]],1)="U",LEFT(Master_Reference[[#This Row],[Model Number]],4),LEFT(Master_Reference[[#This Row],[Model Number]],3))</f>
        <v>ECO</v>
      </c>
    </row>
    <row r="270" spans="1:41" x14ac:dyDescent="0.25">
      <c r="A270" s="2" t="s">
        <v>545</v>
      </c>
      <c r="B270" s="1"/>
      <c r="C270" s="1" t="b">
        <v>1</v>
      </c>
      <c r="G270" s="1" t="str">
        <f>IF(OR(LEFT(RIGHT(Master_Reference[[#This Row],[Model Number]],3),1)="C",LEFT(RIGHT(Master_Reference[[#This Row],[Model Number]],4),1)="C"),TRUE,"")</f>
        <v/>
      </c>
      <c r="H270" s="1" t="str">
        <f>IF(LEFT(Master_Reference[[#This Row],[Model Number]],1)="U",TRUE,"")</f>
        <v/>
      </c>
      <c r="I270" s="1" t="b">
        <f>IF(Master_Reference[[#This Row],[Lamp Type]]="T4","",IF(Master_Reference[[#This Row],[Case Type]]="M","",TRUE))</f>
        <v>1</v>
      </c>
      <c r="J270" s="1" t="s">
        <v>123</v>
      </c>
      <c r="K270" s="1">
        <v>28</v>
      </c>
      <c r="L270" s="1" t="s">
        <v>118</v>
      </c>
      <c r="M270" s="1">
        <v>2</v>
      </c>
      <c r="N270" s="1">
        <v>120</v>
      </c>
      <c r="O270" s="1" t="s">
        <v>113</v>
      </c>
      <c r="Q270" s="1" t="s">
        <v>91</v>
      </c>
      <c r="R270" t="b">
        <f>IF(COUNTBLANK(Master_Reference[[#This Row],[C-Flex 3000K Eco Part Number]:[C-Flex 4000K Eco Part Number]])=3,FALSE,TRUE)</f>
        <v>0</v>
      </c>
      <c r="S270" t="b">
        <f>IF(COUNTBLANK(Master_Reference[[#This Row],[C-Flex 3000K 3W Part Number]:[C-Flex 4000K 3W Part Number]])=3,FALSE,TRUE)</f>
        <v>0</v>
      </c>
      <c r="T270" t="b">
        <f>IF(COUNTBLANK(Master_Reference[[#This Row],[Lutron 3000K Eco Part Number]:[Lutron 4000K Eco Part Number]])=3,FALSE,TRUE)</f>
        <v>0</v>
      </c>
      <c r="U270" t="b">
        <f>IF(COUNTBLANK(Master_Reference[[#This Row],[Lutron 3000K 3W Part Number]:[Lutron 4000K 3W Part Number]])=3,FALSE,TRUE)</f>
        <v>0</v>
      </c>
      <c r="V270" s="12"/>
      <c r="W270" s="12"/>
      <c r="X270" s="12"/>
      <c r="Y270" t="s">
        <v>2125</v>
      </c>
      <c r="Z270" s="12"/>
      <c r="AA270" s="12"/>
      <c r="AB270" s="12"/>
      <c r="AC270" t="s">
        <v>2125</v>
      </c>
      <c r="AD270" t="str">
        <f>SUBSTITUTE(Master_Reference[[#This Row],[C-Flex 4000K Eco Part Number]],"40-","xx-")</f>
        <v/>
      </c>
      <c r="AE270" t="str">
        <f>SUBSTITUTE(Master_Reference[[#This Row],[C-Flex 4000K 3W Part Number]],"40-","xx-")</f>
        <v/>
      </c>
      <c r="AF270" s="1" t="str">
        <f>_xlfn.IFNA(VLOOKUP(Master_Reference[[#This Row],[C-Flex 3000K Eco Part Number]],Lutron_CFlex_Lookup[],MATCH("Lutron Kit PN",Lutron_CFlex_Lookup[#Headers],0),FALSE),"")</f>
        <v/>
      </c>
      <c r="AG270" s="1" t="str">
        <f>_xlfn.IFNA(VLOOKUP(Master_Reference[[#This Row],[C-Flex 3500K Eco Part Number]],Lutron_CFlex_Lookup[],MATCH("Lutron Kit PN",Lutron_CFlex_Lookup[#Headers],0),FALSE),"")</f>
        <v/>
      </c>
      <c r="AH270" s="1" t="str">
        <f>_xlfn.IFNA(VLOOKUP(Master_Reference[[#This Row],[C-Flex 4000K Eco Part Number]],Lutron_CFlex_Lookup[],MATCH("Lutron Kit PN",Lutron_CFlex_Lookup[#Headers],0),FALSE),"")</f>
        <v/>
      </c>
      <c r="AI270" s="1" t="str">
        <f>_xlfn.IFNA(VLOOKUP(Master_Reference[[#This Row],[C-Flex 5000K Eco Part Number]],Lutron_CFlex_Lookup[],MATCH("Lutron Kit PN",Lutron_CFlex_Lookup[#Headers],0),FALSE),"")</f>
        <v/>
      </c>
      <c r="AJ270" s="1" t="str">
        <f>_xlfn.IFNA(VLOOKUP(Master_Reference[[#This Row],[C-Flex 3000K 3W Part Number]],Lutron_CFlex_Lookup[],MATCH("Lutron Kit PN",Lutron_CFlex_Lookup[#Headers],0),FALSE),"")</f>
        <v/>
      </c>
      <c r="AK270" s="1" t="str">
        <f>_xlfn.IFNA(VLOOKUP(Master_Reference[[#This Row],[C-Flex 3500K 3W Part Number]],Lutron_CFlex_Lookup[],MATCH("Lutron Kit PN",Lutron_CFlex_Lookup[#Headers],0),FALSE),"")</f>
        <v/>
      </c>
      <c r="AL270" s="1" t="str">
        <f>_xlfn.IFNA(VLOOKUP(Master_Reference[[#This Row],[C-Flex 4000K 3W Part Number]],Lutron_CFlex_Lookup[],MATCH("Lutron Kit PN",Lutron_CFlex_Lookup[#Headers],0),FALSE),"")</f>
        <v/>
      </c>
      <c r="AM270" s="1" t="str">
        <f>_xlfn.IFNA(VLOOKUP(Master_Reference[[#This Row],[C-Flex 5000K 3W Part Number]],Lutron_CFlex_Lookup[],MATCH("Lutron Kit PN",Lutron_CFlex_Lookup[#Headers],0),FALSE),"")</f>
        <v/>
      </c>
      <c r="AN270" s="1" t="b">
        <f>NOT(ISNA(VLOOKUP(Master_Reference[[#This Row],[Model Number]],ObsoleteModels[],1,FALSE)))</f>
        <v>1</v>
      </c>
      <c r="AO270" s="1" t="str">
        <f>IF(LEFT(Master_Reference[[#This Row],[Model Number]],1)="U",LEFT(Master_Reference[[#This Row],[Model Number]],4),LEFT(Master_Reference[[#This Row],[Model Number]],3))</f>
        <v>ECO</v>
      </c>
    </row>
    <row r="271" spans="1:41" x14ac:dyDescent="0.25">
      <c r="A271" s="2" t="s">
        <v>546</v>
      </c>
      <c r="B271" s="1"/>
      <c r="C271" s="1" t="b">
        <v>1</v>
      </c>
      <c r="G271" s="1" t="str">
        <f>IF(OR(LEFT(RIGHT(Master_Reference[[#This Row],[Model Number]],3),1)="C",LEFT(RIGHT(Master_Reference[[#This Row],[Model Number]],4),1)="C"),TRUE,"")</f>
        <v/>
      </c>
      <c r="H271" s="1" t="str">
        <f>IF(LEFT(Master_Reference[[#This Row],[Model Number]],1)="U",TRUE,"")</f>
        <v/>
      </c>
      <c r="I271" s="1" t="b">
        <f>IF(Master_Reference[[#This Row],[Lamp Type]]="T4","",IF(Master_Reference[[#This Row],[Case Type]]="M","",TRUE))</f>
        <v>1</v>
      </c>
      <c r="J271" s="1" t="s">
        <v>123</v>
      </c>
      <c r="K271" s="1">
        <v>28</v>
      </c>
      <c r="L271" s="1" t="s">
        <v>118</v>
      </c>
      <c r="M271" s="1">
        <v>1</v>
      </c>
      <c r="N271" s="1">
        <v>277</v>
      </c>
      <c r="O271" s="1" t="s">
        <v>113</v>
      </c>
      <c r="R271" t="b">
        <f>IF(COUNTBLANK(Master_Reference[[#This Row],[C-Flex 3000K Eco Part Number]:[C-Flex 4000K Eco Part Number]])=3,FALSE,TRUE)</f>
        <v>0</v>
      </c>
      <c r="S271" t="b">
        <f>IF(COUNTBLANK(Master_Reference[[#This Row],[C-Flex 3000K 3W Part Number]:[C-Flex 4000K 3W Part Number]])=3,FALSE,TRUE)</f>
        <v>1</v>
      </c>
      <c r="T271" t="b">
        <f>IF(COUNTBLANK(Master_Reference[[#This Row],[Lutron 3000K Eco Part Number]:[Lutron 4000K Eco Part Number]])=3,FALSE,TRUE)</f>
        <v>0</v>
      </c>
      <c r="U271" t="b">
        <f>IF(COUNTBLANK(Master_Reference[[#This Row],[Lutron 3000K 3W Part Number]:[Lutron 4000K 3W Part Number]])=3,FALSE,TRUE)</f>
        <v>1</v>
      </c>
      <c r="V271" s="12"/>
      <c r="W271" s="12"/>
      <c r="X271" s="12"/>
      <c r="Y271" t="s">
        <v>2125</v>
      </c>
      <c r="Z271" s="12" t="s">
        <v>286</v>
      </c>
      <c r="AA271" s="12" t="s">
        <v>287</v>
      </c>
      <c r="AB271" s="12" t="s">
        <v>288</v>
      </c>
      <c r="AC271" t="s">
        <v>1807</v>
      </c>
      <c r="AD271" t="str">
        <f>SUBSTITUTE(Master_Reference[[#This Row],[C-Flex 4000K Eco Part Number]],"40-","xx-")</f>
        <v/>
      </c>
      <c r="AE271" t="str">
        <f>SUBSTITUTE(Master_Reference[[#This Row],[C-Flex 4000K 3W Part Number]],"40-","xx-")</f>
        <v>RP-T5-4FT-1L-8xx-3W-M-G2</v>
      </c>
      <c r="AF271" s="1" t="str">
        <f>_xlfn.IFNA(VLOOKUP(Master_Reference[[#This Row],[C-Flex 3000K Eco Part Number]],Lutron_CFlex_Lookup[],MATCH("Lutron Kit PN",Lutron_CFlex_Lookup[#Headers],0),FALSE),"")</f>
        <v/>
      </c>
      <c r="AG271" s="1" t="str">
        <f>_xlfn.IFNA(VLOOKUP(Master_Reference[[#This Row],[C-Flex 3500K Eco Part Number]],Lutron_CFlex_Lookup[],MATCH("Lutron Kit PN",Lutron_CFlex_Lookup[#Headers],0),FALSE),"")</f>
        <v/>
      </c>
      <c r="AH271" s="1" t="str">
        <f>_xlfn.IFNA(VLOOKUP(Master_Reference[[#This Row],[C-Flex 4000K Eco Part Number]],Lutron_CFlex_Lookup[],MATCH("Lutron Kit PN",Lutron_CFlex_Lookup[#Headers],0),FALSE),"")</f>
        <v/>
      </c>
      <c r="AI271" s="1" t="str">
        <f>_xlfn.IFNA(VLOOKUP(Master_Reference[[#This Row],[C-Flex 5000K Eco Part Number]],Lutron_CFlex_Lookup[],MATCH("Lutron Kit PN",Lutron_CFlex_Lookup[#Headers],0),FALSE),"")</f>
        <v/>
      </c>
      <c r="AJ271" s="1" t="str">
        <f>_xlfn.IFNA(VLOOKUP(Master_Reference[[#This Row],[C-Flex 3000K 3W Part Number]],Lutron_CFlex_Lookup[],MATCH("Lutron Kit PN",Lutron_CFlex_Lookup[#Headers],0),FALSE),"")</f>
        <v>3LD4T5-1M30-q</v>
      </c>
      <c r="AK271" s="1" t="str">
        <f>_xlfn.IFNA(VLOOKUP(Master_Reference[[#This Row],[C-Flex 3500K 3W Part Number]],Lutron_CFlex_Lookup[],MATCH("Lutron Kit PN",Lutron_CFlex_Lookup[#Headers],0),FALSE),"")</f>
        <v>3LD4T5-1M35-q</v>
      </c>
      <c r="AL271" s="1" t="str">
        <f>_xlfn.IFNA(VLOOKUP(Master_Reference[[#This Row],[C-Flex 4000K 3W Part Number]],Lutron_CFlex_Lookup[],MATCH("Lutron Kit PN",Lutron_CFlex_Lookup[#Headers],0),FALSE),"")</f>
        <v>3LD4T5-1M40-q</v>
      </c>
      <c r="AM271" s="1" t="str">
        <f>_xlfn.IFNA(VLOOKUP(Master_Reference[[#This Row],[C-Flex 5000K 3W Part Number]],Lutron_CFlex_Lookup[],MATCH("Lutron Kit PN",Lutron_CFlex_Lookup[#Headers],0),FALSE),"")</f>
        <v>3LD4T5-1M50-q</v>
      </c>
      <c r="AN271" s="1" t="b">
        <f>NOT(ISNA(VLOOKUP(Master_Reference[[#This Row],[Model Number]],ObsoleteModels[],1,FALSE)))</f>
        <v>1</v>
      </c>
      <c r="AO271" s="1" t="str">
        <f>IF(LEFT(Master_Reference[[#This Row],[Model Number]],1)="U",LEFT(Master_Reference[[#This Row],[Model Number]],4),LEFT(Master_Reference[[#This Row],[Model Number]],3))</f>
        <v>ECO</v>
      </c>
    </row>
    <row r="272" spans="1:41" x14ac:dyDescent="0.25">
      <c r="A272" s="2" t="s">
        <v>547</v>
      </c>
      <c r="B272" s="1"/>
      <c r="C272" s="1" t="b">
        <v>1</v>
      </c>
      <c r="G272" s="1" t="str">
        <f>IF(OR(LEFT(RIGHT(Master_Reference[[#This Row],[Model Number]],3),1)="C",LEFT(RIGHT(Master_Reference[[#This Row],[Model Number]],4),1)="C"),TRUE,"")</f>
        <v/>
      </c>
      <c r="H272" s="1" t="str">
        <f>IF(LEFT(Master_Reference[[#This Row],[Model Number]],1)="U",TRUE,"")</f>
        <v/>
      </c>
      <c r="I272" s="1" t="b">
        <f>IF(Master_Reference[[#This Row],[Lamp Type]]="T4","",IF(Master_Reference[[#This Row],[Case Type]]="M","",TRUE))</f>
        <v>1</v>
      </c>
      <c r="J272" s="1" t="s">
        <v>123</v>
      </c>
      <c r="K272" s="1">
        <v>28</v>
      </c>
      <c r="L272" s="1" t="s">
        <v>118</v>
      </c>
      <c r="M272" s="1">
        <v>2</v>
      </c>
      <c r="N272" s="1">
        <v>277</v>
      </c>
      <c r="O272" s="1" t="s">
        <v>113</v>
      </c>
      <c r="R272" t="b">
        <f>IF(COUNTBLANK(Master_Reference[[#This Row],[C-Flex 3000K Eco Part Number]:[C-Flex 4000K Eco Part Number]])=3,FALSE,TRUE)</f>
        <v>0</v>
      </c>
      <c r="S272" t="b">
        <f>IF(COUNTBLANK(Master_Reference[[#This Row],[C-Flex 3000K 3W Part Number]:[C-Flex 4000K 3W Part Number]])=3,FALSE,TRUE)</f>
        <v>1</v>
      </c>
      <c r="T272" t="b">
        <f>IF(COUNTBLANK(Master_Reference[[#This Row],[Lutron 3000K Eco Part Number]:[Lutron 4000K Eco Part Number]])=3,FALSE,TRUE)</f>
        <v>0</v>
      </c>
      <c r="U272" t="b">
        <f>IF(COUNTBLANK(Master_Reference[[#This Row],[Lutron 3000K 3W Part Number]:[Lutron 4000K 3W Part Number]])=3,FALSE,TRUE)</f>
        <v>1</v>
      </c>
      <c r="V272" s="12"/>
      <c r="W272" s="12"/>
      <c r="X272" s="12"/>
      <c r="Y272" t="s">
        <v>2125</v>
      </c>
      <c r="Z272" s="12" t="s">
        <v>293</v>
      </c>
      <c r="AA272" s="12" t="s">
        <v>294</v>
      </c>
      <c r="AB272" s="12" t="s">
        <v>295</v>
      </c>
      <c r="AC272" t="s">
        <v>1808</v>
      </c>
      <c r="AD272" t="str">
        <f>SUBSTITUTE(Master_Reference[[#This Row],[C-Flex 4000K Eco Part Number]],"40-","xx-")</f>
        <v/>
      </c>
      <c r="AE272" t="str">
        <f>SUBSTITUTE(Master_Reference[[#This Row],[C-Flex 4000K 3W Part Number]],"40-","xx-")</f>
        <v>RP-T5-4FT-2L-8xx-3W-M-G2</v>
      </c>
      <c r="AF272" s="1" t="str">
        <f>_xlfn.IFNA(VLOOKUP(Master_Reference[[#This Row],[C-Flex 3000K Eco Part Number]],Lutron_CFlex_Lookup[],MATCH("Lutron Kit PN",Lutron_CFlex_Lookup[#Headers],0),FALSE),"")</f>
        <v/>
      </c>
      <c r="AG272" s="1" t="str">
        <f>_xlfn.IFNA(VLOOKUP(Master_Reference[[#This Row],[C-Flex 3500K Eco Part Number]],Lutron_CFlex_Lookup[],MATCH("Lutron Kit PN",Lutron_CFlex_Lookup[#Headers],0),FALSE),"")</f>
        <v/>
      </c>
      <c r="AH272" s="1" t="str">
        <f>_xlfn.IFNA(VLOOKUP(Master_Reference[[#This Row],[C-Flex 4000K Eco Part Number]],Lutron_CFlex_Lookup[],MATCH("Lutron Kit PN",Lutron_CFlex_Lookup[#Headers],0),FALSE),"")</f>
        <v/>
      </c>
      <c r="AI272" s="1" t="str">
        <f>_xlfn.IFNA(VLOOKUP(Master_Reference[[#This Row],[C-Flex 5000K Eco Part Number]],Lutron_CFlex_Lookup[],MATCH("Lutron Kit PN",Lutron_CFlex_Lookup[#Headers],0),FALSE),"")</f>
        <v/>
      </c>
      <c r="AJ272" s="1" t="str">
        <f>_xlfn.IFNA(VLOOKUP(Master_Reference[[#This Row],[C-Flex 3000K 3W Part Number]],Lutron_CFlex_Lookup[],MATCH("Lutron Kit PN",Lutron_CFlex_Lookup[#Headers],0),FALSE),"")</f>
        <v>3LD4T5-2M30-q</v>
      </c>
      <c r="AK272" s="1" t="str">
        <f>_xlfn.IFNA(VLOOKUP(Master_Reference[[#This Row],[C-Flex 3500K 3W Part Number]],Lutron_CFlex_Lookup[],MATCH("Lutron Kit PN",Lutron_CFlex_Lookup[#Headers],0),FALSE),"")</f>
        <v>3LD4T5-2M35-q</v>
      </c>
      <c r="AL272" s="1" t="str">
        <f>_xlfn.IFNA(VLOOKUP(Master_Reference[[#This Row],[C-Flex 4000K 3W Part Number]],Lutron_CFlex_Lookup[],MATCH("Lutron Kit PN",Lutron_CFlex_Lookup[#Headers],0),FALSE),"")</f>
        <v>3LD4T5-2M40-q</v>
      </c>
      <c r="AM272" s="1" t="str">
        <f>_xlfn.IFNA(VLOOKUP(Master_Reference[[#This Row],[C-Flex 5000K 3W Part Number]],Lutron_CFlex_Lookup[],MATCH("Lutron Kit PN",Lutron_CFlex_Lookup[#Headers],0),FALSE),"")</f>
        <v>3LD4T5-2M50-q</v>
      </c>
      <c r="AN272" s="1" t="b">
        <f>NOT(ISNA(VLOOKUP(Master_Reference[[#This Row],[Model Number]],ObsoleteModels[],1,FALSE)))</f>
        <v>1</v>
      </c>
      <c r="AO272" s="1" t="str">
        <f>IF(LEFT(Master_Reference[[#This Row],[Model Number]],1)="U",LEFT(Master_Reference[[#This Row],[Model Number]],4),LEFT(Master_Reference[[#This Row],[Model Number]],3))</f>
        <v>ECO</v>
      </c>
    </row>
    <row r="273" spans="1:41" x14ac:dyDescent="0.25">
      <c r="A273" s="2" t="s">
        <v>548</v>
      </c>
      <c r="B273" s="1"/>
      <c r="C273" s="1" t="b">
        <v>1</v>
      </c>
      <c r="G273" s="1" t="str">
        <f>IF(OR(LEFT(RIGHT(Master_Reference[[#This Row],[Model Number]],3),1)="C",LEFT(RIGHT(Master_Reference[[#This Row],[Model Number]],4),1)="C"),TRUE,"")</f>
        <v/>
      </c>
      <c r="H273" s="1" t="str">
        <f>IF(LEFT(Master_Reference[[#This Row],[Model Number]],1)="U",TRUE,"")</f>
        <v/>
      </c>
      <c r="I273" s="1" t="b">
        <f>IF(Master_Reference[[#This Row],[Lamp Type]]="T4","",IF(Master_Reference[[#This Row],[Case Type]]="M","",TRUE))</f>
        <v>1</v>
      </c>
      <c r="J273" s="1" t="s">
        <v>215</v>
      </c>
      <c r="K273" s="1">
        <v>36</v>
      </c>
      <c r="L273" s="1" t="s">
        <v>216</v>
      </c>
      <c r="M273" s="1">
        <v>2</v>
      </c>
      <c r="N273" s="1">
        <v>240</v>
      </c>
      <c r="O273" s="1" t="s">
        <v>113</v>
      </c>
      <c r="Q273" s="1" t="s">
        <v>456</v>
      </c>
      <c r="R273" t="b">
        <f>IF(COUNTBLANK(Master_Reference[[#This Row],[C-Flex 3000K Eco Part Number]:[C-Flex 4000K Eco Part Number]])=3,FALSE,TRUE)</f>
        <v>0</v>
      </c>
      <c r="S273" t="b">
        <f>IF(COUNTBLANK(Master_Reference[[#This Row],[C-Flex 3000K 3W Part Number]:[C-Flex 4000K 3W Part Number]])=3,FALSE,TRUE)</f>
        <v>0</v>
      </c>
      <c r="T273" t="b">
        <f>IF(COUNTBLANK(Master_Reference[[#This Row],[Lutron 3000K Eco Part Number]:[Lutron 4000K Eco Part Number]])=3,FALSE,TRUE)</f>
        <v>0</v>
      </c>
      <c r="U273" t="b">
        <f>IF(COUNTBLANK(Master_Reference[[#This Row],[Lutron 3000K 3W Part Number]:[Lutron 4000K 3W Part Number]])=3,FALSE,TRUE)</f>
        <v>0</v>
      </c>
      <c r="V273" s="12"/>
      <c r="W273" s="12"/>
      <c r="X273" s="12"/>
      <c r="Y273" t="s">
        <v>2125</v>
      </c>
      <c r="Z273" s="12"/>
      <c r="AA273" s="12"/>
      <c r="AB273" s="12"/>
      <c r="AC273" t="s">
        <v>2125</v>
      </c>
      <c r="AD273" t="str">
        <f>SUBSTITUTE(Master_Reference[[#This Row],[C-Flex 4000K Eco Part Number]],"40-","xx-")</f>
        <v/>
      </c>
      <c r="AE273" t="str">
        <f>SUBSTITUTE(Master_Reference[[#This Row],[C-Flex 4000K 3W Part Number]],"40-","xx-")</f>
        <v/>
      </c>
      <c r="AF273" s="1" t="str">
        <f>_xlfn.IFNA(VLOOKUP(Master_Reference[[#This Row],[C-Flex 3000K Eco Part Number]],Lutron_CFlex_Lookup[],MATCH("Lutron Kit PN",Lutron_CFlex_Lookup[#Headers],0),FALSE),"")</f>
        <v/>
      </c>
      <c r="AG273" s="1" t="str">
        <f>_xlfn.IFNA(VLOOKUP(Master_Reference[[#This Row],[C-Flex 3500K Eco Part Number]],Lutron_CFlex_Lookup[],MATCH("Lutron Kit PN",Lutron_CFlex_Lookup[#Headers],0),FALSE),"")</f>
        <v/>
      </c>
      <c r="AH273" s="1" t="str">
        <f>_xlfn.IFNA(VLOOKUP(Master_Reference[[#This Row],[C-Flex 4000K Eco Part Number]],Lutron_CFlex_Lookup[],MATCH("Lutron Kit PN",Lutron_CFlex_Lookup[#Headers],0),FALSE),"")</f>
        <v/>
      </c>
      <c r="AI273" s="1" t="str">
        <f>_xlfn.IFNA(VLOOKUP(Master_Reference[[#This Row],[C-Flex 5000K Eco Part Number]],Lutron_CFlex_Lookup[],MATCH("Lutron Kit PN",Lutron_CFlex_Lookup[#Headers],0),FALSE),"")</f>
        <v/>
      </c>
      <c r="AJ273" s="1" t="str">
        <f>_xlfn.IFNA(VLOOKUP(Master_Reference[[#This Row],[C-Flex 3000K 3W Part Number]],Lutron_CFlex_Lookup[],MATCH("Lutron Kit PN",Lutron_CFlex_Lookup[#Headers],0),FALSE),"")</f>
        <v/>
      </c>
      <c r="AK273" s="1" t="str">
        <f>_xlfn.IFNA(VLOOKUP(Master_Reference[[#This Row],[C-Flex 3500K 3W Part Number]],Lutron_CFlex_Lookup[],MATCH("Lutron Kit PN",Lutron_CFlex_Lookup[#Headers],0),FALSE),"")</f>
        <v/>
      </c>
      <c r="AL273" s="1" t="str">
        <f>_xlfn.IFNA(VLOOKUP(Master_Reference[[#This Row],[C-Flex 4000K 3W Part Number]],Lutron_CFlex_Lookup[],MATCH("Lutron Kit PN",Lutron_CFlex_Lookup[#Headers],0),FALSE),"")</f>
        <v/>
      </c>
      <c r="AM273" s="1" t="str">
        <f>_xlfn.IFNA(VLOOKUP(Master_Reference[[#This Row],[C-Flex 5000K 3W Part Number]],Lutron_CFlex_Lookup[],MATCH("Lutron Kit PN",Lutron_CFlex_Lookup[#Headers],0),FALSE),"")</f>
        <v/>
      </c>
      <c r="AN273" s="1" t="b">
        <f>NOT(ISNA(VLOOKUP(Master_Reference[[#This Row],[Model Number]],ObsoleteModels[],1,FALSE)))</f>
        <v>1</v>
      </c>
      <c r="AO273" s="1" t="str">
        <f>IF(LEFT(Master_Reference[[#This Row],[Model Number]],1)="U",LEFT(Master_Reference[[#This Row],[Model Number]],4),LEFT(Master_Reference[[#This Row],[Model Number]],3))</f>
        <v>ECO</v>
      </c>
    </row>
    <row r="274" spans="1:41" x14ac:dyDescent="0.25">
      <c r="A274" s="2" t="s">
        <v>549</v>
      </c>
      <c r="B274" s="1"/>
      <c r="C274" s="1" t="b">
        <v>1</v>
      </c>
      <c r="G274" s="1" t="str">
        <f>IF(OR(LEFT(RIGHT(Master_Reference[[#This Row],[Model Number]],3),1)="C",LEFT(RIGHT(Master_Reference[[#This Row],[Model Number]],4),1)="C"),TRUE,"")</f>
        <v/>
      </c>
      <c r="H274" s="1" t="str">
        <f>IF(LEFT(Master_Reference[[#This Row],[Model Number]],1)="U",TRUE,"")</f>
        <v/>
      </c>
      <c r="I274" s="1" t="b">
        <f>IF(Master_Reference[[#This Row],[Lamp Type]]="T4","",IF(Master_Reference[[#This Row],[Case Type]]="M","",TRUE))</f>
        <v>1</v>
      </c>
      <c r="J274" s="1" t="s">
        <v>215</v>
      </c>
      <c r="K274" s="1">
        <v>39</v>
      </c>
      <c r="L274" s="1" t="s">
        <v>216</v>
      </c>
      <c r="M274" s="1">
        <v>1</v>
      </c>
      <c r="N274" s="1">
        <v>120</v>
      </c>
      <c r="O274" s="1" t="s">
        <v>144</v>
      </c>
      <c r="R274" t="b">
        <f>IF(COUNTBLANK(Master_Reference[[#This Row],[C-Flex 3000K Eco Part Number]:[C-Flex 4000K Eco Part Number]])=3,FALSE,TRUE)</f>
        <v>0</v>
      </c>
      <c r="S274" t="b">
        <f>IF(COUNTBLANK(Master_Reference[[#This Row],[C-Flex 3000K 3W Part Number]:[C-Flex 4000K 3W Part Number]])=3,FALSE,TRUE)</f>
        <v>0</v>
      </c>
      <c r="T274" s="1" t="b">
        <f>IF(COUNTBLANK(Master_Reference[[#This Row],[Lutron 3000K Eco Part Number]:[Lutron 4000K Eco Part Number]])=3,FALSE,TRUE)</f>
        <v>0</v>
      </c>
      <c r="U274" s="1" t="b">
        <f>IF(COUNTBLANK(Master_Reference[[#This Row],[Lutron 3000K 3W Part Number]:[Lutron 4000K 3W Part Number]])=3,FALSE,TRUE)</f>
        <v>0</v>
      </c>
      <c r="V274" s="13"/>
      <c r="W274" s="13"/>
      <c r="X274" s="12"/>
      <c r="Y274" t="s">
        <v>2125</v>
      </c>
      <c r="Z274" s="12"/>
      <c r="AA274" s="12"/>
      <c r="AB274" s="12"/>
      <c r="AC274" t="s">
        <v>2125</v>
      </c>
      <c r="AD274" t="str">
        <f>SUBSTITUTE(Master_Reference[[#This Row],[C-Flex 4000K Eco Part Number]],"40-","xx-")</f>
        <v/>
      </c>
      <c r="AE274" t="str">
        <f>SUBSTITUTE(Master_Reference[[#This Row],[C-Flex 4000K 3W Part Number]],"40-","xx-")</f>
        <v/>
      </c>
      <c r="AF274" s="1" t="str">
        <f>_xlfn.IFNA(VLOOKUP(Master_Reference[[#This Row],[C-Flex 3000K Eco Part Number]],Lutron_CFlex_Lookup[],MATCH("Lutron Kit PN",Lutron_CFlex_Lookup[#Headers],0),FALSE),"")</f>
        <v/>
      </c>
      <c r="AG274" s="1" t="str">
        <f>_xlfn.IFNA(VLOOKUP(Master_Reference[[#This Row],[C-Flex 3500K Eco Part Number]],Lutron_CFlex_Lookup[],MATCH("Lutron Kit PN",Lutron_CFlex_Lookup[#Headers],0),FALSE),"")</f>
        <v/>
      </c>
      <c r="AH274" s="1" t="str">
        <f>_xlfn.IFNA(VLOOKUP(Master_Reference[[#This Row],[C-Flex 4000K Eco Part Number]],Lutron_CFlex_Lookup[],MATCH("Lutron Kit PN",Lutron_CFlex_Lookup[#Headers],0),FALSE),"")</f>
        <v/>
      </c>
      <c r="AI274" s="1" t="str">
        <f>_xlfn.IFNA(VLOOKUP(Master_Reference[[#This Row],[C-Flex 5000K Eco Part Number]],Lutron_CFlex_Lookup[],MATCH("Lutron Kit PN",Lutron_CFlex_Lookup[#Headers],0),FALSE),"")</f>
        <v/>
      </c>
      <c r="AJ274" s="1" t="str">
        <f>_xlfn.IFNA(VLOOKUP(Master_Reference[[#This Row],[C-Flex 3000K 3W Part Number]],Lutron_CFlex_Lookup[],MATCH("Lutron Kit PN",Lutron_CFlex_Lookup[#Headers],0),FALSE),"")</f>
        <v/>
      </c>
      <c r="AK274" s="1" t="str">
        <f>_xlfn.IFNA(VLOOKUP(Master_Reference[[#This Row],[C-Flex 3500K 3W Part Number]],Lutron_CFlex_Lookup[],MATCH("Lutron Kit PN",Lutron_CFlex_Lookup[#Headers],0),FALSE),"")</f>
        <v/>
      </c>
      <c r="AL274" s="1" t="str">
        <f>_xlfn.IFNA(VLOOKUP(Master_Reference[[#This Row],[C-Flex 4000K 3W Part Number]],Lutron_CFlex_Lookup[],MATCH("Lutron Kit PN",Lutron_CFlex_Lookup[#Headers],0),FALSE),"")</f>
        <v/>
      </c>
      <c r="AM274" s="1" t="str">
        <f>_xlfn.IFNA(VLOOKUP(Master_Reference[[#This Row],[C-Flex 5000K 3W Part Number]],Lutron_CFlex_Lookup[],MATCH("Lutron Kit PN",Lutron_CFlex_Lookup[#Headers],0),FALSE),"")</f>
        <v/>
      </c>
      <c r="AN274" s="1" t="b">
        <f>NOT(ISNA(VLOOKUP(Master_Reference[[#This Row],[Model Number]],ObsoleteModels[],1,FALSE)))</f>
        <v>1</v>
      </c>
      <c r="AO274" s="1" t="str">
        <f>IF(LEFT(Master_Reference[[#This Row],[Model Number]],1)="U",LEFT(Master_Reference[[#This Row],[Model Number]],4),LEFT(Master_Reference[[#This Row],[Model Number]],3))</f>
        <v>ECO</v>
      </c>
    </row>
    <row r="275" spans="1:41" x14ac:dyDescent="0.25">
      <c r="A275" s="2" t="s">
        <v>550</v>
      </c>
      <c r="B275" s="1"/>
      <c r="C275" s="1" t="b">
        <v>1</v>
      </c>
      <c r="G275" s="1" t="str">
        <f>IF(OR(LEFT(RIGHT(Master_Reference[[#This Row],[Model Number]],3),1)="C",LEFT(RIGHT(Master_Reference[[#This Row],[Model Number]],4),1)="C"),TRUE,"")</f>
        <v/>
      </c>
      <c r="H275" s="1" t="str">
        <f>IF(LEFT(Master_Reference[[#This Row],[Model Number]],1)="U",TRUE,"")</f>
        <v/>
      </c>
      <c r="I275" s="1" t="b">
        <f>IF(Master_Reference[[#This Row],[Lamp Type]]="T4","",IF(Master_Reference[[#This Row],[Case Type]]="M","",TRUE))</f>
        <v>1</v>
      </c>
      <c r="J275" s="1" t="s">
        <v>215</v>
      </c>
      <c r="K275" s="1">
        <v>39</v>
      </c>
      <c r="L275" s="1" t="s">
        <v>216</v>
      </c>
      <c r="M275" s="1">
        <v>1</v>
      </c>
      <c r="N275" s="1">
        <v>120</v>
      </c>
      <c r="O275" s="1" t="s">
        <v>144</v>
      </c>
      <c r="Q275" s="1" t="s">
        <v>91</v>
      </c>
      <c r="R275" t="b">
        <f>IF(COUNTBLANK(Master_Reference[[#This Row],[C-Flex 3000K Eco Part Number]:[C-Flex 4000K Eco Part Number]])=3,FALSE,TRUE)</f>
        <v>0</v>
      </c>
      <c r="S275" t="b">
        <f>IF(COUNTBLANK(Master_Reference[[#This Row],[C-Flex 3000K 3W Part Number]:[C-Flex 4000K 3W Part Number]])=3,FALSE,TRUE)</f>
        <v>0</v>
      </c>
      <c r="T275" s="1" t="b">
        <f>IF(COUNTBLANK(Master_Reference[[#This Row],[Lutron 3000K Eco Part Number]:[Lutron 4000K Eco Part Number]])=3,FALSE,TRUE)</f>
        <v>0</v>
      </c>
      <c r="U275" s="1" t="b">
        <f>IF(COUNTBLANK(Master_Reference[[#This Row],[Lutron 3000K 3W Part Number]:[Lutron 4000K 3W Part Number]])=3,FALSE,TRUE)</f>
        <v>0</v>
      </c>
      <c r="V275" s="13"/>
      <c r="W275" s="13"/>
      <c r="X275" s="12"/>
      <c r="Y275" t="s">
        <v>2125</v>
      </c>
      <c r="Z275" s="12"/>
      <c r="AA275" s="12"/>
      <c r="AB275" s="12"/>
      <c r="AC275" t="s">
        <v>2125</v>
      </c>
      <c r="AD275" t="str">
        <f>SUBSTITUTE(Master_Reference[[#This Row],[C-Flex 4000K Eco Part Number]],"40-","xx-")</f>
        <v/>
      </c>
      <c r="AE275" t="str">
        <f>SUBSTITUTE(Master_Reference[[#This Row],[C-Flex 4000K 3W Part Number]],"40-","xx-")</f>
        <v/>
      </c>
      <c r="AF275" s="1" t="str">
        <f>_xlfn.IFNA(VLOOKUP(Master_Reference[[#This Row],[C-Flex 3000K Eco Part Number]],Lutron_CFlex_Lookup[],MATCH("Lutron Kit PN",Lutron_CFlex_Lookup[#Headers],0),FALSE),"")</f>
        <v/>
      </c>
      <c r="AG275" s="1" t="str">
        <f>_xlfn.IFNA(VLOOKUP(Master_Reference[[#This Row],[C-Flex 3500K Eco Part Number]],Lutron_CFlex_Lookup[],MATCH("Lutron Kit PN",Lutron_CFlex_Lookup[#Headers],0),FALSE),"")</f>
        <v/>
      </c>
      <c r="AH275" s="1" t="str">
        <f>_xlfn.IFNA(VLOOKUP(Master_Reference[[#This Row],[C-Flex 4000K Eco Part Number]],Lutron_CFlex_Lookup[],MATCH("Lutron Kit PN",Lutron_CFlex_Lookup[#Headers],0),FALSE),"")</f>
        <v/>
      </c>
      <c r="AI275" s="1" t="str">
        <f>_xlfn.IFNA(VLOOKUP(Master_Reference[[#This Row],[C-Flex 5000K Eco Part Number]],Lutron_CFlex_Lookup[],MATCH("Lutron Kit PN",Lutron_CFlex_Lookup[#Headers],0),FALSE),"")</f>
        <v/>
      </c>
      <c r="AJ275" s="1" t="str">
        <f>_xlfn.IFNA(VLOOKUP(Master_Reference[[#This Row],[C-Flex 3000K 3W Part Number]],Lutron_CFlex_Lookup[],MATCH("Lutron Kit PN",Lutron_CFlex_Lookup[#Headers],0),FALSE),"")</f>
        <v/>
      </c>
      <c r="AK275" s="1" t="str">
        <f>_xlfn.IFNA(VLOOKUP(Master_Reference[[#This Row],[C-Flex 3500K 3W Part Number]],Lutron_CFlex_Lookup[],MATCH("Lutron Kit PN",Lutron_CFlex_Lookup[#Headers],0),FALSE),"")</f>
        <v/>
      </c>
      <c r="AL275" s="1" t="str">
        <f>_xlfn.IFNA(VLOOKUP(Master_Reference[[#This Row],[C-Flex 4000K 3W Part Number]],Lutron_CFlex_Lookup[],MATCH("Lutron Kit PN",Lutron_CFlex_Lookup[#Headers],0),FALSE),"")</f>
        <v/>
      </c>
      <c r="AM275" s="1" t="str">
        <f>_xlfn.IFNA(VLOOKUP(Master_Reference[[#This Row],[C-Flex 5000K 3W Part Number]],Lutron_CFlex_Lookup[],MATCH("Lutron Kit PN",Lutron_CFlex_Lookup[#Headers],0),FALSE),"")</f>
        <v/>
      </c>
      <c r="AN275" s="1" t="b">
        <f>NOT(ISNA(VLOOKUP(Master_Reference[[#This Row],[Model Number]],ObsoleteModels[],1,FALSE)))</f>
        <v>1</v>
      </c>
      <c r="AO275" s="1" t="str">
        <f>IF(LEFT(Master_Reference[[#This Row],[Model Number]],1)="U",LEFT(Master_Reference[[#This Row],[Model Number]],4),LEFT(Master_Reference[[#This Row],[Model Number]],3))</f>
        <v>ECO</v>
      </c>
    </row>
    <row r="276" spans="1:41" x14ac:dyDescent="0.25">
      <c r="A276" s="2" t="s">
        <v>551</v>
      </c>
      <c r="B276" s="1"/>
      <c r="C276" s="1" t="b">
        <v>1</v>
      </c>
      <c r="G276" s="1" t="str">
        <f>IF(OR(LEFT(RIGHT(Master_Reference[[#This Row],[Model Number]],3),1)="C",LEFT(RIGHT(Master_Reference[[#This Row],[Model Number]],4),1)="C"),TRUE,"")</f>
        <v/>
      </c>
      <c r="H276" s="1" t="str">
        <f>IF(LEFT(Master_Reference[[#This Row],[Model Number]],1)="U",TRUE,"")</f>
        <v/>
      </c>
      <c r="I276" s="1" t="b">
        <f>IF(Master_Reference[[#This Row],[Lamp Type]]="T4","",IF(Master_Reference[[#This Row],[Case Type]]="M","",TRUE))</f>
        <v>1</v>
      </c>
      <c r="J276" s="1" t="s">
        <v>215</v>
      </c>
      <c r="K276" s="1">
        <v>39</v>
      </c>
      <c r="L276" s="1" t="s">
        <v>216</v>
      </c>
      <c r="M276" s="1">
        <v>2</v>
      </c>
      <c r="N276" s="1">
        <v>120</v>
      </c>
      <c r="O276" s="1" t="s">
        <v>144</v>
      </c>
      <c r="R276" t="b">
        <f>IF(COUNTBLANK(Master_Reference[[#This Row],[C-Flex 3000K Eco Part Number]:[C-Flex 4000K Eco Part Number]])=3,FALSE,TRUE)</f>
        <v>0</v>
      </c>
      <c r="S276" t="b">
        <f>IF(COUNTBLANK(Master_Reference[[#This Row],[C-Flex 3000K 3W Part Number]:[C-Flex 4000K 3W Part Number]])=3,FALSE,TRUE)</f>
        <v>0</v>
      </c>
      <c r="T276" s="1" t="b">
        <f>IF(COUNTBLANK(Master_Reference[[#This Row],[Lutron 3000K Eco Part Number]:[Lutron 4000K Eco Part Number]])=3,FALSE,TRUE)</f>
        <v>0</v>
      </c>
      <c r="U276" s="1" t="b">
        <f>IF(COUNTBLANK(Master_Reference[[#This Row],[Lutron 3000K 3W Part Number]:[Lutron 4000K 3W Part Number]])=3,FALSE,TRUE)</f>
        <v>0</v>
      </c>
      <c r="V276" s="13"/>
      <c r="W276" s="13"/>
      <c r="X276" s="12"/>
      <c r="Y276" t="s">
        <v>2125</v>
      </c>
      <c r="Z276" s="12"/>
      <c r="AA276" s="12"/>
      <c r="AB276" s="12"/>
      <c r="AC276" t="s">
        <v>2125</v>
      </c>
      <c r="AD276" t="str">
        <f>SUBSTITUTE(Master_Reference[[#This Row],[C-Flex 4000K Eco Part Number]],"40-","xx-")</f>
        <v/>
      </c>
      <c r="AE276" t="str">
        <f>SUBSTITUTE(Master_Reference[[#This Row],[C-Flex 4000K 3W Part Number]],"40-","xx-")</f>
        <v/>
      </c>
      <c r="AF276" s="1" t="str">
        <f>_xlfn.IFNA(VLOOKUP(Master_Reference[[#This Row],[C-Flex 3000K Eco Part Number]],Lutron_CFlex_Lookup[],MATCH("Lutron Kit PN",Lutron_CFlex_Lookup[#Headers],0),FALSE),"")</f>
        <v/>
      </c>
      <c r="AG276" s="1" t="str">
        <f>_xlfn.IFNA(VLOOKUP(Master_Reference[[#This Row],[C-Flex 3500K Eco Part Number]],Lutron_CFlex_Lookup[],MATCH("Lutron Kit PN",Lutron_CFlex_Lookup[#Headers],0),FALSE),"")</f>
        <v/>
      </c>
      <c r="AH276" s="1" t="str">
        <f>_xlfn.IFNA(VLOOKUP(Master_Reference[[#This Row],[C-Flex 4000K Eco Part Number]],Lutron_CFlex_Lookup[],MATCH("Lutron Kit PN",Lutron_CFlex_Lookup[#Headers],0),FALSE),"")</f>
        <v/>
      </c>
      <c r="AI276" s="1" t="str">
        <f>_xlfn.IFNA(VLOOKUP(Master_Reference[[#This Row],[C-Flex 5000K Eco Part Number]],Lutron_CFlex_Lookup[],MATCH("Lutron Kit PN",Lutron_CFlex_Lookup[#Headers],0),FALSE),"")</f>
        <v/>
      </c>
      <c r="AJ276" s="1" t="str">
        <f>_xlfn.IFNA(VLOOKUP(Master_Reference[[#This Row],[C-Flex 3000K 3W Part Number]],Lutron_CFlex_Lookup[],MATCH("Lutron Kit PN",Lutron_CFlex_Lookup[#Headers],0),FALSE),"")</f>
        <v/>
      </c>
      <c r="AK276" s="1" t="str">
        <f>_xlfn.IFNA(VLOOKUP(Master_Reference[[#This Row],[C-Flex 3500K 3W Part Number]],Lutron_CFlex_Lookup[],MATCH("Lutron Kit PN",Lutron_CFlex_Lookup[#Headers],0),FALSE),"")</f>
        <v/>
      </c>
      <c r="AL276" s="1" t="str">
        <f>_xlfn.IFNA(VLOOKUP(Master_Reference[[#This Row],[C-Flex 4000K 3W Part Number]],Lutron_CFlex_Lookup[],MATCH("Lutron Kit PN",Lutron_CFlex_Lookup[#Headers],0),FALSE),"")</f>
        <v/>
      </c>
      <c r="AM276" s="1" t="str">
        <f>_xlfn.IFNA(VLOOKUP(Master_Reference[[#This Row],[C-Flex 5000K 3W Part Number]],Lutron_CFlex_Lookup[],MATCH("Lutron Kit PN",Lutron_CFlex_Lookup[#Headers],0),FALSE),"")</f>
        <v/>
      </c>
      <c r="AN276" s="1" t="b">
        <f>NOT(ISNA(VLOOKUP(Master_Reference[[#This Row],[Model Number]],ObsoleteModels[],1,FALSE)))</f>
        <v>1</v>
      </c>
      <c r="AO276" s="1" t="str">
        <f>IF(LEFT(Master_Reference[[#This Row],[Model Number]],1)="U",LEFT(Master_Reference[[#This Row],[Model Number]],4),LEFT(Master_Reference[[#This Row],[Model Number]],3))</f>
        <v>ECO</v>
      </c>
    </row>
    <row r="277" spans="1:41" x14ac:dyDescent="0.25">
      <c r="A277" s="2" t="s">
        <v>552</v>
      </c>
      <c r="B277" s="1"/>
      <c r="C277" s="1" t="b">
        <v>1</v>
      </c>
      <c r="G277" s="1" t="str">
        <f>IF(OR(LEFT(RIGHT(Master_Reference[[#This Row],[Model Number]],3),1)="C",LEFT(RIGHT(Master_Reference[[#This Row],[Model Number]],4),1)="C"),TRUE,"")</f>
        <v/>
      </c>
      <c r="H277" s="1" t="str">
        <f>IF(LEFT(Master_Reference[[#This Row],[Model Number]],1)="U",TRUE,"")</f>
        <v/>
      </c>
      <c r="I277" s="1" t="b">
        <f>IF(Master_Reference[[#This Row],[Lamp Type]]="T4","",IF(Master_Reference[[#This Row],[Case Type]]="M","",TRUE))</f>
        <v>1</v>
      </c>
      <c r="J277" s="1" t="s">
        <v>215</v>
      </c>
      <c r="K277" s="1">
        <v>39</v>
      </c>
      <c r="L277" s="1" t="s">
        <v>216</v>
      </c>
      <c r="M277" s="1">
        <v>2</v>
      </c>
      <c r="N277" s="1">
        <v>120</v>
      </c>
      <c r="O277" s="1" t="s">
        <v>144</v>
      </c>
      <c r="Q277" s="1" t="s">
        <v>91</v>
      </c>
      <c r="R277" t="b">
        <f>IF(COUNTBLANK(Master_Reference[[#This Row],[C-Flex 3000K Eco Part Number]:[C-Flex 4000K Eco Part Number]])=3,FALSE,TRUE)</f>
        <v>0</v>
      </c>
      <c r="S277" t="b">
        <f>IF(COUNTBLANK(Master_Reference[[#This Row],[C-Flex 3000K 3W Part Number]:[C-Flex 4000K 3W Part Number]])=3,FALSE,TRUE)</f>
        <v>0</v>
      </c>
      <c r="T277" s="1" t="b">
        <f>IF(COUNTBLANK(Master_Reference[[#This Row],[Lutron 3000K Eco Part Number]:[Lutron 4000K Eco Part Number]])=3,FALSE,TRUE)</f>
        <v>0</v>
      </c>
      <c r="U277" s="1" t="b">
        <f>IF(COUNTBLANK(Master_Reference[[#This Row],[Lutron 3000K 3W Part Number]:[Lutron 4000K 3W Part Number]])=3,FALSE,TRUE)</f>
        <v>0</v>
      </c>
      <c r="V277" s="13"/>
      <c r="W277" s="13"/>
      <c r="X277" s="12"/>
      <c r="Y277" t="s">
        <v>2125</v>
      </c>
      <c r="Z277" s="12"/>
      <c r="AA277" s="12"/>
      <c r="AB277" s="12"/>
      <c r="AC277" t="s">
        <v>2125</v>
      </c>
      <c r="AD277" t="str">
        <f>SUBSTITUTE(Master_Reference[[#This Row],[C-Flex 4000K Eco Part Number]],"40-","xx-")</f>
        <v/>
      </c>
      <c r="AE277" t="str">
        <f>SUBSTITUTE(Master_Reference[[#This Row],[C-Flex 4000K 3W Part Number]],"40-","xx-")</f>
        <v/>
      </c>
      <c r="AF277" s="1" t="str">
        <f>_xlfn.IFNA(VLOOKUP(Master_Reference[[#This Row],[C-Flex 3000K Eco Part Number]],Lutron_CFlex_Lookup[],MATCH("Lutron Kit PN",Lutron_CFlex_Lookup[#Headers],0),FALSE),"")</f>
        <v/>
      </c>
      <c r="AG277" s="1" t="str">
        <f>_xlfn.IFNA(VLOOKUP(Master_Reference[[#This Row],[C-Flex 3500K Eco Part Number]],Lutron_CFlex_Lookup[],MATCH("Lutron Kit PN",Lutron_CFlex_Lookup[#Headers],0),FALSE),"")</f>
        <v/>
      </c>
      <c r="AH277" s="1" t="str">
        <f>_xlfn.IFNA(VLOOKUP(Master_Reference[[#This Row],[C-Flex 4000K Eco Part Number]],Lutron_CFlex_Lookup[],MATCH("Lutron Kit PN",Lutron_CFlex_Lookup[#Headers],0),FALSE),"")</f>
        <v/>
      </c>
      <c r="AI277" s="1" t="str">
        <f>_xlfn.IFNA(VLOOKUP(Master_Reference[[#This Row],[C-Flex 5000K Eco Part Number]],Lutron_CFlex_Lookup[],MATCH("Lutron Kit PN",Lutron_CFlex_Lookup[#Headers],0),FALSE),"")</f>
        <v/>
      </c>
      <c r="AJ277" s="1" t="str">
        <f>_xlfn.IFNA(VLOOKUP(Master_Reference[[#This Row],[C-Flex 3000K 3W Part Number]],Lutron_CFlex_Lookup[],MATCH("Lutron Kit PN",Lutron_CFlex_Lookup[#Headers],0),FALSE),"")</f>
        <v/>
      </c>
      <c r="AK277" s="1" t="str">
        <f>_xlfn.IFNA(VLOOKUP(Master_Reference[[#This Row],[C-Flex 3500K 3W Part Number]],Lutron_CFlex_Lookup[],MATCH("Lutron Kit PN",Lutron_CFlex_Lookup[#Headers],0),FALSE),"")</f>
        <v/>
      </c>
      <c r="AL277" s="1" t="str">
        <f>_xlfn.IFNA(VLOOKUP(Master_Reference[[#This Row],[C-Flex 4000K 3W Part Number]],Lutron_CFlex_Lookup[],MATCH("Lutron Kit PN",Lutron_CFlex_Lookup[#Headers],0),FALSE),"")</f>
        <v/>
      </c>
      <c r="AM277" s="1" t="str">
        <f>_xlfn.IFNA(VLOOKUP(Master_Reference[[#This Row],[C-Flex 5000K 3W Part Number]],Lutron_CFlex_Lookup[],MATCH("Lutron Kit PN",Lutron_CFlex_Lookup[#Headers],0),FALSE),"")</f>
        <v/>
      </c>
      <c r="AN277" s="1" t="b">
        <f>NOT(ISNA(VLOOKUP(Master_Reference[[#This Row],[Model Number]],ObsoleteModels[],1,FALSE)))</f>
        <v>1</v>
      </c>
      <c r="AO277" s="1" t="str">
        <f>IF(LEFT(Master_Reference[[#This Row],[Model Number]],1)="U",LEFT(Master_Reference[[#This Row],[Model Number]],4),LEFT(Master_Reference[[#This Row],[Model Number]],3))</f>
        <v>ECO</v>
      </c>
    </row>
    <row r="278" spans="1:41" x14ac:dyDescent="0.25">
      <c r="A278" s="2" t="s">
        <v>553</v>
      </c>
      <c r="B278" s="1"/>
      <c r="C278" s="1" t="b">
        <v>1</v>
      </c>
      <c r="G278" s="1" t="str">
        <f>IF(OR(LEFT(RIGHT(Master_Reference[[#This Row],[Model Number]],3),1)="C",LEFT(RIGHT(Master_Reference[[#This Row],[Model Number]],4),1)="C"),TRUE,"")</f>
        <v/>
      </c>
      <c r="H278" s="1" t="str">
        <f>IF(LEFT(Master_Reference[[#This Row],[Model Number]],1)="U",TRUE,"")</f>
        <v/>
      </c>
      <c r="I278" s="1" t="b">
        <f>IF(Master_Reference[[#This Row],[Lamp Type]]="T4","",IF(Master_Reference[[#This Row],[Case Type]]="M","",TRUE))</f>
        <v>1</v>
      </c>
      <c r="J278" s="1" t="s">
        <v>215</v>
      </c>
      <c r="K278" s="1">
        <v>39</v>
      </c>
      <c r="L278" s="1" t="s">
        <v>216</v>
      </c>
      <c r="M278" s="1">
        <v>3</v>
      </c>
      <c r="N278" s="1">
        <v>120</v>
      </c>
      <c r="O278" s="1" t="s">
        <v>144</v>
      </c>
      <c r="R278" t="b">
        <f>IF(COUNTBLANK(Master_Reference[[#This Row],[C-Flex 3000K Eco Part Number]:[C-Flex 4000K Eco Part Number]])=3,FALSE,TRUE)</f>
        <v>0</v>
      </c>
      <c r="S278" t="b">
        <f>IF(COUNTBLANK(Master_Reference[[#This Row],[C-Flex 3000K 3W Part Number]:[C-Flex 4000K 3W Part Number]])=3,FALSE,TRUE)</f>
        <v>0</v>
      </c>
      <c r="T278" s="1" t="b">
        <f>IF(COUNTBLANK(Master_Reference[[#This Row],[Lutron 3000K Eco Part Number]:[Lutron 4000K Eco Part Number]])=3,FALSE,TRUE)</f>
        <v>0</v>
      </c>
      <c r="U278" s="1" t="b">
        <f>IF(COUNTBLANK(Master_Reference[[#This Row],[Lutron 3000K 3W Part Number]:[Lutron 4000K 3W Part Number]])=3,FALSE,TRUE)</f>
        <v>0</v>
      </c>
      <c r="V278" s="13"/>
      <c r="W278" s="13"/>
      <c r="X278" s="12"/>
      <c r="Y278" t="s">
        <v>2125</v>
      </c>
      <c r="Z278" s="12"/>
      <c r="AA278" s="12"/>
      <c r="AB278" s="12"/>
      <c r="AC278" t="s">
        <v>2125</v>
      </c>
      <c r="AD278" t="str">
        <f>SUBSTITUTE(Master_Reference[[#This Row],[C-Flex 4000K Eco Part Number]],"40-","xx-")</f>
        <v/>
      </c>
      <c r="AE278" t="str">
        <f>SUBSTITUTE(Master_Reference[[#This Row],[C-Flex 4000K 3W Part Number]],"40-","xx-")</f>
        <v/>
      </c>
      <c r="AF278" s="1" t="str">
        <f>_xlfn.IFNA(VLOOKUP(Master_Reference[[#This Row],[C-Flex 3000K Eco Part Number]],Lutron_CFlex_Lookup[],MATCH("Lutron Kit PN",Lutron_CFlex_Lookup[#Headers],0),FALSE),"")</f>
        <v/>
      </c>
      <c r="AG278" s="1" t="str">
        <f>_xlfn.IFNA(VLOOKUP(Master_Reference[[#This Row],[C-Flex 3500K Eco Part Number]],Lutron_CFlex_Lookup[],MATCH("Lutron Kit PN",Lutron_CFlex_Lookup[#Headers],0),FALSE),"")</f>
        <v/>
      </c>
      <c r="AH278" s="1" t="str">
        <f>_xlfn.IFNA(VLOOKUP(Master_Reference[[#This Row],[C-Flex 4000K Eco Part Number]],Lutron_CFlex_Lookup[],MATCH("Lutron Kit PN",Lutron_CFlex_Lookup[#Headers],0),FALSE),"")</f>
        <v/>
      </c>
      <c r="AI278" s="1" t="str">
        <f>_xlfn.IFNA(VLOOKUP(Master_Reference[[#This Row],[C-Flex 5000K Eco Part Number]],Lutron_CFlex_Lookup[],MATCH("Lutron Kit PN",Lutron_CFlex_Lookup[#Headers],0),FALSE),"")</f>
        <v/>
      </c>
      <c r="AJ278" s="1" t="str">
        <f>_xlfn.IFNA(VLOOKUP(Master_Reference[[#This Row],[C-Flex 3000K 3W Part Number]],Lutron_CFlex_Lookup[],MATCH("Lutron Kit PN",Lutron_CFlex_Lookup[#Headers],0),FALSE),"")</f>
        <v/>
      </c>
      <c r="AK278" s="1" t="str">
        <f>_xlfn.IFNA(VLOOKUP(Master_Reference[[#This Row],[C-Flex 3500K 3W Part Number]],Lutron_CFlex_Lookup[],MATCH("Lutron Kit PN",Lutron_CFlex_Lookup[#Headers],0),FALSE),"")</f>
        <v/>
      </c>
      <c r="AL278" s="1" t="str">
        <f>_xlfn.IFNA(VLOOKUP(Master_Reference[[#This Row],[C-Flex 4000K 3W Part Number]],Lutron_CFlex_Lookup[],MATCH("Lutron Kit PN",Lutron_CFlex_Lookup[#Headers],0),FALSE),"")</f>
        <v/>
      </c>
      <c r="AM278" s="1" t="str">
        <f>_xlfn.IFNA(VLOOKUP(Master_Reference[[#This Row],[C-Flex 5000K 3W Part Number]],Lutron_CFlex_Lookup[],MATCH("Lutron Kit PN",Lutron_CFlex_Lookup[#Headers],0),FALSE),"")</f>
        <v/>
      </c>
      <c r="AN278" s="1" t="b">
        <f>NOT(ISNA(VLOOKUP(Master_Reference[[#This Row],[Model Number]],ObsoleteModels[],1,FALSE)))</f>
        <v>1</v>
      </c>
      <c r="AO278" s="1" t="str">
        <f>IF(LEFT(Master_Reference[[#This Row],[Model Number]],1)="U",LEFT(Master_Reference[[#This Row],[Model Number]],4),LEFT(Master_Reference[[#This Row],[Model Number]],3))</f>
        <v>ECO</v>
      </c>
    </row>
    <row r="279" spans="1:41" x14ac:dyDescent="0.25">
      <c r="A279" s="2" t="s">
        <v>554</v>
      </c>
      <c r="B279" s="1"/>
      <c r="C279" s="1" t="b">
        <v>1</v>
      </c>
      <c r="G279" s="1" t="str">
        <f>IF(OR(LEFT(RIGHT(Master_Reference[[#This Row],[Model Number]],3),1)="C",LEFT(RIGHT(Master_Reference[[#This Row],[Model Number]],4),1)="C"),TRUE,"")</f>
        <v/>
      </c>
      <c r="H279" s="1" t="str">
        <f>IF(LEFT(Master_Reference[[#This Row],[Model Number]],1)="U",TRUE,"")</f>
        <v/>
      </c>
      <c r="I279" s="1" t="b">
        <f>IF(Master_Reference[[#This Row],[Lamp Type]]="T4","",IF(Master_Reference[[#This Row],[Case Type]]="M","",TRUE))</f>
        <v>1</v>
      </c>
      <c r="J279" s="1" t="s">
        <v>215</v>
      </c>
      <c r="K279" s="1">
        <v>39</v>
      </c>
      <c r="L279" s="1" t="s">
        <v>216</v>
      </c>
      <c r="M279" s="1">
        <v>1</v>
      </c>
      <c r="N279" s="1">
        <v>277</v>
      </c>
      <c r="O279" s="1" t="s">
        <v>144</v>
      </c>
      <c r="R279" t="b">
        <f>IF(COUNTBLANK(Master_Reference[[#This Row],[C-Flex 3000K Eco Part Number]:[C-Flex 4000K Eco Part Number]])=3,FALSE,TRUE)</f>
        <v>0</v>
      </c>
      <c r="S279" t="b">
        <f>IF(COUNTBLANK(Master_Reference[[#This Row],[C-Flex 3000K 3W Part Number]:[C-Flex 4000K 3W Part Number]])=3,FALSE,TRUE)</f>
        <v>0</v>
      </c>
      <c r="T279" s="1" t="b">
        <f>IF(COUNTBLANK(Master_Reference[[#This Row],[Lutron 3000K Eco Part Number]:[Lutron 4000K Eco Part Number]])=3,FALSE,TRUE)</f>
        <v>0</v>
      </c>
      <c r="U279" s="1" t="b">
        <f>IF(COUNTBLANK(Master_Reference[[#This Row],[Lutron 3000K 3W Part Number]:[Lutron 4000K 3W Part Number]])=3,FALSE,TRUE)</f>
        <v>0</v>
      </c>
      <c r="V279" s="13"/>
      <c r="W279" s="13"/>
      <c r="X279" s="12"/>
      <c r="Y279" t="s">
        <v>2125</v>
      </c>
      <c r="Z279" s="12"/>
      <c r="AA279" s="12"/>
      <c r="AB279" s="12"/>
      <c r="AC279" t="s">
        <v>2125</v>
      </c>
      <c r="AD279" t="str">
        <f>SUBSTITUTE(Master_Reference[[#This Row],[C-Flex 4000K Eco Part Number]],"40-","xx-")</f>
        <v/>
      </c>
      <c r="AE279" t="str">
        <f>SUBSTITUTE(Master_Reference[[#This Row],[C-Flex 4000K 3W Part Number]],"40-","xx-")</f>
        <v/>
      </c>
      <c r="AF279" s="1" t="str">
        <f>_xlfn.IFNA(VLOOKUP(Master_Reference[[#This Row],[C-Flex 3000K Eco Part Number]],Lutron_CFlex_Lookup[],MATCH("Lutron Kit PN",Lutron_CFlex_Lookup[#Headers],0),FALSE),"")</f>
        <v/>
      </c>
      <c r="AG279" s="1" t="str">
        <f>_xlfn.IFNA(VLOOKUP(Master_Reference[[#This Row],[C-Flex 3500K Eco Part Number]],Lutron_CFlex_Lookup[],MATCH("Lutron Kit PN",Lutron_CFlex_Lookup[#Headers],0),FALSE),"")</f>
        <v/>
      </c>
      <c r="AH279" s="1" t="str">
        <f>_xlfn.IFNA(VLOOKUP(Master_Reference[[#This Row],[C-Flex 4000K Eco Part Number]],Lutron_CFlex_Lookup[],MATCH("Lutron Kit PN",Lutron_CFlex_Lookup[#Headers],0),FALSE),"")</f>
        <v/>
      </c>
      <c r="AI279" s="1" t="str">
        <f>_xlfn.IFNA(VLOOKUP(Master_Reference[[#This Row],[C-Flex 5000K Eco Part Number]],Lutron_CFlex_Lookup[],MATCH("Lutron Kit PN",Lutron_CFlex_Lookup[#Headers],0),FALSE),"")</f>
        <v/>
      </c>
      <c r="AJ279" s="1" t="str">
        <f>_xlfn.IFNA(VLOOKUP(Master_Reference[[#This Row],[C-Flex 3000K 3W Part Number]],Lutron_CFlex_Lookup[],MATCH("Lutron Kit PN",Lutron_CFlex_Lookup[#Headers],0),FALSE),"")</f>
        <v/>
      </c>
      <c r="AK279" s="1" t="str">
        <f>_xlfn.IFNA(VLOOKUP(Master_Reference[[#This Row],[C-Flex 3500K 3W Part Number]],Lutron_CFlex_Lookup[],MATCH("Lutron Kit PN",Lutron_CFlex_Lookup[#Headers],0),FALSE),"")</f>
        <v/>
      </c>
      <c r="AL279" s="1" t="str">
        <f>_xlfn.IFNA(VLOOKUP(Master_Reference[[#This Row],[C-Flex 4000K 3W Part Number]],Lutron_CFlex_Lookup[],MATCH("Lutron Kit PN",Lutron_CFlex_Lookup[#Headers],0),FALSE),"")</f>
        <v/>
      </c>
      <c r="AM279" s="1" t="str">
        <f>_xlfn.IFNA(VLOOKUP(Master_Reference[[#This Row],[C-Flex 5000K 3W Part Number]],Lutron_CFlex_Lookup[],MATCH("Lutron Kit PN",Lutron_CFlex_Lookup[#Headers],0),FALSE),"")</f>
        <v/>
      </c>
      <c r="AN279" s="1" t="b">
        <f>NOT(ISNA(VLOOKUP(Master_Reference[[#This Row],[Model Number]],ObsoleteModels[],1,FALSE)))</f>
        <v>1</v>
      </c>
      <c r="AO279" s="1" t="str">
        <f>IF(LEFT(Master_Reference[[#This Row],[Model Number]],1)="U",LEFT(Master_Reference[[#This Row],[Model Number]],4),LEFT(Master_Reference[[#This Row],[Model Number]],3))</f>
        <v>ECO</v>
      </c>
    </row>
    <row r="280" spans="1:41" x14ac:dyDescent="0.25">
      <c r="A280" s="2" t="s">
        <v>555</v>
      </c>
      <c r="B280" s="1"/>
      <c r="C280" s="1" t="b">
        <v>1</v>
      </c>
      <c r="G280" s="1" t="str">
        <f>IF(OR(LEFT(RIGHT(Master_Reference[[#This Row],[Model Number]],3),1)="C",LEFT(RIGHT(Master_Reference[[#This Row],[Model Number]],4),1)="C"),TRUE,"")</f>
        <v/>
      </c>
      <c r="H280" s="1" t="str">
        <f>IF(LEFT(Master_Reference[[#This Row],[Model Number]],1)="U",TRUE,"")</f>
        <v/>
      </c>
      <c r="I280" s="1" t="b">
        <f>IF(Master_Reference[[#This Row],[Lamp Type]]="T4","",IF(Master_Reference[[#This Row],[Case Type]]="M","",TRUE))</f>
        <v>1</v>
      </c>
      <c r="J280" s="1" t="s">
        <v>215</v>
      </c>
      <c r="K280" s="1">
        <v>39</v>
      </c>
      <c r="L280" s="1" t="s">
        <v>216</v>
      </c>
      <c r="M280" s="1">
        <v>2</v>
      </c>
      <c r="N280" s="1">
        <v>277</v>
      </c>
      <c r="O280" s="1" t="s">
        <v>144</v>
      </c>
      <c r="R280" t="b">
        <f>IF(COUNTBLANK(Master_Reference[[#This Row],[C-Flex 3000K Eco Part Number]:[C-Flex 4000K Eco Part Number]])=3,FALSE,TRUE)</f>
        <v>0</v>
      </c>
      <c r="S280" t="b">
        <f>IF(COUNTBLANK(Master_Reference[[#This Row],[C-Flex 3000K 3W Part Number]:[C-Flex 4000K 3W Part Number]])=3,FALSE,TRUE)</f>
        <v>0</v>
      </c>
      <c r="T280" s="1" t="b">
        <f>IF(COUNTBLANK(Master_Reference[[#This Row],[Lutron 3000K Eco Part Number]:[Lutron 4000K Eco Part Number]])=3,FALSE,TRUE)</f>
        <v>0</v>
      </c>
      <c r="U280" s="1" t="b">
        <f>IF(COUNTBLANK(Master_Reference[[#This Row],[Lutron 3000K 3W Part Number]:[Lutron 4000K 3W Part Number]])=3,FALSE,TRUE)</f>
        <v>0</v>
      </c>
      <c r="V280" s="13"/>
      <c r="W280" s="13"/>
      <c r="X280" s="12"/>
      <c r="Y280" t="s">
        <v>2125</v>
      </c>
      <c r="Z280" s="12"/>
      <c r="AA280" s="12"/>
      <c r="AB280" s="12"/>
      <c r="AC280" t="s">
        <v>2125</v>
      </c>
      <c r="AD280" t="str">
        <f>SUBSTITUTE(Master_Reference[[#This Row],[C-Flex 4000K Eco Part Number]],"40-","xx-")</f>
        <v/>
      </c>
      <c r="AE280" t="str">
        <f>SUBSTITUTE(Master_Reference[[#This Row],[C-Flex 4000K 3W Part Number]],"40-","xx-")</f>
        <v/>
      </c>
      <c r="AF280" s="1" t="str">
        <f>_xlfn.IFNA(VLOOKUP(Master_Reference[[#This Row],[C-Flex 3000K Eco Part Number]],Lutron_CFlex_Lookup[],MATCH("Lutron Kit PN",Lutron_CFlex_Lookup[#Headers],0),FALSE),"")</f>
        <v/>
      </c>
      <c r="AG280" s="1" t="str">
        <f>_xlfn.IFNA(VLOOKUP(Master_Reference[[#This Row],[C-Flex 3500K Eco Part Number]],Lutron_CFlex_Lookup[],MATCH("Lutron Kit PN",Lutron_CFlex_Lookup[#Headers],0),FALSE),"")</f>
        <v/>
      </c>
      <c r="AH280" s="1" t="str">
        <f>_xlfn.IFNA(VLOOKUP(Master_Reference[[#This Row],[C-Flex 4000K Eco Part Number]],Lutron_CFlex_Lookup[],MATCH("Lutron Kit PN",Lutron_CFlex_Lookup[#Headers],0),FALSE),"")</f>
        <v/>
      </c>
      <c r="AI280" s="1" t="str">
        <f>_xlfn.IFNA(VLOOKUP(Master_Reference[[#This Row],[C-Flex 5000K Eco Part Number]],Lutron_CFlex_Lookup[],MATCH("Lutron Kit PN",Lutron_CFlex_Lookup[#Headers],0),FALSE),"")</f>
        <v/>
      </c>
      <c r="AJ280" s="1" t="str">
        <f>_xlfn.IFNA(VLOOKUP(Master_Reference[[#This Row],[C-Flex 3000K 3W Part Number]],Lutron_CFlex_Lookup[],MATCH("Lutron Kit PN",Lutron_CFlex_Lookup[#Headers],0),FALSE),"")</f>
        <v/>
      </c>
      <c r="AK280" s="1" t="str">
        <f>_xlfn.IFNA(VLOOKUP(Master_Reference[[#This Row],[C-Flex 3500K 3W Part Number]],Lutron_CFlex_Lookup[],MATCH("Lutron Kit PN",Lutron_CFlex_Lookup[#Headers],0),FALSE),"")</f>
        <v/>
      </c>
      <c r="AL280" s="1" t="str">
        <f>_xlfn.IFNA(VLOOKUP(Master_Reference[[#This Row],[C-Flex 4000K 3W Part Number]],Lutron_CFlex_Lookup[],MATCH("Lutron Kit PN",Lutron_CFlex_Lookup[#Headers],0),FALSE),"")</f>
        <v/>
      </c>
      <c r="AM280" s="1" t="str">
        <f>_xlfn.IFNA(VLOOKUP(Master_Reference[[#This Row],[C-Flex 5000K 3W Part Number]],Lutron_CFlex_Lookup[],MATCH("Lutron Kit PN",Lutron_CFlex_Lookup[#Headers],0),FALSE),"")</f>
        <v/>
      </c>
      <c r="AN280" s="1" t="b">
        <f>NOT(ISNA(VLOOKUP(Master_Reference[[#This Row],[Model Number]],ObsoleteModels[],1,FALSE)))</f>
        <v>1</v>
      </c>
      <c r="AO280" s="1" t="str">
        <f>IF(LEFT(Master_Reference[[#This Row],[Model Number]],1)="U",LEFT(Master_Reference[[#This Row],[Model Number]],4),LEFT(Master_Reference[[#This Row],[Model Number]],3))</f>
        <v>ECO</v>
      </c>
    </row>
    <row r="281" spans="1:41" x14ac:dyDescent="0.25">
      <c r="A281" s="2" t="s">
        <v>556</v>
      </c>
      <c r="B281" s="1"/>
      <c r="C281" s="1" t="b">
        <v>1</v>
      </c>
      <c r="G281" s="1" t="str">
        <f>IF(OR(LEFT(RIGHT(Master_Reference[[#This Row],[Model Number]],3),1)="C",LEFT(RIGHT(Master_Reference[[#This Row],[Model Number]],4),1)="C"),TRUE,"")</f>
        <v/>
      </c>
      <c r="H281" s="1" t="str">
        <f>IF(LEFT(Master_Reference[[#This Row],[Model Number]],1)="U",TRUE,"")</f>
        <v/>
      </c>
      <c r="I281" s="1" t="b">
        <f>IF(Master_Reference[[#This Row],[Lamp Type]]="T4","",IF(Master_Reference[[#This Row],[Case Type]]="M","",TRUE))</f>
        <v>1</v>
      </c>
      <c r="J281" s="1" t="s">
        <v>215</v>
      </c>
      <c r="K281" s="1">
        <v>39</v>
      </c>
      <c r="L281" s="1" t="s">
        <v>216</v>
      </c>
      <c r="M281" s="1">
        <v>3</v>
      </c>
      <c r="N281" s="1">
        <v>277</v>
      </c>
      <c r="O281" s="1" t="s">
        <v>144</v>
      </c>
      <c r="R281" t="b">
        <f>IF(COUNTBLANK(Master_Reference[[#This Row],[C-Flex 3000K Eco Part Number]:[C-Flex 4000K Eco Part Number]])=3,FALSE,TRUE)</f>
        <v>0</v>
      </c>
      <c r="S281" t="b">
        <f>IF(COUNTBLANK(Master_Reference[[#This Row],[C-Flex 3000K 3W Part Number]:[C-Flex 4000K 3W Part Number]])=3,FALSE,TRUE)</f>
        <v>0</v>
      </c>
      <c r="T281" s="1" t="b">
        <f>IF(COUNTBLANK(Master_Reference[[#This Row],[Lutron 3000K Eco Part Number]:[Lutron 4000K Eco Part Number]])=3,FALSE,TRUE)</f>
        <v>0</v>
      </c>
      <c r="U281" s="1" t="b">
        <f>IF(COUNTBLANK(Master_Reference[[#This Row],[Lutron 3000K 3W Part Number]:[Lutron 4000K 3W Part Number]])=3,FALSE,TRUE)</f>
        <v>0</v>
      </c>
      <c r="V281" s="13"/>
      <c r="W281" s="13"/>
      <c r="X281" s="12"/>
      <c r="Y281" t="s">
        <v>2125</v>
      </c>
      <c r="Z281" s="12"/>
      <c r="AA281" s="12"/>
      <c r="AB281" s="12"/>
      <c r="AC281" t="s">
        <v>2125</v>
      </c>
      <c r="AD281" t="str">
        <f>SUBSTITUTE(Master_Reference[[#This Row],[C-Flex 4000K Eco Part Number]],"40-","xx-")</f>
        <v/>
      </c>
      <c r="AE281" t="str">
        <f>SUBSTITUTE(Master_Reference[[#This Row],[C-Flex 4000K 3W Part Number]],"40-","xx-")</f>
        <v/>
      </c>
      <c r="AF281" s="1" t="str">
        <f>_xlfn.IFNA(VLOOKUP(Master_Reference[[#This Row],[C-Flex 3000K Eco Part Number]],Lutron_CFlex_Lookup[],MATCH("Lutron Kit PN",Lutron_CFlex_Lookup[#Headers],0),FALSE),"")</f>
        <v/>
      </c>
      <c r="AG281" s="1" t="str">
        <f>_xlfn.IFNA(VLOOKUP(Master_Reference[[#This Row],[C-Flex 3500K Eco Part Number]],Lutron_CFlex_Lookup[],MATCH("Lutron Kit PN",Lutron_CFlex_Lookup[#Headers],0),FALSE),"")</f>
        <v/>
      </c>
      <c r="AH281" s="1" t="str">
        <f>_xlfn.IFNA(VLOOKUP(Master_Reference[[#This Row],[C-Flex 4000K Eco Part Number]],Lutron_CFlex_Lookup[],MATCH("Lutron Kit PN",Lutron_CFlex_Lookup[#Headers],0),FALSE),"")</f>
        <v/>
      </c>
      <c r="AI281" s="1" t="str">
        <f>_xlfn.IFNA(VLOOKUP(Master_Reference[[#This Row],[C-Flex 5000K Eco Part Number]],Lutron_CFlex_Lookup[],MATCH("Lutron Kit PN",Lutron_CFlex_Lookup[#Headers],0),FALSE),"")</f>
        <v/>
      </c>
      <c r="AJ281" s="1" t="str">
        <f>_xlfn.IFNA(VLOOKUP(Master_Reference[[#This Row],[C-Flex 3000K 3W Part Number]],Lutron_CFlex_Lookup[],MATCH("Lutron Kit PN",Lutron_CFlex_Lookup[#Headers],0),FALSE),"")</f>
        <v/>
      </c>
      <c r="AK281" s="1" t="str">
        <f>_xlfn.IFNA(VLOOKUP(Master_Reference[[#This Row],[C-Flex 3500K 3W Part Number]],Lutron_CFlex_Lookup[],MATCH("Lutron Kit PN",Lutron_CFlex_Lookup[#Headers],0),FALSE),"")</f>
        <v/>
      </c>
      <c r="AL281" s="1" t="str">
        <f>_xlfn.IFNA(VLOOKUP(Master_Reference[[#This Row],[C-Flex 4000K 3W Part Number]],Lutron_CFlex_Lookup[],MATCH("Lutron Kit PN",Lutron_CFlex_Lookup[#Headers],0),FALSE),"")</f>
        <v/>
      </c>
      <c r="AM281" s="1" t="str">
        <f>_xlfn.IFNA(VLOOKUP(Master_Reference[[#This Row],[C-Flex 5000K 3W Part Number]],Lutron_CFlex_Lookup[],MATCH("Lutron Kit PN",Lutron_CFlex_Lookup[#Headers],0),FALSE),"")</f>
        <v/>
      </c>
      <c r="AN281" s="1" t="b">
        <f>NOT(ISNA(VLOOKUP(Master_Reference[[#This Row],[Model Number]],ObsoleteModels[],1,FALSE)))</f>
        <v>1</v>
      </c>
      <c r="AO281" s="1" t="str">
        <f>IF(LEFT(Master_Reference[[#This Row],[Model Number]],1)="U",LEFT(Master_Reference[[#This Row],[Model Number]],4),LEFT(Master_Reference[[#This Row],[Model Number]],3))</f>
        <v>ECO</v>
      </c>
    </row>
    <row r="282" spans="1:41" x14ac:dyDescent="0.25">
      <c r="A282" s="2" t="s">
        <v>557</v>
      </c>
      <c r="B282" s="1"/>
      <c r="C282" s="1" t="b">
        <v>1</v>
      </c>
      <c r="G282" s="1" t="str">
        <f>IF(OR(LEFT(RIGHT(Master_Reference[[#This Row],[Model Number]],3),1)="C",LEFT(RIGHT(Master_Reference[[#This Row],[Model Number]],4),1)="C"),TRUE,"")</f>
        <v/>
      </c>
      <c r="H282" s="1" t="str">
        <f>IF(LEFT(Master_Reference[[#This Row],[Model Number]],1)="U",TRUE,"")</f>
        <v/>
      </c>
      <c r="I282" s="1" t="b">
        <f>IF(Master_Reference[[#This Row],[Lamp Type]]="T4","",IF(Master_Reference[[#This Row],[Case Type]]="M","",TRUE))</f>
        <v>1</v>
      </c>
      <c r="J282" s="1" t="s">
        <v>215</v>
      </c>
      <c r="K282" s="1">
        <v>40</v>
      </c>
      <c r="L282" s="1" t="s">
        <v>225</v>
      </c>
      <c r="M282" s="1">
        <v>1</v>
      </c>
      <c r="N282" s="1">
        <v>120</v>
      </c>
      <c r="O282" s="1" t="s">
        <v>144</v>
      </c>
      <c r="R282" t="b">
        <f>IF(COUNTBLANK(Master_Reference[[#This Row],[C-Flex 3000K Eco Part Number]:[C-Flex 4000K Eco Part Number]])=3,FALSE,TRUE)</f>
        <v>0</v>
      </c>
      <c r="S282" t="b">
        <f>IF(COUNTBLANK(Master_Reference[[#This Row],[C-Flex 3000K 3W Part Number]:[C-Flex 4000K 3W Part Number]])=3,FALSE,TRUE)</f>
        <v>1</v>
      </c>
      <c r="T282" s="1" t="b">
        <f>IF(COUNTBLANK(Master_Reference[[#This Row],[Lutron 3000K Eco Part Number]:[Lutron 4000K Eco Part Number]])=3,FALSE,TRUE)</f>
        <v>0</v>
      </c>
      <c r="U282" s="1" t="b">
        <f>IF(COUNTBLANK(Master_Reference[[#This Row],[Lutron 3000K 3W Part Number]:[Lutron 4000K 3W Part Number]])=3,FALSE,TRUE)</f>
        <v>1</v>
      </c>
      <c r="V282" s="13"/>
      <c r="W282" s="13"/>
      <c r="X282" s="12"/>
      <c r="Y282" t="s">
        <v>2125</v>
      </c>
      <c r="Z282" s="12" t="s">
        <v>229</v>
      </c>
      <c r="AA282" s="12" t="s">
        <v>230</v>
      </c>
      <c r="AB282" s="12" t="s">
        <v>231</v>
      </c>
      <c r="AC282" t="s">
        <v>1801</v>
      </c>
      <c r="AD282" t="str">
        <f>SUBSTITUTE(Master_Reference[[#This Row],[C-Flex 4000K Eco Part Number]],"40-","xx-")</f>
        <v/>
      </c>
      <c r="AE282" t="str">
        <f>SUBSTITUTE(Master_Reference[[#This Row],[C-Flex 4000K 3W Part Number]],"40-","xx-")</f>
        <v>RP-PLL-2.5K-1L-8xx-3W-M-G2</v>
      </c>
      <c r="AF282" s="1" t="str">
        <f>_xlfn.IFNA(VLOOKUP(Master_Reference[[#This Row],[C-Flex 3000K Eco Part Number]],Lutron_CFlex_Lookup[],MATCH("Lutron Kit PN",Lutron_CFlex_Lookup[#Headers],0),FALSE),"")</f>
        <v/>
      </c>
      <c r="AG282" s="1" t="str">
        <f>_xlfn.IFNA(VLOOKUP(Master_Reference[[#This Row],[C-Flex 3500K Eco Part Number]],Lutron_CFlex_Lookup[],MATCH("Lutron Kit PN",Lutron_CFlex_Lookup[#Headers],0),FALSE),"")</f>
        <v/>
      </c>
      <c r="AH282" s="1" t="str">
        <f>_xlfn.IFNA(VLOOKUP(Master_Reference[[#This Row],[C-Flex 4000K Eco Part Number]],Lutron_CFlex_Lookup[],MATCH("Lutron Kit PN",Lutron_CFlex_Lookup[#Headers],0),FALSE),"")</f>
        <v/>
      </c>
      <c r="AI282" s="1" t="str">
        <f>_xlfn.IFNA(VLOOKUP(Master_Reference[[#This Row],[C-Flex 5000K Eco Part Number]],Lutron_CFlex_Lookup[],MATCH("Lutron Kit PN",Lutron_CFlex_Lookup[#Headers],0),FALSE),"")</f>
        <v/>
      </c>
      <c r="AJ282" s="1" t="str">
        <f>_xlfn.IFNA(VLOOKUP(Master_Reference[[#This Row],[C-Flex 3000K 3W Part Number]],Lutron_CFlex_Lookup[],MATCH("Lutron Kit PN",Lutron_CFlex_Lookup[#Headers],0),FALSE),"")</f>
        <v>3LD-TT-1M30-q</v>
      </c>
      <c r="AK282" s="1" t="str">
        <f>_xlfn.IFNA(VLOOKUP(Master_Reference[[#This Row],[C-Flex 3500K 3W Part Number]],Lutron_CFlex_Lookup[],MATCH("Lutron Kit PN",Lutron_CFlex_Lookup[#Headers],0),FALSE),"")</f>
        <v>3LD-TT-1M35-q</v>
      </c>
      <c r="AL282" s="1" t="str">
        <f>_xlfn.IFNA(VLOOKUP(Master_Reference[[#This Row],[C-Flex 4000K 3W Part Number]],Lutron_CFlex_Lookup[],MATCH("Lutron Kit PN",Lutron_CFlex_Lookup[#Headers],0),FALSE),"")</f>
        <v>3LD-TT-1M40-q</v>
      </c>
      <c r="AM282" s="1" t="str">
        <f>_xlfn.IFNA(VLOOKUP(Master_Reference[[#This Row],[C-Flex 5000K 3W Part Number]],Lutron_CFlex_Lookup[],MATCH("Lutron Kit PN",Lutron_CFlex_Lookup[#Headers],0),FALSE),"")</f>
        <v>3LD-TT-1M50-q</v>
      </c>
      <c r="AN282" s="1" t="b">
        <f>NOT(ISNA(VLOOKUP(Master_Reference[[#This Row],[Model Number]],ObsoleteModels[],1,FALSE)))</f>
        <v>1</v>
      </c>
      <c r="AO282" s="1" t="str">
        <f>IF(LEFT(Master_Reference[[#This Row],[Model Number]],1)="U",LEFT(Master_Reference[[#This Row],[Model Number]],4),LEFT(Master_Reference[[#This Row],[Model Number]],3))</f>
        <v>ECO</v>
      </c>
    </row>
    <row r="283" spans="1:41" x14ac:dyDescent="0.25">
      <c r="A283" s="2" t="s">
        <v>558</v>
      </c>
      <c r="B283" s="1"/>
      <c r="C283" s="1" t="b">
        <v>1</v>
      </c>
      <c r="G283" s="1" t="str">
        <f>IF(OR(LEFT(RIGHT(Master_Reference[[#This Row],[Model Number]],3),1)="C",LEFT(RIGHT(Master_Reference[[#This Row],[Model Number]],4),1)="C"),TRUE,"")</f>
        <v/>
      </c>
      <c r="H283" s="1" t="str">
        <f>IF(LEFT(Master_Reference[[#This Row],[Model Number]],1)="U",TRUE,"")</f>
        <v/>
      </c>
      <c r="I283" s="1" t="b">
        <f>IF(Master_Reference[[#This Row],[Lamp Type]]="T4","",IF(Master_Reference[[#This Row],[Case Type]]="M","",TRUE))</f>
        <v>1</v>
      </c>
      <c r="J283" s="1" t="s">
        <v>215</v>
      </c>
      <c r="K283" s="1">
        <v>40</v>
      </c>
      <c r="L283" s="1" t="s">
        <v>225</v>
      </c>
      <c r="M283" s="1">
        <v>1</v>
      </c>
      <c r="N283" s="1">
        <v>120</v>
      </c>
      <c r="O283" s="1" t="s">
        <v>144</v>
      </c>
      <c r="Q283" s="1" t="s">
        <v>91</v>
      </c>
      <c r="R283" t="b">
        <f>IF(COUNTBLANK(Master_Reference[[#This Row],[C-Flex 3000K Eco Part Number]:[C-Flex 4000K Eco Part Number]])=3,FALSE,TRUE)</f>
        <v>0</v>
      </c>
      <c r="S283" t="b">
        <f>IF(COUNTBLANK(Master_Reference[[#This Row],[C-Flex 3000K 3W Part Number]:[C-Flex 4000K 3W Part Number]])=3,FALSE,TRUE)</f>
        <v>0</v>
      </c>
      <c r="T283" s="1" t="b">
        <f>IF(COUNTBLANK(Master_Reference[[#This Row],[Lutron 3000K Eco Part Number]:[Lutron 4000K Eco Part Number]])=3,FALSE,TRUE)</f>
        <v>0</v>
      </c>
      <c r="U283" s="1" t="b">
        <f>IF(COUNTBLANK(Master_Reference[[#This Row],[Lutron 3000K 3W Part Number]:[Lutron 4000K 3W Part Number]])=3,FALSE,TRUE)</f>
        <v>0</v>
      </c>
      <c r="V283" s="13"/>
      <c r="W283" s="13"/>
      <c r="X283" s="12"/>
      <c r="Y283" t="s">
        <v>2125</v>
      </c>
      <c r="Z283" s="12"/>
      <c r="AA283" s="12"/>
      <c r="AB283" s="12"/>
      <c r="AC283" t="s">
        <v>2125</v>
      </c>
      <c r="AD283" t="str">
        <f>SUBSTITUTE(Master_Reference[[#This Row],[C-Flex 4000K Eco Part Number]],"40-","xx-")</f>
        <v/>
      </c>
      <c r="AE283" t="str">
        <f>SUBSTITUTE(Master_Reference[[#This Row],[C-Flex 4000K 3W Part Number]],"40-","xx-")</f>
        <v/>
      </c>
      <c r="AF283" s="1" t="str">
        <f>_xlfn.IFNA(VLOOKUP(Master_Reference[[#This Row],[C-Flex 3000K Eco Part Number]],Lutron_CFlex_Lookup[],MATCH("Lutron Kit PN",Lutron_CFlex_Lookup[#Headers],0),FALSE),"")</f>
        <v/>
      </c>
      <c r="AG283" s="1" t="str">
        <f>_xlfn.IFNA(VLOOKUP(Master_Reference[[#This Row],[C-Flex 3500K Eco Part Number]],Lutron_CFlex_Lookup[],MATCH("Lutron Kit PN",Lutron_CFlex_Lookup[#Headers],0),FALSE),"")</f>
        <v/>
      </c>
      <c r="AH283" s="1" t="str">
        <f>_xlfn.IFNA(VLOOKUP(Master_Reference[[#This Row],[C-Flex 4000K Eco Part Number]],Lutron_CFlex_Lookup[],MATCH("Lutron Kit PN",Lutron_CFlex_Lookup[#Headers],0),FALSE),"")</f>
        <v/>
      </c>
      <c r="AI283" s="1" t="str">
        <f>_xlfn.IFNA(VLOOKUP(Master_Reference[[#This Row],[C-Flex 5000K Eco Part Number]],Lutron_CFlex_Lookup[],MATCH("Lutron Kit PN",Lutron_CFlex_Lookup[#Headers],0),FALSE),"")</f>
        <v/>
      </c>
      <c r="AJ283" s="1" t="str">
        <f>_xlfn.IFNA(VLOOKUP(Master_Reference[[#This Row],[C-Flex 3000K 3W Part Number]],Lutron_CFlex_Lookup[],MATCH("Lutron Kit PN",Lutron_CFlex_Lookup[#Headers],0),FALSE),"")</f>
        <v/>
      </c>
      <c r="AK283" s="1" t="str">
        <f>_xlfn.IFNA(VLOOKUP(Master_Reference[[#This Row],[C-Flex 3500K 3W Part Number]],Lutron_CFlex_Lookup[],MATCH("Lutron Kit PN",Lutron_CFlex_Lookup[#Headers],0),FALSE),"")</f>
        <v/>
      </c>
      <c r="AL283" s="1" t="str">
        <f>_xlfn.IFNA(VLOOKUP(Master_Reference[[#This Row],[C-Flex 4000K 3W Part Number]],Lutron_CFlex_Lookup[],MATCH("Lutron Kit PN",Lutron_CFlex_Lookup[#Headers],0),FALSE),"")</f>
        <v/>
      </c>
      <c r="AM283" s="1" t="str">
        <f>_xlfn.IFNA(VLOOKUP(Master_Reference[[#This Row],[C-Flex 5000K 3W Part Number]],Lutron_CFlex_Lookup[],MATCH("Lutron Kit PN",Lutron_CFlex_Lookup[#Headers],0),FALSE),"")</f>
        <v/>
      </c>
      <c r="AN283" s="1" t="b">
        <f>NOT(ISNA(VLOOKUP(Master_Reference[[#This Row],[Model Number]],ObsoleteModels[],1,FALSE)))</f>
        <v>1</v>
      </c>
      <c r="AO283" s="1" t="str">
        <f>IF(LEFT(Master_Reference[[#This Row],[Model Number]],1)="U",LEFT(Master_Reference[[#This Row],[Model Number]],4),LEFT(Master_Reference[[#This Row],[Model Number]],3))</f>
        <v>ECO</v>
      </c>
    </row>
    <row r="284" spans="1:41" x14ac:dyDescent="0.25">
      <c r="A284" s="2" t="s">
        <v>559</v>
      </c>
      <c r="B284" s="1"/>
      <c r="C284" s="1" t="b">
        <v>1</v>
      </c>
      <c r="G284" s="1" t="str">
        <f>IF(OR(LEFT(RIGHT(Master_Reference[[#This Row],[Model Number]],3),1)="C",LEFT(RIGHT(Master_Reference[[#This Row],[Model Number]],4),1)="C"),TRUE,"")</f>
        <v/>
      </c>
      <c r="H284" s="1" t="str">
        <f>IF(LEFT(Master_Reference[[#This Row],[Model Number]],1)="U",TRUE,"")</f>
        <v/>
      </c>
      <c r="I284" s="1" t="b">
        <f>IF(Master_Reference[[#This Row],[Lamp Type]]="T4","",IF(Master_Reference[[#This Row],[Case Type]]="M","",TRUE))</f>
        <v>1</v>
      </c>
      <c r="J284" s="1" t="s">
        <v>215</v>
      </c>
      <c r="K284" s="1">
        <v>40</v>
      </c>
      <c r="L284" s="1" t="s">
        <v>225</v>
      </c>
      <c r="M284" s="1">
        <v>2</v>
      </c>
      <c r="N284" s="1">
        <v>120</v>
      </c>
      <c r="O284" s="1" t="s">
        <v>144</v>
      </c>
      <c r="R284" t="b">
        <f>IF(COUNTBLANK(Master_Reference[[#This Row],[C-Flex 3000K Eco Part Number]:[C-Flex 4000K Eco Part Number]])=3,FALSE,TRUE)</f>
        <v>0</v>
      </c>
      <c r="S284" t="b">
        <f>IF(COUNTBLANK(Master_Reference[[#This Row],[C-Flex 3000K 3W Part Number]:[C-Flex 4000K 3W Part Number]])=3,FALSE,TRUE)</f>
        <v>1</v>
      </c>
      <c r="T284" s="1" t="b">
        <f>IF(COUNTBLANK(Master_Reference[[#This Row],[Lutron 3000K Eco Part Number]:[Lutron 4000K Eco Part Number]])=3,FALSE,TRUE)</f>
        <v>0</v>
      </c>
      <c r="U284" s="1" t="b">
        <f>IF(COUNTBLANK(Master_Reference[[#This Row],[Lutron 3000K 3W Part Number]:[Lutron 4000K 3W Part Number]])=3,FALSE,TRUE)</f>
        <v>1</v>
      </c>
      <c r="V284" s="13"/>
      <c r="W284" s="13"/>
      <c r="X284" s="12"/>
      <c r="Y284" t="s">
        <v>2125</v>
      </c>
      <c r="Z284" s="12" t="s">
        <v>236</v>
      </c>
      <c r="AA284" s="12" t="s">
        <v>237</v>
      </c>
      <c r="AB284" s="12" t="s">
        <v>238</v>
      </c>
      <c r="AC284" t="s">
        <v>1802</v>
      </c>
      <c r="AD284" t="str">
        <f>SUBSTITUTE(Master_Reference[[#This Row],[C-Flex 4000K Eco Part Number]],"40-","xx-")</f>
        <v/>
      </c>
      <c r="AE284" t="str">
        <f>SUBSTITUTE(Master_Reference[[#This Row],[C-Flex 4000K 3W Part Number]],"40-","xx-")</f>
        <v>RP-PLL-5.0K-2L-8xx-3W-M-G2</v>
      </c>
      <c r="AF284" s="1" t="str">
        <f>_xlfn.IFNA(VLOOKUP(Master_Reference[[#This Row],[C-Flex 3000K Eco Part Number]],Lutron_CFlex_Lookup[],MATCH("Lutron Kit PN",Lutron_CFlex_Lookup[#Headers],0),FALSE),"")</f>
        <v/>
      </c>
      <c r="AG284" s="1" t="str">
        <f>_xlfn.IFNA(VLOOKUP(Master_Reference[[#This Row],[C-Flex 3500K Eco Part Number]],Lutron_CFlex_Lookup[],MATCH("Lutron Kit PN",Lutron_CFlex_Lookup[#Headers],0),FALSE),"")</f>
        <v/>
      </c>
      <c r="AH284" s="1" t="str">
        <f>_xlfn.IFNA(VLOOKUP(Master_Reference[[#This Row],[C-Flex 4000K Eco Part Number]],Lutron_CFlex_Lookup[],MATCH("Lutron Kit PN",Lutron_CFlex_Lookup[#Headers],0),FALSE),"")</f>
        <v/>
      </c>
      <c r="AI284" s="1" t="str">
        <f>_xlfn.IFNA(VLOOKUP(Master_Reference[[#This Row],[C-Flex 5000K Eco Part Number]],Lutron_CFlex_Lookup[],MATCH("Lutron Kit PN",Lutron_CFlex_Lookup[#Headers],0),FALSE),"")</f>
        <v/>
      </c>
      <c r="AJ284" s="1" t="str">
        <f>_xlfn.IFNA(VLOOKUP(Master_Reference[[#This Row],[C-Flex 3000K 3W Part Number]],Lutron_CFlex_Lookup[],MATCH("Lutron Kit PN",Lutron_CFlex_Lookup[#Headers],0),FALSE),"")</f>
        <v>3LD-TT-2M30-q</v>
      </c>
      <c r="AK284" s="1" t="str">
        <f>_xlfn.IFNA(VLOOKUP(Master_Reference[[#This Row],[C-Flex 3500K 3W Part Number]],Lutron_CFlex_Lookup[],MATCH("Lutron Kit PN",Lutron_CFlex_Lookup[#Headers],0),FALSE),"")</f>
        <v>3LD-TT-2M35-q</v>
      </c>
      <c r="AL284" s="1" t="str">
        <f>_xlfn.IFNA(VLOOKUP(Master_Reference[[#This Row],[C-Flex 4000K 3W Part Number]],Lutron_CFlex_Lookup[],MATCH("Lutron Kit PN",Lutron_CFlex_Lookup[#Headers],0),FALSE),"")</f>
        <v>3LD-TT-2M40-q</v>
      </c>
      <c r="AM284" s="1" t="str">
        <f>_xlfn.IFNA(VLOOKUP(Master_Reference[[#This Row],[C-Flex 5000K 3W Part Number]],Lutron_CFlex_Lookup[],MATCH("Lutron Kit PN",Lutron_CFlex_Lookup[#Headers],0),FALSE),"")</f>
        <v>3LD-TT-2M50-q</v>
      </c>
      <c r="AN284" s="1" t="b">
        <f>NOT(ISNA(VLOOKUP(Master_Reference[[#This Row],[Model Number]],ObsoleteModels[],1,FALSE)))</f>
        <v>1</v>
      </c>
      <c r="AO284" s="1" t="str">
        <f>IF(LEFT(Master_Reference[[#This Row],[Model Number]],1)="U",LEFT(Master_Reference[[#This Row],[Model Number]],4),LEFT(Master_Reference[[#This Row],[Model Number]],3))</f>
        <v>ECO</v>
      </c>
    </row>
    <row r="285" spans="1:41" x14ac:dyDescent="0.25">
      <c r="A285" s="2" t="s">
        <v>560</v>
      </c>
      <c r="B285" s="1"/>
      <c r="C285" s="1" t="b">
        <v>1</v>
      </c>
      <c r="G285" s="1" t="str">
        <f>IF(OR(LEFT(RIGHT(Master_Reference[[#This Row],[Model Number]],3),1)="C",LEFT(RIGHT(Master_Reference[[#This Row],[Model Number]],4),1)="C"),TRUE,"")</f>
        <v/>
      </c>
      <c r="H285" s="1" t="str">
        <f>IF(LEFT(Master_Reference[[#This Row],[Model Number]],1)="U",TRUE,"")</f>
        <v/>
      </c>
      <c r="I285" s="1" t="b">
        <f>IF(Master_Reference[[#This Row],[Lamp Type]]="T4","",IF(Master_Reference[[#This Row],[Case Type]]="M","",TRUE))</f>
        <v>1</v>
      </c>
      <c r="J285" s="1" t="s">
        <v>215</v>
      </c>
      <c r="K285" s="1">
        <v>40</v>
      </c>
      <c r="L285" s="1" t="s">
        <v>225</v>
      </c>
      <c r="M285" s="1">
        <v>2</v>
      </c>
      <c r="N285" s="1">
        <v>120</v>
      </c>
      <c r="O285" s="1" t="s">
        <v>144</v>
      </c>
      <c r="Q285" s="1" t="s">
        <v>91</v>
      </c>
      <c r="R285" t="b">
        <f>IF(COUNTBLANK(Master_Reference[[#This Row],[C-Flex 3000K Eco Part Number]:[C-Flex 4000K Eco Part Number]])=3,FALSE,TRUE)</f>
        <v>0</v>
      </c>
      <c r="S285" t="b">
        <f>IF(COUNTBLANK(Master_Reference[[#This Row],[C-Flex 3000K 3W Part Number]:[C-Flex 4000K 3W Part Number]])=3,FALSE,TRUE)</f>
        <v>0</v>
      </c>
      <c r="T285" s="1" t="b">
        <f>IF(COUNTBLANK(Master_Reference[[#This Row],[Lutron 3000K Eco Part Number]:[Lutron 4000K Eco Part Number]])=3,FALSE,TRUE)</f>
        <v>0</v>
      </c>
      <c r="U285" s="1" t="b">
        <f>IF(COUNTBLANK(Master_Reference[[#This Row],[Lutron 3000K 3W Part Number]:[Lutron 4000K 3W Part Number]])=3,FALSE,TRUE)</f>
        <v>0</v>
      </c>
      <c r="V285" s="13"/>
      <c r="W285" s="13"/>
      <c r="X285" s="12"/>
      <c r="Y285" t="s">
        <v>2125</v>
      </c>
      <c r="Z285" s="12"/>
      <c r="AA285" s="12"/>
      <c r="AB285" s="12"/>
      <c r="AC285" t="s">
        <v>2125</v>
      </c>
      <c r="AD285" t="str">
        <f>SUBSTITUTE(Master_Reference[[#This Row],[C-Flex 4000K Eco Part Number]],"40-","xx-")</f>
        <v/>
      </c>
      <c r="AE285" t="str">
        <f>SUBSTITUTE(Master_Reference[[#This Row],[C-Flex 4000K 3W Part Number]],"40-","xx-")</f>
        <v/>
      </c>
      <c r="AF285" s="1" t="str">
        <f>_xlfn.IFNA(VLOOKUP(Master_Reference[[#This Row],[C-Flex 3000K Eco Part Number]],Lutron_CFlex_Lookup[],MATCH("Lutron Kit PN",Lutron_CFlex_Lookup[#Headers],0),FALSE),"")</f>
        <v/>
      </c>
      <c r="AG285" s="1" t="str">
        <f>_xlfn.IFNA(VLOOKUP(Master_Reference[[#This Row],[C-Flex 3500K Eco Part Number]],Lutron_CFlex_Lookup[],MATCH("Lutron Kit PN",Lutron_CFlex_Lookup[#Headers],0),FALSE),"")</f>
        <v/>
      </c>
      <c r="AH285" s="1" t="str">
        <f>_xlfn.IFNA(VLOOKUP(Master_Reference[[#This Row],[C-Flex 4000K Eco Part Number]],Lutron_CFlex_Lookup[],MATCH("Lutron Kit PN",Lutron_CFlex_Lookup[#Headers],0),FALSE),"")</f>
        <v/>
      </c>
      <c r="AI285" s="1" t="str">
        <f>_xlfn.IFNA(VLOOKUP(Master_Reference[[#This Row],[C-Flex 5000K Eco Part Number]],Lutron_CFlex_Lookup[],MATCH("Lutron Kit PN",Lutron_CFlex_Lookup[#Headers],0),FALSE),"")</f>
        <v/>
      </c>
      <c r="AJ285" s="1" t="str">
        <f>_xlfn.IFNA(VLOOKUP(Master_Reference[[#This Row],[C-Flex 3000K 3W Part Number]],Lutron_CFlex_Lookup[],MATCH("Lutron Kit PN",Lutron_CFlex_Lookup[#Headers],0),FALSE),"")</f>
        <v/>
      </c>
      <c r="AK285" s="1" t="str">
        <f>_xlfn.IFNA(VLOOKUP(Master_Reference[[#This Row],[C-Flex 3500K 3W Part Number]],Lutron_CFlex_Lookup[],MATCH("Lutron Kit PN",Lutron_CFlex_Lookup[#Headers],0),FALSE),"")</f>
        <v/>
      </c>
      <c r="AL285" s="1" t="str">
        <f>_xlfn.IFNA(VLOOKUP(Master_Reference[[#This Row],[C-Flex 4000K 3W Part Number]],Lutron_CFlex_Lookup[],MATCH("Lutron Kit PN",Lutron_CFlex_Lookup[#Headers],0),FALSE),"")</f>
        <v/>
      </c>
      <c r="AM285" s="1" t="str">
        <f>_xlfn.IFNA(VLOOKUP(Master_Reference[[#This Row],[C-Flex 5000K 3W Part Number]],Lutron_CFlex_Lookup[],MATCH("Lutron Kit PN",Lutron_CFlex_Lookup[#Headers],0),FALSE),"")</f>
        <v/>
      </c>
      <c r="AN285" s="1" t="b">
        <f>NOT(ISNA(VLOOKUP(Master_Reference[[#This Row],[Model Number]],ObsoleteModels[],1,FALSE)))</f>
        <v>1</v>
      </c>
      <c r="AO285" s="1" t="str">
        <f>IF(LEFT(Master_Reference[[#This Row],[Model Number]],1)="U",LEFT(Master_Reference[[#This Row],[Model Number]],4),LEFT(Master_Reference[[#This Row],[Model Number]],3))</f>
        <v>ECO</v>
      </c>
    </row>
    <row r="286" spans="1:41" x14ac:dyDescent="0.25">
      <c r="A286" s="2" t="s">
        <v>561</v>
      </c>
      <c r="B286" s="1"/>
      <c r="C286" s="1" t="b">
        <v>1</v>
      </c>
      <c r="G286" s="1" t="str">
        <f>IF(OR(LEFT(RIGHT(Master_Reference[[#This Row],[Model Number]],3),1)="C",LEFT(RIGHT(Master_Reference[[#This Row],[Model Number]],4),1)="C"),TRUE,"")</f>
        <v/>
      </c>
      <c r="H286" s="1" t="str">
        <f>IF(LEFT(Master_Reference[[#This Row],[Model Number]],1)="U",TRUE,"")</f>
        <v/>
      </c>
      <c r="I286" s="1" t="b">
        <f>IF(Master_Reference[[#This Row],[Lamp Type]]="T4","",IF(Master_Reference[[#This Row],[Case Type]]="M","",TRUE))</f>
        <v>1</v>
      </c>
      <c r="J286" s="1" t="s">
        <v>215</v>
      </c>
      <c r="K286" s="1">
        <v>40</v>
      </c>
      <c r="L286" s="1" t="s">
        <v>225</v>
      </c>
      <c r="M286" s="1">
        <v>3</v>
      </c>
      <c r="N286" s="1">
        <v>120</v>
      </c>
      <c r="O286" s="1" t="s">
        <v>144</v>
      </c>
      <c r="R286" t="b">
        <f>IF(COUNTBLANK(Master_Reference[[#This Row],[C-Flex 3000K Eco Part Number]:[C-Flex 4000K Eco Part Number]])=3,FALSE,TRUE)</f>
        <v>0</v>
      </c>
      <c r="S286" t="b">
        <f>IF(COUNTBLANK(Master_Reference[[#This Row],[C-Flex 3000K 3W Part Number]:[C-Flex 4000K 3W Part Number]])=3,FALSE,TRUE)</f>
        <v>0</v>
      </c>
      <c r="T286" s="1" t="b">
        <f>IF(COUNTBLANK(Master_Reference[[#This Row],[Lutron 3000K Eco Part Number]:[Lutron 4000K Eco Part Number]])=3,FALSE,TRUE)</f>
        <v>0</v>
      </c>
      <c r="U286" s="1" t="b">
        <f>IF(COUNTBLANK(Master_Reference[[#This Row],[Lutron 3000K 3W Part Number]:[Lutron 4000K 3W Part Number]])=3,FALSE,TRUE)</f>
        <v>0</v>
      </c>
      <c r="V286" s="13"/>
      <c r="W286" s="13"/>
      <c r="X286" s="12"/>
      <c r="Y286" t="s">
        <v>2125</v>
      </c>
      <c r="Z286" s="12"/>
      <c r="AA286" s="12"/>
      <c r="AB286" s="12"/>
      <c r="AC286" t="s">
        <v>2125</v>
      </c>
      <c r="AD286" t="str">
        <f>SUBSTITUTE(Master_Reference[[#This Row],[C-Flex 4000K Eco Part Number]],"40-","xx-")</f>
        <v/>
      </c>
      <c r="AE286" t="str">
        <f>SUBSTITUTE(Master_Reference[[#This Row],[C-Flex 4000K 3W Part Number]],"40-","xx-")</f>
        <v/>
      </c>
      <c r="AF286" s="1" t="str">
        <f>_xlfn.IFNA(VLOOKUP(Master_Reference[[#This Row],[C-Flex 3000K Eco Part Number]],Lutron_CFlex_Lookup[],MATCH("Lutron Kit PN",Lutron_CFlex_Lookup[#Headers],0),FALSE),"")</f>
        <v/>
      </c>
      <c r="AG286" s="1" t="str">
        <f>_xlfn.IFNA(VLOOKUP(Master_Reference[[#This Row],[C-Flex 3500K Eco Part Number]],Lutron_CFlex_Lookup[],MATCH("Lutron Kit PN",Lutron_CFlex_Lookup[#Headers],0),FALSE),"")</f>
        <v/>
      </c>
      <c r="AH286" s="1" t="str">
        <f>_xlfn.IFNA(VLOOKUP(Master_Reference[[#This Row],[C-Flex 4000K Eco Part Number]],Lutron_CFlex_Lookup[],MATCH("Lutron Kit PN",Lutron_CFlex_Lookup[#Headers],0),FALSE),"")</f>
        <v/>
      </c>
      <c r="AI286" s="1" t="str">
        <f>_xlfn.IFNA(VLOOKUP(Master_Reference[[#This Row],[C-Flex 5000K Eco Part Number]],Lutron_CFlex_Lookup[],MATCH("Lutron Kit PN",Lutron_CFlex_Lookup[#Headers],0),FALSE),"")</f>
        <v/>
      </c>
      <c r="AJ286" s="1" t="str">
        <f>_xlfn.IFNA(VLOOKUP(Master_Reference[[#This Row],[C-Flex 3000K 3W Part Number]],Lutron_CFlex_Lookup[],MATCH("Lutron Kit PN",Lutron_CFlex_Lookup[#Headers],0),FALSE),"")</f>
        <v/>
      </c>
      <c r="AK286" s="1" t="str">
        <f>_xlfn.IFNA(VLOOKUP(Master_Reference[[#This Row],[C-Flex 3500K 3W Part Number]],Lutron_CFlex_Lookup[],MATCH("Lutron Kit PN",Lutron_CFlex_Lookup[#Headers],0),FALSE),"")</f>
        <v/>
      </c>
      <c r="AL286" s="1" t="str">
        <f>_xlfn.IFNA(VLOOKUP(Master_Reference[[#This Row],[C-Flex 4000K 3W Part Number]],Lutron_CFlex_Lookup[],MATCH("Lutron Kit PN",Lutron_CFlex_Lookup[#Headers],0),FALSE),"")</f>
        <v/>
      </c>
      <c r="AM286" s="1" t="str">
        <f>_xlfn.IFNA(VLOOKUP(Master_Reference[[#This Row],[C-Flex 5000K 3W Part Number]],Lutron_CFlex_Lookup[],MATCH("Lutron Kit PN",Lutron_CFlex_Lookup[#Headers],0),FALSE),"")</f>
        <v/>
      </c>
      <c r="AN286" s="1" t="b">
        <f>NOT(ISNA(VLOOKUP(Master_Reference[[#This Row],[Model Number]],ObsoleteModels[],1,FALSE)))</f>
        <v>1</v>
      </c>
      <c r="AO286" s="1" t="str">
        <f>IF(LEFT(Master_Reference[[#This Row],[Model Number]],1)="U",LEFT(Master_Reference[[#This Row],[Model Number]],4),LEFT(Master_Reference[[#This Row],[Model Number]],3))</f>
        <v>ECO</v>
      </c>
    </row>
    <row r="287" spans="1:41" x14ac:dyDescent="0.25">
      <c r="A287" s="2" t="s">
        <v>562</v>
      </c>
      <c r="B287" s="1"/>
      <c r="C287" s="1" t="b">
        <v>1</v>
      </c>
      <c r="G287" s="1" t="str">
        <f>IF(OR(LEFT(RIGHT(Master_Reference[[#This Row],[Model Number]],3),1)="C",LEFT(RIGHT(Master_Reference[[#This Row],[Model Number]],4),1)="C"),TRUE,"")</f>
        <v/>
      </c>
      <c r="H287" s="1" t="str">
        <f>IF(LEFT(Master_Reference[[#This Row],[Model Number]],1)="U",TRUE,"")</f>
        <v/>
      </c>
      <c r="I287" s="1" t="b">
        <f>IF(Master_Reference[[#This Row],[Lamp Type]]="T4","",IF(Master_Reference[[#This Row],[Case Type]]="M","",TRUE))</f>
        <v>1</v>
      </c>
      <c r="J287" s="1" t="s">
        <v>215</v>
      </c>
      <c r="K287" s="1">
        <v>40</v>
      </c>
      <c r="L287" s="1" t="s">
        <v>225</v>
      </c>
      <c r="M287" s="1">
        <v>1</v>
      </c>
      <c r="N287" s="1">
        <v>277</v>
      </c>
      <c r="O287" s="1" t="s">
        <v>144</v>
      </c>
      <c r="R287" t="b">
        <f>IF(COUNTBLANK(Master_Reference[[#This Row],[C-Flex 3000K Eco Part Number]:[C-Flex 4000K Eco Part Number]])=3,FALSE,TRUE)</f>
        <v>0</v>
      </c>
      <c r="S287" t="b">
        <f>IF(COUNTBLANK(Master_Reference[[#This Row],[C-Flex 3000K 3W Part Number]:[C-Flex 4000K 3W Part Number]])=3,FALSE,TRUE)</f>
        <v>1</v>
      </c>
      <c r="T287" s="1" t="b">
        <f>IF(COUNTBLANK(Master_Reference[[#This Row],[Lutron 3000K Eco Part Number]:[Lutron 4000K Eco Part Number]])=3,FALSE,TRUE)</f>
        <v>0</v>
      </c>
      <c r="U287" s="1" t="b">
        <f>IF(COUNTBLANK(Master_Reference[[#This Row],[Lutron 3000K 3W Part Number]:[Lutron 4000K 3W Part Number]])=3,FALSE,TRUE)</f>
        <v>1</v>
      </c>
      <c r="V287" s="13"/>
      <c r="W287" s="13"/>
      <c r="X287" s="12"/>
      <c r="Y287" t="s">
        <v>2125</v>
      </c>
      <c r="Z287" s="12" t="s">
        <v>229</v>
      </c>
      <c r="AA287" s="12" t="s">
        <v>230</v>
      </c>
      <c r="AB287" s="12" t="s">
        <v>231</v>
      </c>
      <c r="AC287" t="s">
        <v>1801</v>
      </c>
      <c r="AD287" t="str">
        <f>SUBSTITUTE(Master_Reference[[#This Row],[C-Flex 4000K Eco Part Number]],"40-","xx-")</f>
        <v/>
      </c>
      <c r="AE287" t="str">
        <f>SUBSTITUTE(Master_Reference[[#This Row],[C-Flex 4000K 3W Part Number]],"40-","xx-")</f>
        <v>RP-PLL-2.5K-1L-8xx-3W-M-G2</v>
      </c>
      <c r="AF287" s="1" t="str">
        <f>_xlfn.IFNA(VLOOKUP(Master_Reference[[#This Row],[C-Flex 3000K Eco Part Number]],Lutron_CFlex_Lookup[],MATCH("Lutron Kit PN",Lutron_CFlex_Lookup[#Headers],0),FALSE),"")</f>
        <v/>
      </c>
      <c r="AG287" s="1" t="str">
        <f>_xlfn.IFNA(VLOOKUP(Master_Reference[[#This Row],[C-Flex 3500K Eco Part Number]],Lutron_CFlex_Lookup[],MATCH("Lutron Kit PN",Lutron_CFlex_Lookup[#Headers],0),FALSE),"")</f>
        <v/>
      </c>
      <c r="AH287" s="1" t="str">
        <f>_xlfn.IFNA(VLOOKUP(Master_Reference[[#This Row],[C-Flex 4000K Eco Part Number]],Lutron_CFlex_Lookup[],MATCH("Lutron Kit PN",Lutron_CFlex_Lookup[#Headers],0),FALSE),"")</f>
        <v/>
      </c>
      <c r="AI287" s="1" t="str">
        <f>_xlfn.IFNA(VLOOKUP(Master_Reference[[#This Row],[C-Flex 5000K Eco Part Number]],Lutron_CFlex_Lookup[],MATCH("Lutron Kit PN",Lutron_CFlex_Lookup[#Headers],0),FALSE),"")</f>
        <v/>
      </c>
      <c r="AJ287" s="1" t="str">
        <f>_xlfn.IFNA(VLOOKUP(Master_Reference[[#This Row],[C-Flex 3000K 3W Part Number]],Lutron_CFlex_Lookup[],MATCH("Lutron Kit PN",Lutron_CFlex_Lookup[#Headers],0),FALSE),"")</f>
        <v>3LD-TT-1M30-q</v>
      </c>
      <c r="AK287" s="1" t="str">
        <f>_xlfn.IFNA(VLOOKUP(Master_Reference[[#This Row],[C-Flex 3500K 3W Part Number]],Lutron_CFlex_Lookup[],MATCH("Lutron Kit PN",Lutron_CFlex_Lookup[#Headers],0),FALSE),"")</f>
        <v>3LD-TT-1M35-q</v>
      </c>
      <c r="AL287" s="1" t="str">
        <f>_xlfn.IFNA(VLOOKUP(Master_Reference[[#This Row],[C-Flex 4000K 3W Part Number]],Lutron_CFlex_Lookup[],MATCH("Lutron Kit PN",Lutron_CFlex_Lookup[#Headers],0),FALSE),"")</f>
        <v>3LD-TT-1M40-q</v>
      </c>
      <c r="AM287" s="1" t="str">
        <f>_xlfn.IFNA(VLOOKUP(Master_Reference[[#This Row],[C-Flex 5000K 3W Part Number]],Lutron_CFlex_Lookup[],MATCH("Lutron Kit PN",Lutron_CFlex_Lookup[#Headers],0),FALSE),"")</f>
        <v>3LD-TT-1M50-q</v>
      </c>
      <c r="AN287" s="1" t="b">
        <f>NOT(ISNA(VLOOKUP(Master_Reference[[#This Row],[Model Number]],ObsoleteModels[],1,FALSE)))</f>
        <v>1</v>
      </c>
      <c r="AO287" s="1" t="str">
        <f>IF(LEFT(Master_Reference[[#This Row],[Model Number]],1)="U",LEFT(Master_Reference[[#This Row],[Model Number]],4),LEFT(Master_Reference[[#This Row],[Model Number]],3))</f>
        <v>ECO</v>
      </c>
    </row>
    <row r="288" spans="1:41" x14ac:dyDescent="0.25">
      <c r="A288" s="2" t="s">
        <v>563</v>
      </c>
      <c r="B288" s="1"/>
      <c r="C288" s="1" t="b">
        <v>1</v>
      </c>
      <c r="G288" s="1" t="str">
        <f>IF(OR(LEFT(RIGHT(Master_Reference[[#This Row],[Model Number]],3),1)="C",LEFT(RIGHT(Master_Reference[[#This Row],[Model Number]],4),1)="C"),TRUE,"")</f>
        <v/>
      </c>
      <c r="H288" s="1" t="str">
        <f>IF(LEFT(Master_Reference[[#This Row],[Model Number]],1)="U",TRUE,"")</f>
        <v/>
      </c>
      <c r="I288" s="1" t="b">
        <f>IF(Master_Reference[[#This Row],[Lamp Type]]="T4","",IF(Master_Reference[[#This Row],[Case Type]]="M","",TRUE))</f>
        <v>1</v>
      </c>
      <c r="J288" s="1" t="s">
        <v>215</v>
      </c>
      <c r="K288" s="1">
        <v>40</v>
      </c>
      <c r="L288" s="1" t="s">
        <v>225</v>
      </c>
      <c r="M288" s="1">
        <v>2</v>
      </c>
      <c r="N288" s="1">
        <v>277</v>
      </c>
      <c r="O288" s="1" t="s">
        <v>144</v>
      </c>
      <c r="R288" t="b">
        <f>IF(COUNTBLANK(Master_Reference[[#This Row],[C-Flex 3000K Eco Part Number]:[C-Flex 4000K Eco Part Number]])=3,FALSE,TRUE)</f>
        <v>0</v>
      </c>
      <c r="S288" t="b">
        <f>IF(COUNTBLANK(Master_Reference[[#This Row],[C-Flex 3000K 3W Part Number]:[C-Flex 4000K 3W Part Number]])=3,FALSE,TRUE)</f>
        <v>1</v>
      </c>
      <c r="T288" s="1" t="b">
        <f>IF(COUNTBLANK(Master_Reference[[#This Row],[Lutron 3000K Eco Part Number]:[Lutron 4000K Eco Part Number]])=3,FALSE,TRUE)</f>
        <v>0</v>
      </c>
      <c r="U288" s="1" t="b">
        <f>IF(COUNTBLANK(Master_Reference[[#This Row],[Lutron 3000K 3W Part Number]:[Lutron 4000K 3W Part Number]])=3,FALSE,TRUE)</f>
        <v>1</v>
      </c>
      <c r="V288" s="13"/>
      <c r="W288" s="13"/>
      <c r="X288" s="12"/>
      <c r="Y288" t="s">
        <v>2125</v>
      </c>
      <c r="Z288" s="12" t="s">
        <v>236</v>
      </c>
      <c r="AA288" s="12" t="s">
        <v>237</v>
      </c>
      <c r="AB288" s="12" t="s">
        <v>238</v>
      </c>
      <c r="AC288" t="s">
        <v>1802</v>
      </c>
      <c r="AD288" t="str">
        <f>SUBSTITUTE(Master_Reference[[#This Row],[C-Flex 4000K Eco Part Number]],"40-","xx-")</f>
        <v/>
      </c>
      <c r="AE288" t="str">
        <f>SUBSTITUTE(Master_Reference[[#This Row],[C-Flex 4000K 3W Part Number]],"40-","xx-")</f>
        <v>RP-PLL-5.0K-2L-8xx-3W-M-G2</v>
      </c>
      <c r="AF288" s="1" t="str">
        <f>_xlfn.IFNA(VLOOKUP(Master_Reference[[#This Row],[C-Flex 3000K Eco Part Number]],Lutron_CFlex_Lookup[],MATCH("Lutron Kit PN",Lutron_CFlex_Lookup[#Headers],0),FALSE),"")</f>
        <v/>
      </c>
      <c r="AG288" s="1" t="str">
        <f>_xlfn.IFNA(VLOOKUP(Master_Reference[[#This Row],[C-Flex 3500K Eco Part Number]],Lutron_CFlex_Lookup[],MATCH("Lutron Kit PN",Lutron_CFlex_Lookup[#Headers],0),FALSE),"")</f>
        <v/>
      </c>
      <c r="AH288" s="1" t="str">
        <f>_xlfn.IFNA(VLOOKUP(Master_Reference[[#This Row],[C-Flex 4000K Eco Part Number]],Lutron_CFlex_Lookup[],MATCH("Lutron Kit PN",Lutron_CFlex_Lookup[#Headers],0),FALSE),"")</f>
        <v/>
      </c>
      <c r="AI288" s="1" t="str">
        <f>_xlfn.IFNA(VLOOKUP(Master_Reference[[#This Row],[C-Flex 5000K Eco Part Number]],Lutron_CFlex_Lookup[],MATCH("Lutron Kit PN",Lutron_CFlex_Lookup[#Headers],0),FALSE),"")</f>
        <v/>
      </c>
      <c r="AJ288" s="1" t="str">
        <f>_xlfn.IFNA(VLOOKUP(Master_Reference[[#This Row],[C-Flex 3000K 3W Part Number]],Lutron_CFlex_Lookup[],MATCH("Lutron Kit PN",Lutron_CFlex_Lookup[#Headers],0),FALSE),"")</f>
        <v>3LD-TT-2M30-q</v>
      </c>
      <c r="AK288" s="1" t="str">
        <f>_xlfn.IFNA(VLOOKUP(Master_Reference[[#This Row],[C-Flex 3500K 3W Part Number]],Lutron_CFlex_Lookup[],MATCH("Lutron Kit PN",Lutron_CFlex_Lookup[#Headers],0),FALSE),"")</f>
        <v>3LD-TT-2M35-q</v>
      </c>
      <c r="AL288" s="1" t="str">
        <f>_xlfn.IFNA(VLOOKUP(Master_Reference[[#This Row],[C-Flex 4000K 3W Part Number]],Lutron_CFlex_Lookup[],MATCH("Lutron Kit PN",Lutron_CFlex_Lookup[#Headers],0),FALSE),"")</f>
        <v>3LD-TT-2M40-q</v>
      </c>
      <c r="AM288" s="1" t="str">
        <f>_xlfn.IFNA(VLOOKUP(Master_Reference[[#This Row],[C-Flex 5000K 3W Part Number]],Lutron_CFlex_Lookup[],MATCH("Lutron Kit PN",Lutron_CFlex_Lookup[#Headers],0),FALSE),"")</f>
        <v>3LD-TT-2M50-q</v>
      </c>
      <c r="AN288" s="1" t="b">
        <f>NOT(ISNA(VLOOKUP(Master_Reference[[#This Row],[Model Number]],ObsoleteModels[],1,FALSE)))</f>
        <v>1</v>
      </c>
      <c r="AO288" s="1" t="str">
        <f>IF(LEFT(Master_Reference[[#This Row],[Model Number]],1)="U",LEFT(Master_Reference[[#This Row],[Model Number]],4),LEFT(Master_Reference[[#This Row],[Model Number]],3))</f>
        <v>ECO</v>
      </c>
    </row>
    <row r="289" spans="1:41" x14ac:dyDescent="0.25">
      <c r="A289" s="2" t="s">
        <v>564</v>
      </c>
      <c r="B289" s="1"/>
      <c r="C289" s="1" t="b">
        <v>1</v>
      </c>
      <c r="G289" s="1" t="str">
        <f>IF(OR(LEFT(RIGHT(Master_Reference[[#This Row],[Model Number]],3),1)="C",LEFT(RIGHT(Master_Reference[[#This Row],[Model Number]],4),1)="C"),TRUE,"")</f>
        <v/>
      </c>
      <c r="H289" s="1" t="str">
        <f>IF(LEFT(Master_Reference[[#This Row],[Model Number]],1)="U",TRUE,"")</f>
        <v/>
      </c>
      <c r="I289" s="1" t="b">
        <f>IF(Master_Reference[[#This Row],[Lamp Type]]="T4","",IF(Master_Reference[[#This Row],[Case Type]]="M","",TRUE))</f>
        <v>1</v>
      </c>
      <c r="J289" s="1" t="s">
        <v>215</v>
      </c>
      <c r="K289" s="1">
        <v>40</v>
      </c>
      <c r="L289" s="1" t="s">
        <v>225</v>
      </c>
      <c r="M289" s="1">
        <v>3</v>
      </c>
      <c r="N289" s="1">
        <v>277</v>
      </c>
      <c r="O289" s="1" t="s">
        <v>144</v>
      </c>
      <c r="R289" t="b">
        <f>IF(COUNTBLANK(Master_Reference[[#This Row],[C-Flex 3000K Eco Part Number]:[C-Flex 4000K Eco Part Number]])=3,FALSE,TRUE)</f>
        <v>0</v>
      </c>
      <c r="S289" t="b">
        <f>IF(COUNTBLANK(Master_Reference[[#This Row],[C-Flex 3000K 3W Part Number]:[C-Flex 4000K 3W Part Number]])=3,FALSE,TRUE)</f>
        <v>0</v>
      </c>
      <c r="T289" s="1" t="b">
        <f>IF(COUNTBLANK(Master_Reference[[#This Row],[Lutron 3000K Eco Part Number]:[Lutron 4000K Eco Part Number]])=3,FALSE,TRUE)</f>
        <v>0</v>
      </c>
      <c r="U289" s="1" t="b">
        <f>IF(COUNTBLANK(Master_Reference[[#This Row],[Lutron 3000K 3W Part Number]:[Lutron 4000K 3W Part Number]])=3,FALSE,TRUE)</f>
        <v>0</v>
      </c>
      <c r="V289" s="13"/>
      <c r="W289" s="13"/>
      <c r="X289" s="12"/>
      <c r="Y289" t="s">
        <v>2125</v>
      </c>
      <c r="Z289" s="12"/>
      <c r="AA289" s="12"/>
      <c r="AB289" s="12"/>
      <c r="AC289" t="s">
        <v>2125</v>
      </c>
      <c r="AD289" t="str">
        <f>SUBSTITUTE(Master_Reference[[#This Row],[C-Flex 4000K Eco Part Number]],"40-","xx-")</f>
        <v/>
      </c>
      <c r="AE289" t="str">
        <f>SUBSTITUTE(Master_Reference[[#This Row],[C-Flex 4000K 3W Part Number]],"40-","xx-")</f>
        <v/>
      </c>
      <c r="AF289" s="1" t="str">
        <f>_xlfn.IFNA(VLOOKUP(Master_Reference[[#This Row],[C-Flex 3000K Eco Part Number]],Lutron_CFlex_Lookup[],MATCH("Lutron Kit PN",Lutron_CFlex_Lookup[#Headers],0),FALSE),"")</f>
        <v/>
      </c>
      <c r="AG289" s="1" t="str">
        <f>_xlfn.IFNA(VLOOKUP(Master_Reference[[#This Row],[C-Flex 3500K Eco Part Number]],Lutron_CFlex_Lookup[],MATCH("Lutron Kit PN",Lutron_CFlex_Lookup[#Headers],0),FALSE),"")</f>
        <v/>
      </c>
      <c r="AH289" s="1" t="str">
        <f>_xlfn.IFNA(VLOOKUP(Master_Reference[[#This Row],[C-Flex 4000K Eco Part Number]],Lutron_CFlex_Lookup[],MATCH("Lutron Kit PN",Lutron_CFlex_Lookup[#Headers],0),FALSE),"")</f>
        <v/>
      </c>
      <c r="AI289" s="1" t="str">
        <f>_xlfn.IFNA(VLOOKUP(Master_Reference[[#This Row],[C-Flex 5000K Eco Part Number]],Lutron_CFlex_Lookup[],MATCH("Lutron Kit PN",Lutron_CFlex_Lookup[#Headers],0),FALSE),"")</f>
        <v/>
      </c>
      <c r="AJ289" s="1" t="str">
        <f>_xlfn.IFNA(VLOOKUP(Master_Reference[[#This Row],[C-Flex 3000K 3W Part Number]],Lutron_CFlex_Lookup[],MATCH("Lutron Kit PN",Lutron_CFlex_Lookup[#Headers],0),FALSE),"")</f>
        <v/>
      </c>
      <c r="AK289" s="1" t="str">
        <f>_xlfn.IFNA(VLOOKUP(Master_Reference[[#This Row],[C-Flex 3500K 3W Part Number]],Lutron_CFlex_Lookup[],MATCH("Lutron Kit PN",Lutron_CFlex_Lookup[#Headers],0),FALSE),"")</f>
        <v/>
      </c>
      <c r="AL289" s="1" t="str">
        <f>_xlfn.IFNA(VLOOKUP(Master_Reference[[#This Row],[C-Flex 4000K 3W Part Number]],Lutron_CFlex_Lookup[],MATCH("Lutron Kit PN",Lutron_CFlex_Lookup[#Headers],0),FALSE),"")</f>
        <v/>
      </c>
      <c r="AM289" s="1" t="str">
        <f>_xlfn.IFNA(VLOOKUP(Master_Reference[[#This Row],[C-Flex 5000K 3W Part Number]],Lutron_CFlex_Lookup[],MATCH("Lutron Kit PN",Lutron_CFlex_Lookup[#Headers],0),FALSE),"")</f>
        <v/>
      </c>
      <c r="AN289" s="1" t="b">
        <f>NOT(ISNA(VLOOKUP(Master_Reference[[#This Row],[Model Number]],ObsoleteModels[],1,FALSE)))</f>
        <v>1</v>
      </c>
      <c r="AO289" s="1" t="str">
        <f>IF(LEFT(Master_Reference[[#This Row],[Model Number]],1)="U",LEFT(Master_Reference[[#This Row],[Model Number]],4),LEFT(Master_Reference[[#This Row],[Model Number]],3))</f>
        <v>ECO</v>
      </c>
    </row>
    <row r="290" spans="1:41" x14ac:dyDescent="0.25">
      <c r="A290" s="2" t="s">
        <v>565</v>
      </c>
      <c r="B290" s="1"/>
      <c r="C290" s="1" t="b">
        <v>1</v>
      </c>
      <c r="G290" s="1" t="str">
        <f>IF(OR(LEFT(RIGHT(Master_Reference[[#This Row],[Model Number]],3),1)="C",LEFT(RIGHT(Master_Reference[[#This Row],[Model Number]],4),1)="C"),TRUE,"")</f>
        <v/>
      </c>
      <c r="H290" s="1" t="str">
        <f>IF(LEFT(Master_Reference[[#This Row],[Model Number]],1)="U",TRUE,"")</f>
        <v/>
      </c>
      <c r="I290" s="1" t="b">
        <f>IF(Master_Reference[[#This Row],[Lamp Type]]="T4","",IF(Master_Reference[[#This Row],[Case Type]]="M","",TRUE))</f>
        <v>1</v>
      </c>
      <c r="J290" s="1" t="s">
        <v>215</v>
      </c>
      <c r="K290" s="1">
        <v>50</v>
      </c>
      <c r="L290" s="1" t="s">
        <v>225</v>
      </c>
      <c r="M290" s="1">
        <v>1</v>
      </c>
      <c r="N290" s="1">
        <v>120</v>
      </c>
      <c r="O290" s="1" t="s">
        <v>144</v>
      </c>
      <c r="R290" t="b">
        <f>IF(COUNTBLANK(Master_Reference[[#This Row],[C-Flex 3000K Eco Part Number]:[C-Flex 4000K Eco Part Number]])=3,FALSE,TRUE)</f>
        <v>0</v>
      </c>
      <c r="S290" t="b">
        <f>IF(COUNTBLANK(Master_Reference[[#This Row],[C-Flex 3000K 3W Part Number]:[C-Flex 4000K 3W Part Number]])=3,FALSE,TRUE)</f>
        <v>0</v>
      </c>
      <c r="T290" s="1" t="b">
        <f>IF(COUNTBLANK(Master_Reference[[#This Row],[Lutron 3000K Eco Part Number]:[Lutron 4000K Eco Part Number]])=3,FALSE,TRUE)</f>
        <v>0</v>
      </c>
      <c r="U290" s="1" t="b">
        <f>IF(COUNTBLANK(Master_Reference[[#This Row],[Lutron 3000K 3W Part Number]:[Lutron 4000K 3W Part Number]])=3,FALSE,TRUE)</f>
        <v>0</v>
      </c>
      <c r="V290" s="13"/>
      <c r="W290" s="13"/>
      <c r="X290" s="12"/>
      <c r="Y290" t="s">
        <v>2125</v>
      </c>
      <c r="Z290" s="12"/>
      <c r="AA290" s="12"/>
      <c r="AB290" s="12"/>
      <c r="AC290" t="s">
        <v>2125</v>
      </c>
      <c r="AD290" t="str">
        <f>SUBSTITUTE(Master_Reference[[#This Row],[C-Flex 4000K Eco Part Number]],"40-","xx-")</f>
        <v/>
      </c>
      <c r="AE290" t="str">
        <f>SUBSTITUTE(Master_Reference[[#This Row],[C-Flex 4000K 3W Part Number]],"40-","xx-")</f>
        <v/>
      </c>
      <c r="AF290" s="1" t="str">
        <f>_xlfn.IFNA(VLOOKUP(Master_Reference[[#This Row],[C-Flex 3000K Eco Part Number]],Lutron_CFlex_Lookup[],MATCH("Lutron Kit PN",Lutron_CFlex_Lookup[#Headers],0),FALSE),"")</f>
        <v/>
      </c>
      <c r="AG290" s="1" t="str">
        <f>_xlfn.IFNA(VLOOKUP(Master_Reference[[#This Row],[C-Flex 3500K Eco Part Number]],Lutron_CFlex_Lookup[],MATCH("Lutron Kit PN",Lutron_CFlex_Lookup[#Headers],0),FALSE),"")</f>
        <v/>
      </c>
      <c r="AH290" s="1" t="str">
        <f>_xlfn.IFNA(VLOOKUP(Master_Reference[[#This Row],[C-Flex 4000K Eco Part Number]],Lutron_CFlex_Lookup[],MATCH("Lutron Kit PN",Lutron_CFlex_Lookup[#Headers],0),FALSE),"")</f>
        <v/>
      </c>
      <c r="AI290" s="1" t="str">
        <f>_xlfn.IFNA(VLOOKUP(Master_Reference[[#This Row],[C-Flex 5000K Eco Part Number]],Lutron_CFlex_Lookup[],MATCH("Lutron Kit PN",Lutron_CFlex_Lookup[#Headers],0),FALSE),"")</f>
        <v/>
      </c>
      <c r="AJ290" s="1" t="str">
        <f>_xlfn.IFNA(VLOOKUP(Master_Reference[[#This Row],[C-Flex 3000K 3W Part Number]],Lutron_CFlex_Lookup[],MATCH("Lutron Kit PN",Lutron_CFlex_Lookup[#Headers],0),FALSE),"")</f>
        <v/>
      </c>
      <c r="AK290" s="1" t="str">
        <f>_xlfn.IFNA(VLOOKUP(Master_Reference[[#This Row],[C-Flex 3500K 3W Part Number]],Lutron_CFlex_Lookup[],MATCH("Lutron Kit PN",Lutron_CFlex_Lookup[#Headers],0),FALSE),"")</f>
        <v/>
      </c>
      <c r="AL290" s="1" t="str">
        <f>_xlfn.IFNA(VLOOKUP(Master_Reference[[#This Row],[C-Flex 4000K 3W Part Number]],Lutron_CFlex_Lookup[],MATCH("Lutron Kit PN",Lutron_CFlex_Lookup[#Headers],0),FALSE),"")</f>
        <v/>
      </c>
      <c r="AM290" s="1" t="str">
        <f>_xlfn.IFNA(VLOOKUP(Master_Reference[[#This Row],[C-Flex 5000K 3W Part Number]],Lutron_CFlex_Lookup[],MATCH("Lutron Kit PN",Lutron_CFlex_Lookup[#Headers],0),FALSE),"")</f>
        <v/>
      </c>
      <c r="AN290" s="1" t="b">
        <f>NOT(ISNA(VLOOKUP(Master_Reference[[#This Row],[Model Number]],ObsoleteModels[],1,FALSE)))</f>
        <v>1</v>
      </c>
      <c r="AO290" s="1" t="str">
        <f>IF(LEFT(Master_Reference[[#This Row],[Model Number]],1)="U",LEFT(Master_Reference[[#This Row],[Model Number]],4),LEFT(Master_Reference[[#This Row],[Model Number]],3))</f>
        <v>ECO</v>
      </c>
    </row>
    <row r="291" spans="1:41" x14ac:dyDescent="0.25">
      <c r="A291" s="2" t="s">
        <v>566</v>
      </c>
      <c r="B291" s="1"/>
      <c r="C291" s="1" t="b">
        <v>1</v>
      </c>
      <c r="G291" s="1" t="str">
        <f>IF(OR(LEFT(RIGHT(Master_Reference[[#This Row],[Model Number]],3),1)="C",LEFT(RIGHT(Master_Reference[[#This Row],[Model Number]],4),1)="C"),TRUE,"")</f>
        <v/>
      </c>
      <c r="H291" s="1" t="str">
        <f>IF(LEFT(Master_Reference[[#This Row],[Model Number]],1)="U",TRUE,"")</f>
        <v/>
      </c>
      <c r="I291" s="1" t="b">
        <f>IF(Master_Reference[[#This Row],[Lamp Type]]="T4","",IF(Master_Reference[[#This Row],[Case Type]]="M","",TRUE))</f>
        <v>1</v>
      </c>
      <c r="J291" s="1" t="s">
        <v>215</v>
      </c>
      <c r="K291" s="1">
        <v>50</v>
      </c>
      <c r="L291" s="1" t="s">
        <v>225</v>
      </c>
      <c r="M291" s="1">
        <v>1</v>
      </c>
      <c r="N291" s="1">
        <v>120</v>
      </c>
      <c r="O291" s="1" t="s">
        <v>144</v>
      </c>
      <c r="Q291" s="1" t="s">
        <v>91</v>
      </c>
      <c r="R291" t="b">
        <f>IF(COUNTBLANK(Master_Reference[[#This Row],[C-Flex 3000K Eco Part Number]:[C-Flex 4000K Eco Part Number]])=3,FALSE,TRUE)</f>
        <v>0</v>
      </c>
      <c r="S291" t="b">
        <f>IF(COUNTBLANK(Master_Reference[[#This Row],[C-Flex 3000K 3W Part Number]:[C-Flex 4000K 3W Part Number]])=3,FALSE,TRUE)</f>
        <v>0</v>
      </c>
      <c r="T291" s="1" t="b">
        <f>IF(COUNTBLANK(Master_Reference[[#This Row],[Lutron 3000K Eco Part Number]:[Lutron 4000K Eco Part Number]])=3,FALSE,TRUE)</f>
        <v>0</v>
      </c>
      <c r="U291" s="1" t="b">
        <f>IF(COUNTBLANK(Master_Reference[[#This Row],[Lutron 3000K 3W Part Number]:[Lutron 4000K 3W Part Number]])=3,FALSE,TRUE)</f>
        <v>0</v>
      </c>
      <c r="V291" s="13"/>
      <c r="W291" s="13"/>
      <c r="X291" s="12"/>
      <c r="Y291" t="s">
        <v>2125</v>
      </c>
      <c r="Z291" s="12"/>
      <c r="AA291" s="12"/>
      <c r="AB291" s="12"/>
      <c r="AC291" t="s">
        <v>2125</v>
      </c>
      <c r="AD291" t="str">
        <f>SUBSTITUTE(Master_Reference[[#This Row],[C-Flex 4000K Eco Part Number]],"40-","xx-")</f>
        <v/>
      </c>
      <c r="AE291" t="str">
        <f>SUBSTITUTE(Master_Reference[[#This Row],[C-Flex 4000K 3W Part Number]],"40-","xx-")</f>
        <v/>
      </c>
      <c r="AF291" s="1" t="str">
        <f>_xlfn.IFNA(VLOOKUP(Master_Reference[[#This Row],[C-Flex 3000K Eco Part Number]],Lutron_CFlex_Lookup[],MATCH("Lutron Kit PN",Lutron_CFlex_Lookup[#Headers],0),FALSE),"")</f>
        <v/>
      </c>
      <c r="AG291" s="1" t="str">
        <f>_xlfn.IFNA(VLOOKUP(Master_Reference[[#This Row],[C-Flex 3500K Eco Part Number]],Lutron_CFlex_Lookup[],MATCH("Lutron Kit PN",Lutron_CFlex_Lookup[#Headers],0),FALSE),"")</f>
        <v/>
      </c>
      <c r="AH291" s="1" t="str">
        <f>_xlfn.IFNA(VLOOKUP(Master_Reference[[#This Row],[C-Flex 4000K Eco Part Number]],Lutron_CFlex_Lookup[],MATCH("Lutron Kit PN",Lutron_CFlex_Lookup[#Headers],0),FALSE),"")</f>
        <v/>
      </c>
      <c r="AI291" s="1" t="str">
        <f>_xlfn.IFNA(VLOOKUP(Master_Reference[[#This Row],[C-Flex 5000K Eco Part Number]],Lutron_CFlex_Lookup[],MATCH("Lutron Kit PN",Lutron_CFlex_Lookup[#Headers],0),FALSE),"")</f>
        <v/>
      </c>
      <c r="AJ291" s="1" t="str">
        <f>_xlfn.IFNA(VLOOKUP(Master_Reference[[#This Row],[C-Flex 3000K 3W Part Number]],Lutron_CFlex_Lookup[],MATCH("Lutron Kit PN",Lutron_CFlex_Lookup[#Headers],0),FALSE),"")</f>
        <v/>
      </c>
      <c r="AK291" s="1" t="str">
        <f>_xlfn.IFNA(VLOOKUP(Master_Reference[[#This Row],[C-Flex 3500K 3W Part Number]],Lutron_CFlex_Lookup[],MATCH("Lutron Kit PN",Lutron_CFlex_Lookup[#Headers],0),FALSE),"")</f>
        <v/>
      </c>
      <c r="AL291" s="1" t="str">
        <f>_xlfn.IFNA(VLOOKUP(Master_Reference[[#This Row],[C-Flex 4000K 3W Part Number]],Lutron_CFlex_Lookup[],MATCH("Lutron Kit PN",Lutron_CFlex_Lookup[#Headers],0),FALSE),"")</f>
        <v/>
      </c>
      <c r="AM291" s="1" t="str">
        <f>_xlfn.IFNA(VLOOKUP(Master_Reference[[#This Row],[C-Flex 5000K 3W Part Number]],Lutron_CFlex_Lookup[],MATCH("Lutron Kit PN",Lutron_CFlex_Lookup[#Headers],0),FALSE),"")</f>
        <v/>
      </c>
      <c r="AN291" s="1" t="b">
        <f>NOT(ISNA(VLOOKUP(Master_Reference[[#This Row],[Model Number]],ObsoleteModels[],1,FALSE)))</f>
        <v>1</v>
      </c>
      <c r="AO291" s="1" t="str">
        <f>IF(LEFT(Master_Reference[[#This Row],[Model Number]],1)="U",LEFT(Master_Reference[[#This Row],[Model Number]],4),LEFT(Master_Reference[[#This Row],[Model Number]],3))</f>
        <v>ECO</v>
      </c>
    </row>
    <row r="292" spans="1:41" x14ac:dyDescent="0.25">
      <c r="A292" s="2" t="s">
        <v>567</v>
      </c>
      <c r="B292" s="1"/>
      <c r="C292" s="1" t="b">
        <v>1</v>
      </c>
      <c r="G292" s="1" t="str">
        <f>IF(OR(LEFT(RIGHT(Master_Reference[[#This Row],[Model Number]],3),1)="C",LEFT(RIGHT(Master_Reference[[#This Row],[Model Number]],4),1)="C"),TRUE,"")</f>
        <v/>
      </c>
      <c r="H292" s="1" t="str">
        <f>IF(LEFT(Master_Reference[[#This Row],[Model Number]],1)="U",TRUE,"")</f>
        <v/>
      </c>
      <c r="I292" s="1" t="b">
        <f>IF(Master_Reference[[#This Row],[Lamp Type]]="T4","",IF(Master_Reference[[#This Row],[Case Type]]="M","",TRUE))</f>
        <v>1</v>
      </c>
      <c r="J292" s="1" t="s">
        <v>215</v>
      </c>
      <c r="K292" s="1">
        <v>50</v>
      </c>
      <c r="L292" s="1" t="s">
        <v>225</v>
      </c>
      <c r="M292" s="1">
        <v>2</v>
      </c>
      <c r="N292" s="1">
        <v>120</v>
      </c>
      <c r="O292" s="1" t="s">
        <v>144</v>
      </c>
      <c r="R292" t="b">
        <f>IF(COUNTBLANK(Master_Reference[[#This Row],[C-Flex 3000K Eco Part Number]:[C-Flex 4000K Eco Part Number]])=3,FALSE,TRUE)</f>
        <v>0</v>
      </c>
      <c r="S292" t="b">
        <f>IF(COUNTBLANK(Master_Reference[[#This Row],[C-Flex 3000K 3W Part Number]:[C-Flex 4000K 3W Part Number]])=3,FALSE,TRUE)</f>
        <v>0</v>
      </c>
      <c r="T292" s="1" t="b">
        <f>IF(COUNTBLANK(Master_Reference[[#This Row],[Lutron 3000K Eco Part Number]:[Lutron 4000K Eco Part Number]])=3,FALSE,TRUE)</f>
        <v>0</v>
      </c>
      <c r="U292" s="1" t="b">
        <f>IF(COUNTBLANK(Master_Reference[[#This Row],[Lutron 3000K 3W Part Number]:[Lutron 4000K 3W Part Number]])=3,FALSE,TRUE)</f>
        <v>0</v>
      </c>
      <c r="V292" s="13"/>
      <c r="W292" s="13"/>
      <c r="X292" s="12"/>
      <c r="Y292" t="s">
        <v>2125</v>
      </c>
      <c r="Z292" s="12"/>
      <c r="AA292" s="12"/>
      <c r="AB292" s="12"/>
      <c r="AC292" t="s">
        <v>2125</v>
      </c>
      <c r="AD292" t="str">
        <f>SUBSTITUTE(Master_Reference[[#This Row],[C-Flex 4000K Eco Part Number]],"40-","xx-")</f>
        <v/>
      </c>
      <c r="AE292" t="str">
        <f>SUBSTITUTE(Master_Reference[[#This Row],[C-Flex 4000K 3W Part Number]],"40-","xx-")</f>
        <v/>
      </c>
      <c r="AF292" s="1" t="str">
        <f>_xlfn.IFNA(VLOOKUP(Master_Reference[[#This Row],[C-Flex 3000K Eco Part Number]],Lutron_CFlex_Lookup[],MATCH("Lutron Kit PN",Lutron_CFlex_Lookup[#Headers],0),FALSE),"")</f>
        <v/>
      </c>
      <c r="AG292" s="1" t="str">
        <f>_xlfn.IFNA(VLOOKUP(Master_Reference[[#This Row],[C-Flex 3500K Eco Part Number]],Lutron_CFlex_Lookup[],MATCH("Lutron Kit PN",Lutron_CFlex_Lookup[#Headers],0),FALSE),"")</f>
        <v/>
      </c>
      <c r="AH292" s="1" t="str">
        <f>_xlfn.IFNA(VLOOKUP(Master_Reference[[#This Row],[C-Flex 4000K Eco Part Number]],Lutron_CFlex_Lookup[],MATCH("Lutron Kit PN",Lutron_CFlex_Lookup[#Headers],0),FALSE),"")</f>
        <v/>
      </c>
      <c r="AI292" s="1" t="str">
        <f>_xlfn.IFNA(VLOOKUP(Master_Reference[[#This Row],[C-Flex 5000K Eco Part Number]],Lutron_CFlex_Lookup[],MATCH("Lutron Kit PN",Lutron_CFlex_Lookup[#Headers],0),FALSE),"")</f>
        <v/>
      </c>
      <c r="AJ292" s="1" t="str">
        <f>_xlfn.IFNA(VLOOKUP(Master_Reference[[#This Row],[C-Flex 3000K 3W Part Number]],Lutron_CFlex_Lookup[],MATCH("Lutron Kit PN",Lutron_CFlex_Lookup[#Headers],0),FALSE),"")</f>
        <v/>
      </c>
      <c r="AK292" s="1" t="str">
        <f>_xlfn.IFNA(VLOOKUP(Master_Reference[[#This Row],[C-Flex 3500K 3W Part Number]],Lutron_CFlex_Lookup[],MATCH("Lutron Kit PN",Lutron_CFlex_Lookup[#Headers],0),FALSE),"")</f>
        <v/>
      </c>
      <c r="AL292" s="1" t="str">
        <f>_xlfn.IFNA(VLOOKUP(Master_Reference[[#This Row],[C-Flex 4000K 3W Part Number]],Lutron_CFlex_Lookup[],MATCH("Lutron Kit PN",Lutron_CFlex_Lookup[#Headers],0),FALSE),"")</f>
        <v/>
      </c>
      <c r="AM292" s="1" t="str">
        <f>_xlfn.IFNA(VLOOKUP(Master_Reference[[#This Row],[C-Flex 5000K 3W Part Number]],Lutron_CFlex_Lookup[],MATCH("Lutron Kit PN",Lutron_CFlex_Lookup[#Headers],0),FALSE),"")</f>
        <v/>
      </c>
      <c r="AN292" s="1" t="b">
        <f>NOT(ISNA(VLOOKUP(Master_Reference[[#This Row],[Model Number]],ObsoleteModels[],1,FALSE)))</f>
        <v>1</v>
      </c>
      <c r="AO292" s="1" t="str">
        <f>IF(LEFT(Master_Reference[[#This Row],[Model Number]],1)="U",LEFT(Master_Reference[[#This Row],[Model Number]],4),LEFT(Master_Reference[[#This Row],[Model Number]],3))</f>
        <v>ECO</v>
      </c>
    </row>
    <row r="293" spans="1:41" x14ac:dyDescent="0.25">
      <c r="A293" s="2" t="s">
        <v>568</v>
      </c>
      <c r="B293" s="1"/>
      <c r="C293" s="1" t="b">
        <v>1</v>
      </c>
      <c r="G293" s="1" t="str">
        <f>IF(OR(LEFT(RIGHT(Master_Reference[[#This Row],[Model Number]],3),1)="C",LEFT(RIGHT(Master_Reference[[#This Row],[Model Number]],4),1)="C"),TRUE,"")</f>
        <v/>
      </c>
      <c r="H293" s="1" t="str">
        <f>IF(LEFT(Master_Reference[[#This Row],[Model Number]],1)="U",TRUE,"")</f>
        <v/>
      </c>
      <c r="I293" s="1" t="b">
        <f>IF(Master_Reference[[#This Row],[Lamp Type]]="T4","",IF(Master_Reference[[#This Row],[Case Type]]="M","",TRUE))</f>
        <v>1</v>
      </c>
      <c r="J293" s="1" t="s">
        <v>215</v>
      </c>
      <c r="K293" s="1">
        <v>50</v>
      </c>
      <c r="L293" s="1" t="s">
        <v>225</v>
      </c>
      <c r="M293" s="1">
        <v>2</v>
      </c>
      <c r="N293" s="1">
        <v>120</v>
      </c>
      <c r="O293" s="1" t="s">
        <v>144</v>
      </c>
      <c r="Q293" s="1" t="s">
        <v>91</v>
      </c>
      <c r="R293" t="b">
        <f>IF(COUNTBLANK(Master_Reference[[#This Row],[C-Flex 3000K Eco Part Number]:[C-Flex 4000K Eco Part Number]])=3,FALSE,TRUE)</f>
        <v>0</v>
      </c>
      <c r="S293" t="b">
        <f>IF(COUNTBLANK(Master_Reference[[#This Row],[C-Flex 3000K 3W Part Number]:[C-Flex 4000K 3W Part Number]])=3,FALSE,TRUE)</f>
        <v>0</v>
      </c>
      <c r="T293" s="1" t="b">
        <f>IF(COUNTBLANK(Master_Reference[[#This Row],[Lutron 3000K Eco Part Number]:[Lutron 4000K Eco Part Number]])=3,FALSE,TRUE)</f>
        <v>0</v>
      </c>
      <c r="U293" s="1" t="b">
        <f>IF(COUNTBLANK(Master_Reference[[#This Row],[Lutron 3000K 3W Part Number]:[Lutron 4000K 3W Part Number]])=3,FALSE,TRUE)</f>
        <v>0</v>
      </c>
      <c r="V293" s="13"/>
      <c r="W293" s="13"/>
      <c r="X293" s="12"/>
      <c r="Y293" t="s">
        <v>2125</v>
      </c>
      <c r="Z293" s="12"/>
      <c r="AA293" s="12"/>
      <c r="AB293" s="12"/>
      <c r="AC293" t="s">
        <v>2125</v>
      </c>
      <c r="AD293" t="str">
        <f>SUBSTITUTE(Master_Reference[[#This Row],[C-Flex 4000K Eco Part Number]],"40-","xx-")</f>
        <v/>
      </c>
      <c r="AE293" t="str">
        <f>SUBSTITUTE(Master_Reference[[#This Row],[C-Flex 4000K 3W Part Number]],"40-","xx-")</f>
        <v/>
      </c>
      <c r="AF293" s="1" t="str">
        <f>_xlfn.IFNA(VLOOKUP(Master_Reference[[#This Row],[C-Flex 3000K Eco Part Number]],Lutron_CFlex_Lookup[],MATCH("Lutron Kit PN",Lutron_CFlex_Lookup[#Headers],0),FALSE),"")</f>
        <v/>
      </c>
      <c r="AG293" s="1" t="str">
        <f>_xlfn.IFNA(VLOOKUP(Master_Reference[[#This Row],[C-Flex 3500K Eco Part Number]],Lutron_CFlex_Lookup[],MATCH("Lutron Kit PN",Lutron_CFlex_Lookup[#Headers],0),FALSE),"")</f>
        <v/>
      </c>
      <c r="AH293" s="1" t="str">
        <f>_xlfn.IFNA(VLOOKUP(Master_Reference[[#This Row],[C-Flex 4000K Eco Part Number]],Lutron_CFlex_Lookup[],MATCH("Lutron Kit PN",Lutron_CFlex_Lookup[#Headers],0),FALSE),"")</f>
        <v/>
      </c>
      <c r="AI293" s="1" t="str">
        <f>_xlfn.IFNA(VLOOKUP(Master_Reference[[#This Row],[C-Flex 5000K Eco Part Number]],Lutron_CFlex_Lookup[],MATCH("Lutron Kit PN",Lutron_CFlex_Lookup[#Headers],0),FALSE),"")</f>
        <v/>
      </c>
      <c r="AJ293" s="1" t="str">
        <f>_xlfn.IFNA(VLOOKUP(Master_Reference[[#This Row],[C-Flex 3000K 3W Part Number]],Lutron_CFlex_Lookup[],MATCH("Lutron Kit PN",Lutron_CFlex_Lookup[#Headers],0),FALSE),"")</f>
        <v/>
      </c>
      <c r="AK293" s="1" t="str">
        <f>_xlfn.IFNA(VLOOKUP(Master_Reference[[#This Row],[C-Flex 3500K 3W Part Number]],Lutron_CFlex_Lookup[],MATCH("Lutron Kit PN",Lutron_CFlex_Lookup[#Headers],0),FALSE),"")</f>
        <v/>
      </c>
      <c r="AL293" s="1" t="str">
        <f>_xlfn.IFNA(VLOOKUP(Master_Reference[[#This Row],[C-Flex 4000K 3W Part Number]],Lutron_CFlex_Lookup[],MATCH("Lutron Kit PN",Lutron_CFlex_Lookup[#Headers],0),FALSE),"")</f>
        <v/>
      </c>
      <c r="AM293" s="1" t="str">
        <f>_xlfn.IFNA(VLOOKUP(Master_Reference[[#This Row],[C-Flex 5000K 3W Part Number]],Lutron_CFlex_Lookup[],MATCH("Lutron Kit PN",Lutron_CFlex_Lookup[#Headers],0),FALSE),"")</f>
        <v/>
      </c>
      <c r="AN293" s="1" t="b">
        <f>NOT(ISNA(VLOOKUP(Master_Reference[[#This Row],[Model Number]],ObsoleteModels[],1,FALSE)))</f>
        <v>1</v>
      </c>
      <c r="AO293" s="1" t="str">
        <f>IF(LEFT(Master_Reference[[#This Row],[Model Number]],1)="U",LEFT(Master_Reference[[#This Row],[Model Number]],4),LEFT(Master_Reference[[#This Row],[Model Number]],3))</f>
        <v>ECO</v>
      </c>
    </row>
    <row r="294" spans="1:41" x14ac:dyDescent="0.25">
      <c r="A294" s="2" t="s">
        <v>569</v>
      </c>
      <c r="B294" s="1"/>
      <c r="C294" s="1" t="b">
        <v>1</v>
      </c>
      <c r="G294" s="1" t="str">
        <f>IF(OR(LEFT(RIGHT(Master_Reference[[#This Row],[Model Number]],3),1)="C",LEFT(RIGHT(Master_Reference[[#This Row],[Model Number]],4),1)="C"),TRUE,"")</f>
        <v/>
      </c>
      <c r="H294" s="1" t="str">
        <f>IF(LEFT(Master_Reference[[#This Row],[Model Number]],1)="U",TRUE,"")</f>
        <v/>
      </c>
      <c r="I294" s="1" t="b">
        <f>IF(Master_Reference[[#This Row],[Lamp Type]]="T4","",IF(Master_Reference[[#This Row],[Case Type]]="M","",TRUE))</f>
        <v>1</v>
      </c>
      <c r="J294" s="1" t="s">
        <v>215</v>
      </c>
      <c r="K294" s="1">
        <v>50</v>
      </c>
      <c r="L294" s="1" t="s">
        <v>225</v>
      </c>
      <c r="M294" s="1">
        <v>1</v>
      </c>
      <c r="N294" s="1">
        <v>277</v>
      </c>
      <c r="O294" s="1" t="s">
        <v>144</v>
      </c>
      <c r="R294" t="b">
        <f>IF(COUNTBLANK(Master_Reference[[#This Row],[C-Flex 3000K Eco Part Number]:[C-Flex 4000K Eco Part Number]])=3,FALSE,TRUE)</f>
        <v>0</v>
      </c>
      <c r="S294" t="b">
        <f>IF(COUNTBLANK(Master_Reference[[#This Row],[C-Flex 3000K 3W Part Number]:[C-Flex 4000K 3W Part Number]])=3,FALSE,TRUE)</f>
        <v>0</v>
      </c>
      <c r="T294" s="1" t="b">
        <f>IF(COUNTBLANK(Master_Reference[[#This Row],[Lutron 3000K Eco Part Number]:[Lutron 4000K Eco Part Number]])=3,FALSE,TRUE)</f>
        <v>0</v>
      </c>
      <c r="U294" s="1" t="b">
        <f>IF(COUNTBLANK(Master_Reference[[#This Row],[Lutron 3000K 3W Part Number]:[Lutron 4000K 3W Part Number]])=3,FALSE,TRUE)</f>
        <v>0</v>
      </c>
      <c r="V294" s="13"/>
      <c r="W294" s="13"/>
      <c r="X294" s="12"/>
      <c r="Y294" t="s">
        <v>2125</v>
      </c>
      <c r="Z294" s="12"/>
      <c r="AA294" s="12"/>
      <c r="AB294" s="12"/>
      <c r="AC294" t="s">
        <v>2125</v>
      </c>
      <c r="AD294" t="str">
        <f>SUBSTITUTE(Master_Reference[[#This Row],[C-Flex 4000K Eco Part Number]],"40-","xx-")</f>
        <v/>
      </c>
      <c r="AE294" t="str">
        <f>SUBSTITUTE(Master_Reference[[#This Row],[C-Flex 4000K 3W Part Number]],"40-","xx-")</f>
        <v/>
      </c>
      <c r="AF294" s="1" t="str">
        <f>_xlfn.IFNA(VLOOKUP(Master_Reference[[#This Row],[C-Flex 3000K Eco Part Number]],Lutron_CFlex_Lookup[],MATCH("Lutron Kit PN",Lutron_CFlex_Lookup[#Headers],0),FALSE),"")</f>
        <v/>
      </c>
      <c r="AG294" s="1" t="str">
        <f>_xlfn.IFNA(VLOOKUP(Master_Reference[[#This Row],[C-Flex 3500K Eco Part Number]],Lutron_CFlex_Lookup[],MATCH("Lutron Kit PN",Lutron_CFlex_Lookup[#Headers],0),FALSE),"")</f>
        <v/>
      </c>
      <c r="AH294" s="1" t="str">
        <f>_xlfn.IFNA(VLOOKUP(Master_Reference[[#This Row],[C-Flex 4000K Eco Part Number]],Lutron_CFlex_Lookup[],MATCH("Lutron Kit PN",Lutron_CFlex_Lookup[#Headers],0),FALSE),"")</f>
        <v/>
      </c>
      <c r="AI294" s="1" t="str">
        <f>_xlfn.IFNA(VLOOKUP(Master_Reference[[#This Row],[C-Flex 5000K Eco Part Number]],Lutron_CFlex_Lookup[],MATCH("Lutron Kit PN",Lutron_CFlex_Lookup[#Headers],0),FALSE),"")</f>
        <v/>
      </c>
      <c r="AJ294" s="1" t="str">
        <f>_xlfn.IFNA(VLOOKUP(Master_Reference[[#This Row],[C-Flex 3000K 3W Part Number]],Lutron_CFlex_Lookup[],MATCH("Lutron Kit PN",Lutron_CFlex_Lookup[#Headers],0),FALSE),"")</f>
        <v/>
      </c>
      <c r="AK294" s="1" t="str">
        <f>_xlfn.IFNA(VLOOKUP(Master_Reference[[#This Row],[C-Flex 3500K 3W Part Number]],Lutron_CFlex_Lookup[],MATCH("Lutron Kit PN",Lutron_CFlex_Lookup[#Headers],0),FALSE),"")</f>
        <v/>
      </c>
      <c r="AL294" s="1" t="str">
        <f>_xlfn.IFNA(VLOOKUP(Master_Reference[[#This Row],[C-Flex 4000K 3W Part Number]],Lutron_CFlex_Lookup[],MATCH("Lutron Kit PN",Lutron_CFlex_Lookup[#Headers],0),FALSE),"")</f>
        <v/>
      </c>
      <c r="AM294" s="1" t="str">
        <f>_xlfn.IFNA(VLOOKUP(Master_Reference[[#This Row],[C-Flex 5000K 3W Part Number]],Lutron_CFlex_Lookup[],MATCH("Lutron Kit PN",Lutron_CFlex_Lookup[#Headers],0),FALSE),"")</f>
        <v/>
      </c>
      <c r="AN294" s="1" t="b">
        <f>NOT(ISNA(VLOOKUP(Master_Reference[[#This Row],[Model Number]],ObsoleteModels[],1,FALSE)))</f>
        <v>1</v>
      </c>
      <c r="AO294" s="1" t="str">
        <f>IF(LEFT(Master_Reference[[#This Row],[Model Number]],1)="U",LEFT(Master_Reference[[#This Row],[Model Number]],4),LEFT(Master_Reference[[#This Row],[Model Number]],3))</f>
        <v>ECO</v>
      </c>
    </row>
    <row r="295" spans="1:41" x14ac:dyDescent="0.25">
      <c r="A295" s="2" t="s">
        <v>570</v>
      </c>
      <c r="B295" s="1"/>
      <c r="C295" s="1" t="b">
        <v>1</v>
      </c>
      <c r="G295" s="1" t="str">
        <f>IF(OR(LEFT(RIGHT(Master_Reference[[#This Row],[Model Number]],3),1)="C",LEFT(RIGHT(Master_Reference[[#This Row],[Model Number]],4),1)="C"),TRUE,"")</f>
        <v/>
      </c>
      <c r="H295" s="1" t="str">
        <f>IF(LEFT(Master_Reference[[#This Row],[Model Number]],1)="U",TRUE,"")</f>
        <v/>
      </c>
      <c r="I295" s="1" t="b">
        <f>IF(Master_Reference[[#This Row],[Lamp Type]]="T4","",IF(Master_Reference[[#This Row],[Case Type]]="M","",TRUE))</f>
        <v>1</v>
      </c>
      <c r="J295" s="1" t="s">
        <v>215</v>
      </c>
      <c r="K295" s="1">
        <v>50</v>
      </c>
      <c r="L295" s="1" t="s">
        <v>225</v>
      </c>
      <c r="M295" s="1">
        <v>2</v>
      </c>
      <c r="N295" s="1">
        <v>277</v>
      </c>
      <c r="O295" s="1" t="s">
        <v>144</v>
      </c>
      <c r="R295" t="b">
        <f>IF(COUNTBLANK(Master_Reference[[#This Row],[C-Flex 3000K Eco Part Number]:[C-Flex 4000K Eco Part Number]])=3,FALSE,TRUE)</f>
        <v>0</v>
      </c>
      <c r="S295" t="b">
        <f>IF(COUNTBLANK(Master_Reference[[#This Row],[C-Flex 3000K 3W Part Number]:[C-Flex 4000K 3W Part Number]])=3,FALSE,TRUE)</f>
        <v>0</v>
      </c>
      <c r="T295" s="1" t="b">
        <f>IF(COUNTBLANK(Master_Reference[[#This Row],[Lutron 3000K Eco Part Number]:[Lutron 4000K Eco Part Number]])=3,FALSE,TRUE)</f>
        <v>0</v>
      </c>
      <c r="U295" s="1" t="b">
        <f>IF(COUNTBLANK(Master_Reference[[#This Row],[Lutron 3000K 3W Part Number]:[Lutron 4000K 3W Part Number]])=3,FALSE,TRUE)</f>
        <v>0</v>
      </c>
      <c r="V295" s="13"/>
      <c r="W295" s="13"/>
      <c r="X295" s="12"/>
      <c r="Y295" t="s">
        <v>2125</v>
      </c>
      <c r="Z295" s="12"/>
      <c r="AA295" s="12"/>
      <c r="AB295" s="12"/>
      <c r="AC295" t="s">
        <v>2125</v>
      </c>
      <c r="AD295" t="str">
        <f>SUBSTITUTE(Master_Reference[[#This Row],[C-Flex 4000K Eco Part Number]],"40-","xx-")</f>
        <v/>
      </c>
      <c r="AE295" t="str">
        <f>SUBSTITUTE(Master_Reference[[#This Row],[C-Flex 4000K 3W Part Number]],"40-","xx-")</f>
        <v/>
      </c>
      <c r="AF295" s="1" t="str">
        <f>_xlfn.IFNA(VLOOKUP(Master_Reference[[#This Row],[C-Flex 3000K Eco Part Number]],Lutron_CFlex_Lookup[],MATCH("Lutron Kit PN",Lutron_CFlex_Lookup[#Headers],0),FALSE),"")</f>
        <v/>
      </c>
      <c r="AG295" s="1" t="str">
        <f>_xlfn.IFNA(VLOOKUP(Master_Reference[[#This Row],[C-Flex 3500K Eco Part Number]],Lutron_CFlex_Lookup[],MATCH("Lutron Kit PN",Lutron_CFlex_Lookup[#Headers],0),FALSE),"")</f>
        <v/>
      </c>
      <c r="AH295" s="1" t="str">
        <f>_xlfn.IFNA(VLOOKUP(Master_Reference[[#This Row],[C-Flex 4000K Eco Part Number]],Lutron_CFlex_Lookup[],MATCH("Lutron Kit PN",Lutron_CFlex_Lookup[#Headers],0),FALSE),"")</f>
        <v/>
      </c>
      <c r="AI295" s="1" t="str">
        <f>_xlfn.IFNA(VLOOKUP(Master_Reference[[#This Row],[C-Flex 5000K Eco Part Number]],Lutron_CFlex_Lookup[],MATCH("Lutron Kit PN",Lutron_CFlex_Lookup[#Headers],0),FALSE),"")</f>
        <v/>
      </c>
      <c r="AJ295" s="1" t="str">
        <f>_xlfn.IFNA(VLOOKUP(Master_Reference[[#This Row],[C-Flex 3000K 3W Part Number]],Lutron_CFlex_Lookup[],MATCH("Lutron Kit PN",Lutron_CFlex_Lookup[#Headers],0),FALSE),"")</f>
        <v/>
      </c>
      <c r="AK295" s="1" t="str">
        <f>_xlfn.IFNA(VLOOKUP(Master_Reference[[#This Row],[C-Flex 3500K 3W Part Number]],Lutron_CFlex_Lookup[],MATCH("Lutron Kit PN",Lutron_CFlex_Lookup[#Headers],0),FALSE),"")</f>
        <v/>
      </c>
      <c r="AL295" s="1" t="str">
        <f>_xlfn.IFNA(VLOOKUP(Master_Reference[[#This Row],[C-Flex 4000K 3W Part Number]],Lutron_CFlex_Lookup[],MATCH("Lutron Kit PN",Lutron_CFlex_Lookup[#Headers],0),FALSE),"")</f>
        <v/>
      </c>
      <c r="AM295" s="1" t="str">
        <f>_xlfn.IFNA(VLOOKUP(Master_Reference[[#This Row],[C-Flex 5000K 3W Part Number]],Lutron_CFlex_Lookup[],MATCH("Lutron Kit PN",Lutron_CFlex_Lookup[#Headers],0),FALSE),"")</f>
        <v/>
      </c>
      <c r="AN295" s="1" t="b">
        <f>NOT(ISNA(VLOOKUP(Master_Reference[[#This Row],[Model Number]],ObsoleteModels[],1,FALSE)))</f>
        <v>1</v>
      </c>
      <c r="AO295" s="1" t="str">
        <f>IF(LEFT(Master_Reference[[#This Row],[Model Number]],1)="U",LEFT(Master_Reference[[#This Row],[Model Number]],4),LEFT(Master_Reference[[#This Row],[Model Number]],3))</f>
        <v>ECO</v>
      </c>
    </row>
    <row r="296" spans="1:41" x14ac:dyDescent="0.25">
      <c r="A296" s="2" t="s">
        <v>571</v>
      </c>
      <c r="B296" s="1"/>
      <c r="C296" s="1" t="b">
        <v>1</v>
      </c>
      <c r="G296" s="1" t="str">
        <f>IF(OR(LEFT(RIGHT(Master_Reference[[#This Row],[Model Number]],3),1)="C",LEFT(RIGHT(Master_Reference[[#This Row],[Model Number]],4),1)="C"),TRUE,"")</f>
        <v/>
      </c>
      <c r="H296" s="1" t="str">
        <f>IF(LEFT(Master_Reference[[#This Row],[Model Number]],1)="U",TRUE,"")</f>
        <v/>
      </c>
      <c r="I296" s="1" t="b">
        <f>IF(Master_Reference[[#This Row],[Lamp Type]]="T4","",IF(Master_Reference[[#This Row],[Case Type]]="M","",TRUE))</f>
        <v>1</v>
      </c>
      <c r="J296" s="1" t="s">
        <v>297</v>
      </c>
      <c r="K296" s="1">
        <v>54</v>
      </c>
      <c r="L296" s="1" t="s">
        <v>118</v>
      </c>
      <c r="M296" s="1">
        <v>1</v>
      </c>
      <c r="N296" s="1">
        <v>120</v>
      </c>
      <c r="O296" s="1" t="s">
        <v>113</v>
      </c>
      <c r="R296" t="b">
        <f>IF(COUNTBLANK(Master_Reference[[#This Row],[C-Flex 3000K Eco Part Number]:[C-Flex 4000K Eco Part Number]])=3,FALSE,TRUE)</f>
        <v>0</v>
      </c>
      <c r="S296" t="b">
        <f>IF(COUNTBLANK(Master_Reference[[#This Row],[C-Flex 3000K 3W Part Number]:[C-Flex 4000K 3W Part Number]])=3,FALSE,TRUE)</f>
        <v>1</v>
      </c>
      <c r="T296" t="b">
        <f>IF(COUNTBLANK(Master_Reference[[#This Row],[Lutron 3000K Eco Part Number]:[Lutron 4000K Eco Part Number]])=3,FALSE,TRUE)</f>
        <v>0</v>
      </c>
      <c r="U296" t="b">
        <f>IF(COUNTBLANK(Master_Reference[[#This Row],[Lutron 3000K 3W Part Number]:[Lutron 4000K 3W Part Number]])=3,FALSE,TRUE)</f>
        <v>1</v>
      </c>
      <c r="V296" s="12"/>
      <c r="W296" s="12"/>
      <c r="X296" s="12"/>
      <c r="Y296" t="s">
        <v>2125</v>
      </c>
      <c r="Z296" s="12" t="s">
        <v>301</v>
      </c>
      <c r="AA296" s="12" t="s">
        <v>302</v>
      </c>
      <c r="AB296" s="12" t="s">
        <v>303</v>
      </c>
      <c r="AC296" t="s">
        <v>1821</v>
      </c>
      <c r="AD296" t="str">
        <f>SUBSTITUTE(Master_Reference[[#This Row],[C-Flex 4000K Eco Part Number]],"40-","xx-")</f>
        <v/>
      </c>
      <c r="AE296" t="str">
        <f>SUBSTITUTE(Master_Reference[[#This Row],[C-Flex 4000K 3W Part Number]],"40-","xx-")</f>
        <v>RP-T5HO-4FT-1L-8xx-3W-M-G2</v>
      </c>
      <c r="AF296" s="1" t="str">
        <f>_xlfn.IFNA(VLOOKUP(Master_Reference[[#This Row],[C-Flex 3000K Eco Part Number]],Lutron_CFlex_Lookup[],MATCH("Lutron Kit PN",Lutron_CFlex_Lookup[#Headers],0),FALSE),"")</f>
        <v/>
      </c>
      <c r="AG296" s="1" t="str">
        <f>_xlfn.IFNA(VLOOKUP(Master_Reference[[#This Row],[C-Flex 3500K Eco Part Number]],Lutron_CFlex_Lookup[],MATCH("Lutron Kit PN",Lutron_CFlex_Lookup[#Headers],0),FALSE),"")</f>
        <v/>
      </c>
      <c r="AH296" s="1" t="str">
        <f>_xlfn.IFNA(VLOOKUP(Master_Reference[[#This Row],[C-Flex 4000K Eco Part Number]],Lutron_CFlex_Lookup[],MATCH("Lutron Kit PN",Lutron_CFlex_Lookup[#Headers],0),FALSE),"")</f>
        <v/>
      </c>
      <c r="AI296" s="1" t="str">
        <f>_xlfn.IFNA(VLOOKUP(Master_Reference[[#This Row],[C-Flex 5000K Eco Part Number]],Lutron_CFlex_Lookup[],MATCH("Lutron Kit PN",Lutron_CFlex_Lookup[#Headers],0),FALSE),"")</f>
        <v/>
      </c>
      <c r="AJ296" s="1" t="str">
        <f>_xlfn.IFNA(VLOOKUP(Master_Reference[[#This Row],[C-Flex 3000K 3W Part Number]],Lutron_CFlex_Lookup[],MATCH("Lutron Kit PN",Lutron_CFlex_Lookup[#Headers],0),FALSE),"")</f>
        <v>3LD4T5H-1M30-q</v>
      </c>
      <c r="AK296" s="1" t="str">
        <f>_xlfn.IFNA(VLOOKUP(Master_Reference[[#This Row],[C-Flex 3500K 3W Part Number]],Lutron_CFlex_Lookup[],MATCH("Lutron Kit PN",Lutron_CFlex_Lookup[#Headers],0),FALSE),"")</f>
        <v>3LD4T5H-1M35-q</v>
      </c>
      <c r="AL296" s="1" t="str">
        <f>_xlfn.IFNA(VLOOKUP(Master_Reference[[#This Row],[C-Flex 4000K 3W Part Number]],Lutron_CFlex_Lookup[],MATCH("Lutron Kit PN",Lutron_CFlex_Lookup[#Headers],0),FALSE),"")</f>
        <v>3LD4T5H-1M40-q</v>
      </c>
      <c r="AM296" s="1" t="str">
        <f>_xlfn.IFNA(VLOOKUP(Master_Reference[[#This Row],[C-Flex 5000K 3W Part Number]],Lutron_CFlex_Lookup[],MATCH("Lutron Kit PN",Lutron_CFlex_Lookup[#Headers],0),FALSE),"")</f>
        <v>3LD4T5H-1M50-q</v>
      </c>
      <c r="AN296" s="1" t="b">
        <f>NOT(ISNA(VLOOKUP(Master_Reference[[#This Row],[Model Number]],ObsoleteModels[],1,FALSE)))</f>
        <v>1</v>
      </c>
      <c r="AO296" s="1" t="str">
        <f>IF(LEFT(Master_Reference[[#This Row],[Model Number]],1)="U",LEFT(Master_Reference[[#This Row],[Model Number]],4),LEFT(Master_Reference[[#This Row],[Model Number]],3))</f>
        <v>ECO</v>
      </c>
    </row>
    <row r="297" spans="1:41" x14ac:dyDescent="0.25">
      <c r="A297" s="2" t="s">
        <v>572</v>
      </c>
      <c r="B297" s="1"/>
      <c r="C297" s="1" t="b">
        <v>1</v>
      </c>
      <c r="G297" s="1" t="str">
        <f>IF(OR(LEFT(RIGHT(Master_Reference[[#This Row],[Model Number]],3),1)="C",LEFT(RIGHT(Master_Reference[[#This Row],[Model Number]],4),1)="C"),TRUE,"")</f>
        <v/>
      </c>
      <c r="H297" s="1" t="str">
        <f>IF(LEFT(Master_Reference[[#This Row],[Model Number]],1)="U",TRUE,"")</f>
        <v/>
      </c>
      <c r="I297" s="1" t="b">
        <f>IF(Master_Reference[[#This Row],[Lamp Type]]="T4","",IF(Master_Reference[[#This Row],[Case Type]]="M","",TRUE))</f>
        <v>1</v>
      </c>
      <c r="J297" s="1" t="s">
        <v>297</v>
      </c>
      <c r="K297" s="1">
        <v>54</v>
      </c>
      <c r="L297" s="1" t="s">
        <v>118</v>
      </c>
      <c r="M297" s="1">
        <v>1</v>
      </c>
      <c r="N297" s="1">
        <v>120</v>
      </c>
      <c r="O297" s="1" t="s">
        <v>113</v>
      </c>
      <c r="Q297" s="1" t="s">
        <v>91</v>
      </c>
      <c r="R297" t="b">
        <f>IF(COUNTBLANK(Master_Reference[[#This Row],[C-Flex 3000K Eco Part Number]:[C-Flex 4000K Eco Part Number]])=3,FALSE,TRUE)</f>
        <v>0</v>
      </c>
      <c r="S297" t="b">
        <f>IF(COUNTBLANK(Master_Reference[[#This Row],[C-Flex 3000K 3W Part Number]:[C-Flex 4000K 3W Part Number]])=3,FALSE,TRUE)</f>
        <v>0</v>
      </c>
      <c r="T297" t="b">
        <f>IF(COUNTBLANK(Master_Reference[[#This Row],[Lutron 3000K Eco Part Number]:[Lutron 4000K Eco Part Number]])=3,FALSE,TRUE)</f>
        <v>0</v>
      </c>
      <c r="U297" t="b">
        <f>IF(COUNTBLANK(Master_Reference[[#This Row],[Lutron 3000K 3W Part Number]:[Lutron 4000K 3W Part Number]])=3,FALSE,TRUE)</f>
        <v>0</v>
      </c>
      <c r="V297" s="12"/>
      <c r="W297" s="12"/>
      <c r="X297" s="12"/>
      <c r="Y297" t="s">
        <v>2125</v>
      </c>
      <c r="Z297" s="12"/>
      <c r="AA297" s="12"/>
      <c r="AB297" s="12"/>
      <c r="AC297" t="s">
        <v>2125</v>
      </c>
      <c r="AD297" t="str">
        <f>SUBSTITUTE(Master_Reference[[#This Row],[C-Flex 4000K Eco Part Number]],"40-","xx-")</f>
        <v/>
      </c>
      <c r="AE297" t="str">
        <f>SUBSTITUTE(Master_Reference[[#This Row],[C-Flex 4000K 3W Part Number]],"40-","xx-")</f>
        <v/>
      </c>
      <c r="AF297" s="1" t="str">
        <f>_xlfn.IFNA(VLOOKUP(Master_Reference[[#This Row],[C-Flex 3000K Eco Part Number]],Lutron_CFlex_Lookup[],MATCH("Lutron Kit PN",Lutron_CFlex_Lookup[#Headers],0),FALSE),"")</f>
        <v/>
      </c>
      <c r="AG297" s="1" t="str">
        <f>_xlfn.IFNA(VLOOKUP(Master_Reference[[#This Row],[C-Flex 3500K Eco Part Number]],Lutron_CFlex_Lookup[],MATCH("Lutron Kit PN",Lutron_CFlex_Lookup[#Headers],0),FALSE),"")</f>
        <v/>
      </c>
      <c r="AH297" s="1" t="str">
        <f>_xlfn.IFNA(VLOOKUP(Master_Reference[[#This Row],[C-Flex 4000K Eco Part Number]],Lutron_CFlex_Lookup[],MATCH("Lutron Kit PN",Lutron_CFlex_Lookup[#Headers],0),FALSE),"")</f>
        <v/>
      </c>
      <c r="AI297" s="1" t="str">
        <f>_xlfn.IFNA(VLOOKUP(Master_Reference[[#This Row],[C-Flex 5000K Eco Part Number]],Lutron_CFlex_Lookup[],MATCH("Lutron Kit PN",Lutron_CFlex_Lookup[#Headers],0),FALSE),"")</f>
        <v/>
      </c>
      <c r="AJ297" s="1" t="str">
        <f>_xlfn.IFNA(VLOOKUP(Master_Reference[[#This Row],[C-Flex 3000K 3W Part Number]],Lutron_CFlex_Lookup[],MATCH("Lutron Kit PN",Lutron_CFlex_Lookup[#Headers],0),FALSE),"")</f>
        <v/>
      </c>
      <c r="AK297" s="1" t="str">
        <f>_xlfn.IFNA(VLOOKUP(Master_Reference[[#This Row],[C-Flex 3500K 3W Part Number]],Lutron_CFlex_Lookup[],MATCH("Lutron Kit PN",Lutron_CFlex_Lookup[#Headers],0),FALSE),"")</f>
        <v/>
      </c>
      <c r="AL297" s="1" t="str">
        <f>_xlfn.IFNA(VLOOKUP(Master_Reference[[#This Row],[C-Flex 4000K 3W Part Number]],Lutron_CFlex_Lookup[],MATCH("Lutron Kit PN",Lutron_CFlex_Lookup[#Headers],0),FALSE),"")</f>
        <v/>
      </c>
      <c r="AM297" s="1" t="str">
        <f>_xlfn.IFNA(VLOOKUP(Master_Reference[[#This Row],[C-Flex 5000K 3W Part Number]],Lutron_CFlex_Lookup[],MATCH("Lutron Kit PN",Lutron_CFlex_Lookup[#Headers],0),FALSE),"")</f>
        <v/>
      </c>
      <c r="AN297" s="1" t="b">
        <f>NOT(ISNA(VLOOKUP(Master_Reference[[#This Row],[Model Number]],ObsoleteModels[],1,FALSE)))</f>
        <v>1</v>
      </c>
      <c r="AO297" s="1" t="str">
        <f>IF(LEFT(Master_Reference[[#This Row],[Model Number]],1)="U",LEFT(Master_Reference[[#This Row],[Model Number]],4),LEFT(Master_Reference[[#This Row],[Model Number]],3))</f>
        <v>ECO</v>
      </c>
    </row>
    <row r="298" spans="1:41" x14ac:dyDescent="0.25">
      <c r="A298" s="2" t="s">
        <v>573</v>
      </c>
      <c r="B298" s="1"/>
      <c r="C298" s="1" t="b">
        <v>1</v>
      </c>
      <c r="G298" s="1" t="str">
        <f>IF(OR(LEFT(RIGHT(Master_Reference[[#This Row],[Model Number]],3),1)="C",LEFT(RIGHT(Master_Reference[[#This Row],[Model Number]],4),1)="C"),TRUE,"")</f>
        <v/>
      </c>
      <c r="H298" s="1" t="str">
        <f>IF(LEFT(Master_Reference[[#This Row],[Model Number]],1)="U",TRUE,"")</f>
        <v/>
      </c>
      <c r="I298" s="1" t="b">
        <f>IF(Master_Reference[[#This Row],[Lamp Type]]="T4","",IF(Master_Reference[[#This Row],[Case Type]]="M","",TRUE))</f>
        <v>1</v>
      </c>
      <c r="J298" s="1" t="s">
        <v>297</v>
      </c>
      <c r="K298" s="1">
        <v>54</v>
      </c>
      <c r="L298" s="1" t="s">
        <v>118</v>
      </c>
      <c r="M298" s="1">
        <v>2</v>
      </c>
      <c r="N298" s="1">
        <v>120</v>
      </c>
      <c r="O298" s="1" t="s">
        <v>113</v>
      </c>
      <c r="R298" t="b">
        <f>IF(COUNTBLANK(Master_Reference[[#This Row],[C-Flex 3000K Eco Part Number]:[C-Flex 4000K Eco Part Number]])=3,FALSE,TRUE)</f>
        <v>0</v>
      </c>
      <c r="S298" t="b">
        <f>IF(COUNTBLANK(Master_Reference[[#This Row],[C-Flex 3000K 3W Part Number]:[C-Flex 4000K 3W Part Number]])=3,FALSE,TRUE)</f>
        <v>1</v>
      </c>
      <c r="T298" t="b">
        <f>IF(COUNTBLANK(Master_Reference[[#This Row],[Lutron 3000K Eco Part Number]:[Lutron 4000K Eco Part Number]])=3,FALSE,TRUE)</f>
        <v>0</v>
      </c>
      <c r="U298" t="b">
        <f>IF(COUNTBLANK(Master_Reference[[#This Row],[Lutron 3000K 3W Part Number]:[Lutron 4000K 3W Part Number]])=3,FALSE,TRUE)</f>
        <v>1</v>
      </c>
      <c r="V298" s="12"/>
      <c r="W298" s="12"/>
      <c r="X298" s="12"/>
      <c r="Y298" t="s">
        <v>2125</v>
      </c>
      <c r="Z298" s="12" t="s">
        <v>308</v>
      </c>
      <c r="AA298" s="12" t="s">
        <v>309</v>
      </c>
      <c r="AB298" s="12" t="s">
        <v>310</v>
      </c>
      <c r="AC298" t="s">
        <v>1822</v>
      </c>
      <c r="AD298" t="str">
        <f>SUBSTITUTE(Master_Reference[[#This Row],[C-Flex 4000K Eco Part Number]],"40-","xx-")</f>
        <v/>
      </c>
      <c r="AE298" t="str">
        <f>SUBSTITUTE(Master_Reference[[#This Row],[C-Flex 4000K 3W Part Number]],"40-","xx-")</f>
        <v>RP-T5HO-4FT-2L-8xx-3W-M-G2</v>
      </c>
      <c r="AF298" s="1" t="str">
        <f>_xlfn.IFNA(VLOOKUP(Master_Reference[[#This Row],[C-Flex 3000K Eco Part Number]],Lutron_CFlex_Lookup[],MATCH("Lutron Kit PN",Lutron_CFlex_Lookup[#Headers],0),FALSE),"")</f>
        <v/>
      </c>
      <c r="AG298" s="1" t="str">
        <f>_xlfn.IFNA(VLOOKUP(Master_Reference[[#This Row],[C-Flex 3500K Eco Part Number]],Lutron_CFlex_Lookup[],MATCH("Lutron Kit PN",Lutron_CFlex_Lookup[#Headers],0),FALSE),"")</f>
        <v/>
      </c>
      <c r="AH298" s="1" t="str">
        <f>_xlfn.IFNA(VLOOKUP(Master_Reference[[#This Row],[C-Flex 4000K Eco Part Number]],Lutron_CFlex_Lookup[],MATCH("Lutron Kit PN",Lutron_CFlex_Lookup[#Headers],0),FALSE),"")</f>
        <v/>
      </c>
      <c r="AI298" s="1" t="str">
        <f>_xlfn.IFNA(VLOOKUP(Master_Reference[[#This Row],[C-Flex 5000K Eco Part Number]],Lutron_CFlex_Lookup[],MATCH("Lutron Kit PN",Lutron_CFlex_Lookup[#Headers],0),FALSE),"")</f>
        <v/>
      </c>
      <c r="AJ298" s="1" t="str">
        <f>_xlfn.IFNA(VLOOKUP(Master_Reference[[#This Row],[C-Flex 3000K 3W Part Number]],Lutron_CFlex_Lookup[],MATCH("Lutron Kit PN",Lutron_CFlex_Lookup[#Headers],0),FALSE),"")</f>
        <v>3LD4T5H-2M30-q</v>
      </c>
      <c r="AK298" s="1" t="str">
        <f>_xlfn.IFNA(VLOOKUP(Master_Reference[[#This Row],[C-Flex 3500K 3W Part Number]],Lutron_CFlex_Lookup[],MATCH("Lutron Kit PN",Lutron_CFlex_Lookup[#Headers],0),FALSE),"")</f>
        <v>3LD4T5H-2M35-q</v>
      </c>
      <c r="AL298" s="1" t="str">
        <f>_xlfn.IFNA(VLOOKUP(Master_Reference[[#This Row],[C-Flex 4000K 3W Part Number]],Lutron_CFlex_Lookup[],MATCH("Lutron Kit PN",Lutron_CFlex_Lookup[#Headers],0),FALSE),"")</f>
        <v>3LD4T5H-2M40-q</v>
      </c>
      <c r="AM298" s="1" t="str">
        <f>_xlfn.IFNA(VLOOKUP(Master_Reference[[#This Row],[C-Flex 5000K 3W Part Number]],Lutron_CFlex_Lookup[],MATCH("Lutron Kit PN",Lutron_CFlex_Lookup[#Headers],0),FALSE),"")</f>
        <v>3LD4T5H-2M50-q</v>
      </c>
      <c r="AN298" s="1" t="b">
        <f>NOT(ISNA(VLOOKUP(Master_Reference[[#This Row],[Model Number]],ObsoleteModels[],1,FALSE)))</f>
        <v>1</v>
      </c>
      <c r="AO298" s="1" t="str">
        <f>IF(LEFT(Master_Reference[[#This Row],[Model Number]],1)="U",LEFT(Master_Reference[[#This Row],[Model Number]],4),LEFT(Master_Reference[[#This Row],[Model Number]],3))</f>
        <v>ECO</v>
      </c>
    </row>
    <row r="299" spans="1:41" x14ac:dyDescent="0.25">
      <c r="A299" s="2" t="s">
        <v>574</v>
      </c>
      <c r="B299" s="1"/>
      <c r="C299" s="1" t="b">
        <v>1</v>
      </c>
      <c r="G299" s="1" t="str">
        <f>IF(OR(LEFT(RIGHT(Master_Reference[[#This Row],[Model Number]],3),1)="C",LEFT(RIGHT(Master_Reference[[#This Row],[Model Number]],4),1)="C"),TRUE,"")</f>
        <v/>
      </c>
      <c r="H299" s="1" t="str">
        <f>IF(LEFT(Master_Reference[[#This Row],[Model Number]],1)="U",TRUE,"")</f>
        <v/>
      </c>
      <c r="I299" s="1" t="b">
        <f>IF(Master_Reference[[#This Row],[Lamp Type]]="T4","",IF(Master_Reference[[#This Row],[Case Type]]="M","",TRUE))</f>
        <v>1</v>
      </c>
      <c r="J299" s="1" t="s">
        <v>297</v>
      </c>
      <c r="K299" s="1">
        <v>54</v>
      </c>
      <c r="L299" s="1" t="s">
        <v>118</v>
      </c>
      <c r="M299" s="1">
        <v>2</v>
      </c>
      <c r="N299" s="1">
        <v>120</v>
      </c>
      <c r="O299" s="1" t="s">
        <v>113</v>
      </c>
      <c r="R299" t="b">
        <f>IF(COUNTBLANK(Master_Reference[[#This Row],[C-Flex 3000K Eco Part Number]:[C-Flex 4000K Eco Part Number]])=3,FALSE,TRUE)</f>
        <v>0</v>
      </c>
      <c r="S299" t="b">
        <f>IF(COUNTBLANK(Master_Reference[[#This Row],[C-Flex 3000K 3W Part Number]:[C-Flex 4000K 3W Part Number]])=3,FALSE,TRUE)</f>
        <v>1</v>
      </c>
      <c r="T299" s="1" t="b">
        <f>IF(COUNTBLANK(Master_Reference[[#This Row],[Lutron 3000K Eco Part Number]:[Lutron 4000K Eco Part Number]])=3,FALSE,TRUE)</f>
        <v>0</v>
      </c>
      <c r="U299" s="1" t="b">
        <f>IF(COUNTBLANK(Master_Reference[[#This Row],[Lutron 3000K 3W Part Number]:[Lutron 4000K 3W Part Number]])=3,FALSE,TRUE)</f>
        <v>1</v>
      </c>
      <c r="V299" s="13"/>
      <c r="W299" s="13"/>
      <c r="X299" s="12"/>
      <c r="Y299" t="s">
        <v>2125</v>
      </c>
      <c r="Z299" s="12" t="s">
        <v>308</v>
      </c>
      <c r="AA299" s="12" t="s">
        <v>309</v>
      </c>
      <c r="AB299" s="12" t="s">
        <v>310</v>
      </c>
      <c r="AC299" t="s">
        <v>1822</v>
      </c>
      <c r="AD299" t="str">
        <f>SUBSTITUTE(Master_Reference[[#This Row],[C-Flex 4000K Eco Part Number]],"40-","xx-")</f>
        <v/>
      </c>
      <c r="AE299" t="str">
        <f>SUBSTITUTE(Master_Reference[[#This Row],[C-Flex 4000K 3W Part Number]],"40-","xx-")</f>
        <v>RP-T5HO-4FT-2L-8xx-3W-M-G2</v>
      </c>
      <c r="AF299" s="1" t="str">
        <f>_xlfn.IFNA(VLOOKUP(Master_Reference[[#This Row],[C-Flex 3000K Eco Part Number]],Lutron_CFlex_Lookup[],MATCH("Lutron Kit PN",Lutron_CFlex_Lookup[#Headers],0),FALSE),"")</f>
        <v/>
      </c>
      <c r="AG299" s="1" t="str">
        <f>_xlfn.IFNA(VLOOKUP(Master_Reference[[#This Row],[C-Flex 3500K Eco Part Number]],Lutron_CFlex_Lookup[],MATCH("Lutron Kit PN",Lutron_CFlex_Lookup[#Headers],0),FALSE),"")</f>
        <v/>
      </c>
      <c r="AH299" s="1" t="str">
        <f>_xlfn.IFNA(VLOOKUP(Master_Reference[[#This Row],[C-Flex 4000K Eco Part Number]],Lutron_CFlex_Lookup[],MATCH("Lutron Kit PN",Lutron_CFlex_Lookup[#Headers],0),FALSE),"")</f>
        <v/>
      </c>
      <c r="AI299" s="1" t="str">
        <f>_xlfn.IFNA(VLOOKUP(Master_Reference[[#This Row],[C-Flex 5000K Eco Part Number]],Lutron_CFlex_Lookup[],MATCH("Lutron Kit PN",Lutron_CFlex_Lookup[#Headers],0),FALSE),"")</f>
        <v/>
      </c>
      <c r="AJ299" s="1" t="str">
        <f>_xlfn.IFNA(VLOOKUP(Master_Reference[[#This Row],[C-Flex 3000K 3W Part Number]],Lutron_CFlex_Lookup[],MATCH("Lutron Kit PN",Lutron_CFlex_Lookup[#Headers],0),FALSE),"")</f>
        <v>3LD4T5H-2M30-q</v>
      </c>
      <c r="AK299" s="1" t="str">
        <f>_xlfn.IFNA(VLOOKUP(Master_Reference[[#This Row],[C-Flex 3500K 3W Part Number]],Lutron_CFlex_Lookup[],MATCH("Lutron Kit PN",Lutron_CFlex_Lookup[#Headers],0),FALSE),"")</f>
        <v>3LD4T5H-2M35-q</v>
      </c>
      <c r="AL299" s="1" t="str">
        <f>_xlfn.IFNA(VLOOKUP(Master_Reference[[#This Row],[C-Flex 4000K 3W Part Number]],Lutron_CFlex_Lookup[],MATCH("Lutron Kit PN",Lutron_CFlex_Lookup[#Headers],0),FALSE),"")</f>
        <v>3LD4T5H-2M40-q</v>
      </c>
      <c r="AM299" s="1" t="str">
        <f>_xlfn.IFNA(VLOOKUP(Master_Reference[[#This Row],[C-Flex 5000K 3W Part Number]],Lutron_CFlex_Lookup[],MATCH("Lutron Kit PN",Lutron_CFlex_Lookup[#Headers],0),FALSE),"")</f>
        <v>3LD4T5H-2M50-q</v>
      </c>
      <c r="AN299" s="1" t="b">
        <f>NOT(ISNA(VLOOKUP(Master_Reference[[#This Row],[Model Number]],ObsoleteModels[],1,FALSE)))</f>
        <v>1</v>
      </c>
      <c r="AO299" s="1" t="str">
        <f>IF(LEFT(Master_Reference[[#This Row],[Model Number]],1)="U",LEFT(Master_Reference[[#This Row],[Model Number]],4),LEFT(Master_Reference[[#This Row],[Model Number]],3))</f>
        <v>ECO</v>
      </c>
    </row>
    <row r="300" spans="1:41" x14ac:dyDescent="0.25">
      <c r="A300" s="2" t="s">
        <v>575</v>
      </c>
      <c r="B300" s="1"/>
      <c r="C300" s="1" t="b">
        <v>1</v>
      </c>
      <c r="G300" s="1" t="str">
        <f>IF(OR(LEFT(RIGHT(Master_Reference[[#This Row],[Model Number]],3),1)="C",LEFT(RIGHT(Master_Reference[[#This Row],[Model Number]],4),1)="C"),TRUE,"")</f>
        <v/>
      </c>
      <c r="H300" s="1" t="str">
        <f>IF(LEFT(Master_Reference[[#This Row],[Model Number]],1)="U",TRUE,"")</f>
        <v/>
      </c>
      <c r="I300" s="1" t="b">
        <f>IF(Master_Reference[[#This Row],[Lamp Type]]="T4","",IF(Master_Reference[[#This Row],[Case Type]]="M","",TRUE))</f>
        <v>1</v>
      </c>
      <c r="J300" s="1" t="s">
        <v>297</v>
      </c>
      <c r="K300" s="1">
        <v>54</v>
      </c>
      <c r="L300" s="1" t="s">
        <v>118</v>
      </c>
      <c r="M300" s="1">
        <v>2</v>
      </c>
      <c r="N300" s="1">
        <v>120</v>
      </c>
      <c r="O300" s="1" t="s">
        <v>113</v>
      </c>
      <c r="Q300" s="1" t="s">
        <v>91</v>
      </c>
      <c r="R300" t="b">
        <f>IF(COUNTBLANK(Master_Reference[[#This Row],[C-Flex 3000K Eco Part Number]:[C-Flex 4000K Eco Part Number]])=3,FALSE,TRUE)</f>
        <v>0</v>
      </c>
      <c r="S300" t="b">
        <f>IF(COUNTBLANK(Master_Reference[[#This Row],[C-Flex 3000K 3W Part Number]:[C-Flex 4000K 3W Part Number]])=3,FALSE,TRUE)</f>
        <v>0</v>
      </c>
      <c r="T300" t="b">
        <f>IF(COUNTBLANK(Master_Reference[[#This Row],[Lutron 3000K Eco Part Number]:[Lutron 4000K Eco Part Number]])=3,FALSE,TRUE)</f>
        <v>0</v>
      </c>
      <c r="U300" t="b">
        <f>IF(COUNTBLANK(Master_Reference[[#This Row],[Lutron 3000K 3W Part Number]:[Lutron 4000K 3W Part Number]])=3,FALSE,TRUE)</f>
        <v>0</v>
      </c>
      <c r="V300" s="12"/>
      <c r="W300" s="12"/>
      <c r="X300" s="12"/>
      <c r="Y300" t="s">
        <v>2125</v>
      </c>
      <c r="Z300" s="12"/>
      <c r="AA300" s="12"/>
      <c r="AB300" s="12"/>
      <c r="AC300" t="s">
        <v>2125</v>
      </c>
      <c r="AD300" t="str">
        <f>SUBSTITUTE(Master_Reference[[#This Row],[C-Flex 4000K Eco Part Number]],"40-","xx-")</f>
        <v/>
      </c>
      <c r="AE300" t="str">
        <f>SUBSTITUTE(Master_Reference[[#This Row],[C-Flex 4000K 3W Part Number]],"40-","xx-")</f>
        <v/>
      </c>
      <c r="AF300" s="1" t="str">
        <f>_xlfn.IFNA(VLOOKUP(Master_Reference[[#This Row],[C-Flex 3000K Eco Part Number]],Lutron_CFlex_Lookup[],MATCH("Lutron Kit PN",Lutron_CFlex_Lookup[#Headers],0),FALSE),"")</f>
        <v/>
      </c>
      <c r="AG300" s="1" t="str">
        <f>_xlfn.IFNA(VLOOKUP(Master_Reference[[#This Row],[C-Flex 3500K Eco Part Number]],Lutron_CFlex_Lookup[],MATCH("Lutron Kit PN",Lutron_CFlex_Lookup[#Headers],0),FALSE),"")</f>
        <v/>
      </c>
      <c r="AH300" s="1" t="str">
        <f>_xlfn.IFNA(VLOOKUP(Master_Reference[[#This Row],[C-Flex 4000K Eco Part Number]],Lutron_CFlex_Lookup[],MATCH("Lutron Kit PN",Lutron_CFlex_Lookup[#Headers],0),FALSE),"")</f>
        <v/>
      </c>
      <c r="AI300" s="1" t="str">
        <f>_xlfn.IFNA(VLOOKUP(Master_Reference[[#This Row],[C-Flex 5000K Eco Part Number]],Lutron_CFlex_Lookup[],MATCH("Lutron Kit PN",Lutron_CFlex_Lookup[#Headers],0),FALSE),"")</f>
        <v/>
      </c>
      <c r="AJ300" s="1" t="str">
        <f>_xlfn.IFNA(VLOOKUP(Master_Reference[[#This Row],[C-Flex 3000K 3W Part Number]],Lutron_CFlex_Lookup[],MATCH("Lutron Kit PN",Lutron_CFlex_Lookup[#Headers],0),FALSE),"")</f>
        <v/>
      </c>
      <c r="AK300" s="1" t="str">
        <f>_xlfn.IFNA(VLOOKUP(Master_Reference[[#This Row],[C-Flex 3500K 3W Part Number]],Lutron_CFlex_Lookup[],MATCH("Lutron Kit PN",Lutron_CFlex_Lookup[#Headers],0),FALSE),"")</f>
        <v/>
      </c>
      <c r="AL300" s="1" t="str">
        <f>_xlfn.IFNA(VLOOKUP(Master_Reference[[#This Row],[C-Flex 4000K 3W Part Number]],Lutron_CFlex_Lookup[],MATCH("Lutron Kit PN",Lutron_CFlex_Lookup[#Headers],0),FALSE),"")</f>
        <v/>
      </c>
      <c r="AM300" s="1" t="str">
        <f>_xlfn.IFNA(VLOOKUP(Master_Reference[[#This Row],[C-Flex 5000K 3W Part Number]],Lutron_CFlex_Lookup[],MATCH("Lutron Kit PN",Lutron_CFlex_Lookup[#Headers],0),FALSE),"")</f>
        <v/>
      </c>
      <c r="AN300" s="1" t="b">
        <f>NOT(ISNA(VLOOKUP(Master_Reference[[#This Row],[Model Number]],ObsoleteModels[],1,FALSE)))</f>
        <v>1</v>
      </c>
      <c r="AO300" s="1" t="str">
        <f>IF(LEFT(Master_Reference[[#This Row],[Model Number]],1)="U",LEFT(Master_Reference[[#This Row],[Model Number]],4),LEFT(Master_Reference[[#This Row],[Model Number]],3))</f>
        <v>ECO</v>
      </c>
    </row>
    <row r="301" spans="1:41" x14ac:dyDescent="0.25">
      <c r="A301" s="2" t="s">
        <v>576</v>
      </c>
      <c r="B301" s="1"/>
      <c r="C301" s="1" t="b">
        <v>1</v>
      </c>
      <c r="G301" s="1" t="str">
        <f>IF(OR(LEFT(RIGHT(Master_Reference[[#This Row],[Model Number]],3),1)="C",LEFT(RIGHT(Master_Reference[[#This Row],[Model Number]],4),1)="C"),TRUE,"")</f>
        <v/>
      </c>
      <c r="H301" s="1" t="str">
        <f>IF(LEFT(Master_Reference[[#This Row],[Model Number]],1)="U",TRUE,"")</f>
        <v/>
      </c>
      <c r="I301" s="1" t="b">
        <f>IF(Master_Reference[[#This Row],[Lamp Type]]="T4","",IF(Master_Reference[[#This Row],[Case Type]]="M","",TRUE))</f>
        <v>1</v>
      </c>
      <c r="J301" s="1" t="s">
        <v>297</v>
      </c>
      <c r="K301" s="1">
        <v>54</v>
      </c>
      <c r="L301" s="1" t="s">
        <v>118</v>
      </c>
      <c r="M301" s="1">
        <v>1</v>
      </c>
      <c r="N301" s="1">
        <v>277</v>
      </c>
      <c r="O301" s="1" t="s">
        <v>113</v>
      </c>
      <c r="R301" t="b">
        <f>IF(COUNTBLANK(Master_Reference[[#This Row],[C-Flex 3000K Eco Part Number]:[C-Flex 4000K Eco Part Number]])=3,FALSE,TRUE)</f>
        <v>0</v>
      </c>
      <c r="S301" t="b">
        <f>IF(COUNTBLANK(Master_Reference[[#This Row],[C-Flex 3000K 3W Part Number]:[C-Flex 4000K 3W Part Number]])=3,FALSE,TRUE)</f>
        <v>1</v>
      </c>
      <c r="T301" t="b">
        <f>IF(COUNTBLANK(Master_Reference[[#This Row],[Lutron 3000K Eco Part Number]:[Lutron 4000K Eco Part Number]])=3,FALSE,TRUE)</f>
        <v>0</v>
      </c>
      <c r="U301" t="b">
        <f>IF(COUNTBLANK(Master_Reference[[#This Row],[Lutron 3000K 3W Part Number]:[Lutron 4000K 3W Part Number]])=3,FALSE,TRUE)</f>
        <v>1</v>
      </c>
      <c r="V301" s="12"/>
      <c r="W301" s="12"/>
      <c r="X301" s="12"/>
      <c r="Y301" t="s">
        <v>2125</v>
      </c>
      <c r="Z301" s="12" t="s">
        <v>301</v>
      </c>
      <c r="AA301" s="12" t="s">
        <v>302</v>
      </c>
      <c r="AB301" s="12" t="s">
        <v>303</v>
      </c>
      <c r="AC301" t="s">
        <v>1821</v>
      </c>
      <c r="AD301" t="str">
        <f>SUBSTITUTE(Master_Reference[[#This Row],[C-Flex 4000K Eco Part Number]],"40-","xx-")</f>
        <v/>
      </c>
      <c r="AE301" t="str">
        <f>SUBSTITUTE(Master_Reference[[#This Row],[C-Flex 4000K 3W Part Number]],"40-","xx-")</f>
        <v>RP-T5HO-4FT-1L-8xx-3W-M-G2</v>
      </c>
      <c r="AF301" s="1" t="str">
        <f>_xlfn.IFNA(VLOOKUP(Master_Reference[[#This Row],[C-Flex 3000K Eco Part Number]],Lutron_CFlex_Lookup[],MATCH("Lutron Kit PN",Lutron_CFlex_Lookup[#Headers],0),FALSE),"")</f>
        <v/>
      </c>
      <c r="AG301" s="1" t="str">
        <f>_xlfn.IFNA(VLOOKUP(Master_Reference[[#This Row],[C-Flex 3500K Eco Part Number]],Lutron_CFlex_Lookup[],MATCH("Lutron Kit PN",Lutron_CFlex_Lookup[#Headers],0),FALSE),"")</f>
        <v/>
      </c>
      <c r="AH301" s="1" t="str">
        <f>_xlfn.IFNA(VLOOKUP(Master_Reference[[#This Row],[C-Flex 4000K Eco Part Number]],Lutron_CFlex_Lookup[],MATCH("Lutron Kit PN",Lutron_CFlex_Lookup[#Headers],0),FALSE),"")</f>
        <v/>
      </c>
      <c r="AI301" s="1" t="str">
        <f>_xlfn.IFNA(VLOOKUP(Master_Reference[[#This Row],[C-Flex 5000K Eco Part Number]],Lutron_CFlex_Lookup[],MATCH("Lutron Kit PN",Lutron_CFlex_Lookup[#Headers],0),FALSE),"")</f>
        <v/>
      </c>
      <c r="AJ301" s="1" t="str">
        <f>_xlfn.IFNA(VLOOKUP(Master_Reference[[#This Row],[C-Flex 3000K 3W Part Number]],Lutron_CFlex_Lookup[],MATCH("Lutron Kit PN",Lutron_CFlex_Lookup[#Headers],0),FALSE),"")</f>
        <v>3LD4T5H-1M30-q</v>
      </c>
      <c r="AK301" s="1" t="str">
        <f>_xlfn.IFNA(VLOOKUP(Master_Reference[[#This Row],[C-Flex 3500K 3W Part Number]],Lutron_CFlex_Lookup[],MATCH("Lutron Kit PN",Lutron_CFlex_Lookup[#Headers],0),FALSE),"")</f>
        <v>3LD4T5H-1M35-q</v>
      </c>
      <c r="AL301" s="1" t="str">
        <f>_xlfn.IFNA(VLOOKUP(Master_Reference[[#This Row],[C-Flex 4000K 3W Part Number]],Lutron_CFlex_Lookup[],MATCH("Lutron Kit PN",Lutron_CFlex_Lookup[#Headers],0),FALSE),"")</f>
        <v>3LD4T5H-1M40-q</v>
      </c>
      <c r="AM301" s="1" t="str">
        <f>_xlfn.IFNA(VLOOKUP(Master_Reference[[#This Row],[C-Flex 5000K 3W Part Number]],Lutron_CFlex_Lookup[],MATCH("Lutron Kit PN",Lutron_CFlex_Lookup[#Headers],0),FALSE),"")</f>
        <v>3LD4T5H-1M50-q</v>
      </c>
      <c r="AN301" s="1" t="b">
        <f>NOT(ISNA(VLOOKUP(Master_Reference[[#This Row],[Model Number]],ObsoleteModels[],1,FALSE)))</f>
        <v>1</v>
      </c>
      <c r="AO301" s="1" t="str">
        <f>IF(LEFT(Master_Reference[[#This Row],[Model Number]],1)="U",LEFT(Master_Reference[[#This Row],[Model Number]],4),LEFT(Master_Reference[[#This Row],[Model Number]],3))</f>
        <v>ECO</v>
      </c>
    </row>
    <row r="302" spans="1:41" x14ac:dyDescent="0.25">
      <c r="A302" s="2" t="s">
        <v>577</v>
      </c>
      <c r="B302" s="1"/>
      <c r="C302" s="1" t="b">
        <v>1</v>
      </c>
      <c r="G302" s="1" t="str">
        <f>IF(OR(LEFT(RIGHT(Master_Reference[[#This Row],[Model Number]],3),1)="C",LEFT(RIGHT(Master_Reference[[#This Row],[Model Number]],4),1)="C"),TRUE,"")</f>
        <v/>
      </c>
      <c r="H302" s="1" t="str">
        <f>IF(LEFT(Master_Reference[[#This Row],[Model Number]],1)="U",TRUE,"")</f>
        <v/>
      </c>
      <c r="I302" s="1" t="b">
        <f>IF(Master_Reference[[#This Row],[Lamp Type]]="T4","",IF(Master_Reference[[#This Row],[Case Type]]="M","",TRUE))</f>
        <v>1</v>
      </c>
      <c r="J302" s="1" t="s">
        <v>297</v>
      </c>
      <c r="K302" s="1">
        <v>54</v>
      </c>
      <c r="L302" s="1" t="s">
        <v>118</v>
      </c>
      <c r="M302" s="1">
        <v>2</v>
      </c>
      <c r="N302" s="1">
        <v>277</v>
      </c>
      <c r="O302" s="1" t="s">
        <v>113</v>
      </c>
      <c r="R302" t="b">
        <f>IF(COUNTBLANK(Master_Reference[[#This Row],[C-Flex 3000K Eco Part Number]:[C-Flex 4000K Eco Part Number]])=3,FALSE,TRUE)</f>
        <v>0</v>
      </c>
      <c r="S302" t="b">
        <f>IF(COUNTBLANK(Master_Reference[[#This Row],[C-Flex 3000K 3W Part Number]:[C-Flex 4000K 3W Part Number]])=3,FALSE,TRUE)</f>
        <v>1</v>
      </c>
      <c r="T302" t="b">
        <f>IF(COUNTBLANK(Master_Reference[[#This Row],[Lutron 3000K Eco Part Number]:[Lutron 4000K Eco Part Number]])=3,FALSE,TRUE)</f>
        <v>0</v>
      </c>
      <c r="U302" t="b">
        <f>IF(COUNTBLANK(Master_Reference[[#This Row],[Lutron 3000K 3W Part Number]:[Lutron 4000K 3W Part Number]])=3,FALSE,TRUE)</f>
        <v>1</v>
      </c>
      <c r="V302" s="12"/>
      <c r="W302" s="12"/>
      <c r="X302" s="12"/>
      <c r="Y302" t="s">
        <v>2125</v>
      </c>
      <c r="Z302" s="12" t="s">
        <v>308</v>
      </c>
      <c r="AA302" s="12" t="s">
        <v>309</v>
      </c>
      <c r="AB302" s="12" t="s">
        <v>310</v>
      </c>
      <c r="AC302" t="s">
        <v>1822</v>
      </c>
      <c r="AD302" t="str">
        <f>SUBSTITUTE(Master_Reference[[#This Row],[C-Flex 4000K Eco Part Number]],"40-","xx-")</f>
        <v/>
      </c>
      <c r="AE302" t="str">
        <f>SUBSTITUTE(Master_Reference[[#This Row],[C-Flex 4000K 3W Part Number]],"40-","xx-")</f>
        <v>RP-T5HO-4FT-2L-8xx-3W-M-G2</v>
      </c>
      <c r="AF302" s="1" t="str">
        <f>_xlfn.IFNA(VLOOKUP(Master_Reference[[#This Row],[C-Flex 3000K Eco Part Number]],Lutron_CFlex_Lookup[],MATCH("Lutron Kit PN",Lutron_CFlex_Lookup[#Headers],0),FALSE),"")</f>
        <v/>
      </c>
      <c r="AG302" s="1" t="str">
        <f>_xlfn.IFNA(VLOOKUP(Master_Reference[[#This Row],[C-Flex 3500K Eco Part Number]],Lutron_CFlex_Lookup[],MATCH("Lutron Kit PN",Lutron_CFlex_Lookup[#Headers],0),FALSE),"")</f>
        <v/>
      </c>
      <c r="AH302" s="1" t="str">
        <f>_xlfn.IFNA(VLOOKUP(Master_Reference[[#This Row],[C-Flex 4000K Eco Part Number]],Lutron_CFlex_Lookup[],MATCH("Lutron Kit PN",Lutron_CFlex_Lookup[#Headers],0),FALSE),"")</f>
        <v/>
      </c>
      <c r="AI302" s="1" t="str">
        <f>_xlfn.IFNA(VLOOKUP(Master_Reference[[#This Row],[C-Flex 5000K Eco Part Number]],Lutron_CFlex_Lookup[],MATCH("Lutron Kit PN",Lutron_CFlex_Lookup[#Headers],0),FALSE),"")</f>
        <v/>
      </c>
      <c r="AJ302" s="1" t="str">
        <f>_xlfn.IFNA(VLOOKUP(Master_Reference[[#This Row],[C-Flex 3000K 3W Part Number]],Lutron_CFlex_Lookup[],MATCH("Lutron Kit PN",Lutron_CFlex_Lookup[#Headers],0),FALSE),"")</f>
        <v>3LD4T5H-2M30-q</v>
      </c>
      <c r="AK302" s="1" t="str">
        <f>_xlfn.IFNA(VLOOKUP(Master_Reference[[#This Row],[C-Flex 3500K 3W Part Number]],Lutron_CFlex_Lookup[],MATCH("Lutron Kit PN",Lutron_CFlex_Lookup[#Headers],0),FALSE),"")</f>
        <v>3LD4T5H-2M35-q</v>
      </c>
      <c r="AL302" s="1" t="str">
        <f>_xlfn.IFNA(VLOOKUP(Master_Reference[[#This Row],[C-Flex 4000K 3W Part Number]],Lutron_CFlex_Lookup[],MATCH("Lutron Kit PN",Lutron_CFlex_Lookup[#Headers],0),FALSE),"")</f>
        <v>3LD4T5H-2M40-q</v>
      </c>
      <c r="AM302" s="1" t="str">
        <f>_xlfn.IFNA(VLOOKUP(Master_Reference[[#This Row],[C-Flex 5000K 3W Part Number]],Lutron_CFlex_Lookup[],MATCH("Lutron Kit PN",Lutron_CFlex_Lookup[#Headers],0),FALSE),"")</f>
        <v>3LD4T5H-2M50-q</v>
      </c>
      <c r="AN302" s="1" t="b">
        <f>NOT(ISNA(VLOOKUP(Master_Reference[[#This Row],[Model Number]],ObsoleteModels[],1,FALSE)))</f>
        <v>1</v>
      </c>
      <c r="AO302" s="1" t="str">
        <f>IF(LEFT(Master_Reference[[#This Row],[Model Number]],1)="U",LEFT(Master_Reference[[#This Row],[Model Number]],4),LEFT(Master_Reference[[#This Row],[Model Number]],3))</f>
        <v>ECO</v>
      </c>
    </row>
    <row r="303" spans="1:41" x14ac:dyDescent="0.25">
      <c r="A303" s="2" t="s">
        <v>578</v>
      </c>
      <c r="B303" s="1"/>
      <c r="C303" s="1" t="b">
        <v>1</v>
      </c>
      <c r="G303" s="1" t="str">
        <f>IF(OR(LEFT(RIGHT(Master_Reference[[#This Row],[Model Number]],3),1)="C",LEFT(RIGHT(Master_Reference[[#This Row],[Model Number]],4),1)="C"),TRUE,"")</f>
        <v/>
      </c>
      <c r="H303" s="1" t="str">
        <f>IF(LEFT(Master_Reference[[#This Row],[Model Number]],1)="U",TRUE,"")</f>
        <v/>
      </c>
      <c r="I303" s="1" t="b">
        <f>IF(Master_Reference[[#This Row],[Lamp Type]]="T4","",IF(Master_Reference[[#This Row],[Case Type]]="M","",TRUE))</f>
        <v>1</v>
      </c>
      <c r="J303" s="1" t="s">
        <v>297</v>
      </c>
      <c r="K303" s="1">
        <v>39</v>
      </c>
      <c r="L303" s="1" t="s">
        <v>115</v>
      </c>
      <c r="M303" s="1">
        <v>1</v>
      </c>
      <c r="N303" s="1">
        <v>120</v>
      </c>
      <c r="O303" s="1" t="s">
        <v>113</v>
      </c>
      <c r="R303" t="b">
        <f>IF(COUNTBLANK(Master_Reference[[#This Row],[C-Flex 3000K Eco Part Number]:[C-Flex 4000K Eco Part Number]])=3,FALSE,TRUE)</f>
        <v>0</v>
      </c>
      <c r="S303" t="b">
        <f>IF(COUNTBLANK(Master_Reference[[#This Row],[C-Flex 3000K 3W Part Number]:[C-Flex 4000K 3W Part Number]])=3,FALSE,TRUE)</f>
        <v>1</v>
      </c>
      <c r="T303" t="b">
        <f>IF(COUNTBLANK(Master_Reference[[#This Row],[Lutron 3000K Eco Part Number]:[Lutron 4000K Eco Part Number]])=3,FALSE,TRUE)</f>
        <v>0</v>
      </c>
      <c r="U303" t="b">
        <f>IF(COUNTBLANK(Master_Reference[[#This Row],[Lutron 3000K 3W Part Number]:[Lutron 4000K 3W Part Number]])=3,FALSE,TRUE)</f>
        <v>1</v>
      </c>
      <c r="V303" s="12"/>
      <c r="W303" s="12"/>
      <c r="X303" s="12"/>
      <c r="Y303" t="s">
        <v>2125</v>
      </c>
      <c r="Z303" s="12" t="s">
        <v>408</v>
      </c>
      <c r="AA303" s="12" t="s">
        <v>409</v>
      </c>
      <c r="AB303" s="12" t="s">
        <v>410</v>
      </c>
      <c r="AC303" t="s">
        <v>1815</v>
      </c>
      <c r="AD303" t="str">
        <f>SUBSTITUTE(Master_Reference[[#This Row],[C-Flex 4000K Eco Part Number]],"40-","xx-")</f>
        <v/>
      </c>
      <c r="AE303" t="str">
        <f>SUBSTITUTE(Master_Reference[[#This Row],[C-Flex 4000K 3W Part Number]],"40-","xx-")</f>
        <v>RP-T5HO-3FT-1L-8xx-3W-M-G2</v>
      </c>
      <c r="AF303" s="1" t="str">
        <f>_xlfn.IFNA(VLOOKUP(Master_Reference[[#This Row],[C-Flex 3000K Eco Part Number]],Lutron_CFlex_Lookup[],MATCH("Lutron Kit PN",Lutron_CFlex_Lookup[#Headers],0),FALSE),"")</f>
        <v/>
      </c>
      <c r="AG303" s="1" t="str">
        <f>_xlfn.IFNA(VLOOKUP(Master_Reference[[#This Row],[C-Flex 3500K Eco Part Number]],Lutron_CFlex_Lookup[],MATCH("Lutron Kit PN",Lutron_CFlex_Lookup[#Headers],0),FALSE),"")</f>
        <v/>
      </c>
      <c r="AH303" s="1" t="str">
        <f>_xlfn.IFNA(VLOOKUP(Master_Reference[[#This Row],[C-Flex 4000K Eco Part Number]],Lutron_CFlex_Lookup[],MATCH("Lutron Kit PN",Lutron_CFlex_Lookup[#Headers],0),FALSE),"")</f>
        <v/>
      </c>
      <c r="AI303" s="1" t="str">
        <f>_xlfn.IFNA(VLOOKUP(Master_Reference[[#This Row],[C-Flex 5000K Eco Part Number]],Lutron_CFlex_Lookup[],MATCH("Lutron Kit PN",Lutron_CFlex_Lookup[#Headers],0),FALSE),"")</f>
        <v/>
      </c>
      <c r="AJ303" s="1" t="str">
        <f>_xlfn.IFNA(VLOOKUP(Master_Reference[[#This Row],[C-Flex 3000K 3W Part Number]],Lutron_CFlex_Lookup[],MATCH("Lutron Kit PN",Lutron_CFlex_Lookup[#Headers],0),FALSE),"")</f>
        <v>3LD3T5H-1M30-q</v>
      </c>
      <c r="AK303" s="1" t="str">
        <f>_xlfn.IFNA(VLOOKUP(Master_Reference[[#This Row],[C-Flex 3500K 3W Part Number]],Lutron_CFlex_Lookup[],MATCH("Lutron Kit PN",Lutron_CFlex_Lookup[#Headers],0),FALSE),"")</f>
        <v>3LD3T5H-1M35-q</v>
      </c>
      <c r="AL303" s="1" t="str">
        <f>_xlfn.IFNA(VLOOKUP(Master_Reference[[#This Row],[C-Flex 4000K 3W Part Number]],Lutron_CFlex_Lookup[],MATCH("Lutron Kit PN",Lutron_CFlex_Lookup[#Headers],0),FALSE),"")</f>
        <v>3LD3T5H-1M40-q</v>
      </c>
      <c r="AM303" s="1" t="str">
        <f>_xlfn.IFNA(VLOOKUP(Master_Reference[[#This Row],[C-Flex 5000K 3W Part Number]],Lutron_CFlex_Lookup[],MATCH("Lutron Kit PN",Lutron_CFlex_Lookup[#Headers],0),FALSE),"")</f>
        <v>3LD3T5H-1M50-q</v>
      </c>
      <c r="AN303" s="1" t="b">
        <f>NOT(ISNA(VLOOKUP(Master_Reference[[#This Row],[Model Number]],ObsoleteModels[],1,FALSE)))</f>
        <v>1</v>
      </c>
      <c r="AO303" s="1" t="str">
        <f>IF(LEFT(Master_Reference[[#This Row],[Model Number]],1)="U",LEFT(Master_Reference[[#This Row],[Model Number]],4),LEFT(Master_Reference[[#This Row],[Model Number]],3))</f>
        <v>ECO</v>
      </c>
    </row>
    <row r="304" spans="1:41" x14ac:dyDescent="0.25">
      <c r="A304" s="2" t="s">
        <v>579</v>
      </c>
      <c r="B304" s="1"/>
      <c r="C304" s="1" t="b">
        <v>1</v>
      </c>
      <c r="G304" s="1" t="str">
        <f>IF(OR(LEFT(RIGHT(Master_Reference[[#This Row],[Model Number]],3),1)="C",LEFT(RIGHT(Master_Reference[[#This Row],[Model Number]],4),1)="C"),TRUE,"")</f>
        <v/>
      </c>
      <c r="H304" s="1" t="str">
        <f>IF(LEFT(Master_Reference[[#This Row],[Model Number]],1)="U",TRUE,"")</f>
        <v/>
      </c>
      <c r="I304" s="1" t="b">
        <f>IF(Master_Reference[[#This Row],[Lamp Type]]="T4","",IF(Master_Reference[[#This Row],[Case Type]]="M","",TRUE))</f>
        <v>1</v>
      </c>
      <c r="J304" s="1" t="s">
        <v>297</v>
      </c>
      <c r="K304" s="1">
        <v>39</v>
      </c>
      <c r="L304" s="1" t="s">
        <v>115</v>
      </c>
      <c r="M304" s="1">
        <v>1</v>
      </c>
      <c r="N304" s="1">
        <v>120</v>
      </c>
      <c r="O304" s="1" t="s">
        <v>113</v>
      </c>
      <c r="Q304" s="1" t="s">
        <v>91</v>
      </c>
      <c r="R304" t="b">
        <f>IF(COUNTBLANK(Master_Reference[[#This Row],[C-Flex 3000K Eco Part Number]:[C-Flex 4000K Eco Part Number]])=3,FALSE,TRUE)</f>
        <v>0</v>
      </c>
      <c r="S304" t="b">
        <f>IF(COUNTBLANK(Master_Reference[[#This Row],[C-Flex 3000K 3W Part Number]:[C-Flex 4000K 3W Part Number]])=3,FALSE,TRUE)</f>
        <v>0</v>
      </c>
      <c r="T304" t="b">
        <f>IF(COUNTBLANK(Master_Reference[[#This Row],[Lutron 3000K Eco Part Number]:[Lutron 4000K Eco Part Number]])=3,FALSE,TRUE)</f>
        <v>0</v>
      </c>
      <c r="U304" t="b">
        <f>IF(COUNTBLANK(Master_Reference[[#This Row],[Lutron 3000K 3W Part Number]:[Lutron 4000K 3W Part Number]])=3,FALSE,TRUE)</f>
        <v>0</v>
      </c>
      <c r="V304" s="12"/>
      <c r="W304" s="12"/>
      <c r="X304" s="12"/>
      <c r="Y304" t="s">
        <v>2125</v>
      </c>
      <c r="Z304" s="12"/>
      <c r="AA304" s="12"/>
      <c r="AB304" s="12"/>
      <c r="AC304" t="s">
        <v>2125</v>
      </c>
      <c r="AD304" t="str">
        <f>SUBSTITUTE(Master_Reference[[#This Row],[C-Flex 4000K Eco Part Number]],"40-","xx-")</f>
        <v/>
      </c>
      <c r="AE304" t="str">
        <f>SUBSTITUTE(Master_Reference[[#This Row],[C-Flex 4000K 3W Part Number]],"40-","xx-")</f>
        <v/>
      </c>
      <c r="AF304" s="1" t="str">
        <f>_xlfn.IFNA(VLOOKUP(Master_Reference[[#This Row],[C-Flex 3000K Eco Part Number]],Lutron_CFlex_Lookup[],MATCH("Lutron Kit PN",Lutron_CFlex_Lookup[#Headers],0),FALSE),"")</f>
        <v/>
      </c>
      <c r="AG304" s="1" t="str">
        <f>_xlfn.IFNA(VLOOKUP(Master_Reference[[#This Row],[C-Flex 3500K Eco Part Number]],Lutron_CFlex_Lookup[],MATCH("Lutron Kit PN",Lutron_CFlex_Lookup[#Headers],0),FALSE),"")</f>
        <v/>
      </c>
      <c r="AH304" s="1" t="str">
        <f>_xlfn.IFNA(VLOOKUP(Master_Reference[[#This Row],[C-Flex 4000K Eco Part Number]],Lutron_CFlex_Lookup[],MATCH("Lutron Kit PN",Lutron_CFlex_Lookup[#Headers],0),FALSE),"")</f>
        <v/>
      </c>
      <c r="AI304" s="1" t="str">
        <f>_xlfn.IFNA(VLOOKUP(Master_Reference[[#This Row],[C-Flex 5000K Eco Part Number]],Lutron_CFlex_Lookup[],MATCH("Lutron Kit PN",Lutron_CFlex_Lookup[#Headers],0),FALSE),"")</f>
        <v/>
      </c>
      <c r="AJ304" s="1" t="str">
        <f>_xlfn.IFNA(VLOOKUP(Master_Reference[[#This Row],[C-Flex 3000K 3W Part Number]],Lutron_CFlex_Lookup[],MATCH("Lutron Kit PN",Lutron_CFlex_Lookup[#Headers],0),FALSE),"")</f>
        <v/>
      </c>
      <c r="AK304" s="1" t="str">
        <f>_xlfn.IFNA(VLOOKUP(Master_Reference[[#This Row],[C-Flex 3500K 3W Part Number]],Lutron_CFlex_Lookup[],MATCH("Lutron Kit PN",Lutron_CFlex_Lookup[#Headers],0),FALSE),"")</f>
        <v/>
      </c>
      <c r="AL304" s="1" t="str">
        <f>_xlfn.IFNA(VLOOKUP(Master_Reference[[#This Row],[C-Flex 4000K 3W Part Number]],Lutron_CFlex_Lookup[],MATCH("Lutron Kit PN",Lutron_CFlex_Lookup[#Headers],0),FALSE),"")</f>
        <v/>
      </c>
      <c r="AM304" s="1" t="str">
        <f>_xlfn.IFNA(VLOOKUP(Master_Reference[[#This Row],[C-Flex 5000K 3W Part Number]],Lutron_CFlex_Lookup[],MATCH("Lutron Kit PN",Lutron_CFlex_Lookup[#Headers],0),FALSE),"")</f>
        <v/>
      </c>
      <c r="AN304" s="1" t="b">
        <f>NOT(ISNA(VLOOKUP(Master_Reference[[#This Row],[Model Number]],ObsoleteModels[],1,FALSE)))</f>
        <v>1</v>
      </c>
      <c r="AO304" s="1" t="str">
        <f>IF(LEFT(Master_Reference[[#This Row],[Model Number]],1)="U",LEFT(Master_Reference[[#This Row],[Model Number]],4),LEFT(Master_Reference[[#This Row],[Model Number]],3))</f>
        <v>ECO</v>
      </c>
    </row>
    <row r="305" spans="1:41" x14ac:dyDescent="0.25">
      <c r="A305" s="2" t="s">
        <v>580</v>
      </c>
      <c r="B305" s="1"/>
      <c r="C305" s="1" t="b">
        <v>1</v>
      </c>
      <c r="G305" s="1" t="str">
        <f>IF(OR(LEFT(RIGHT(Master_Reference[[#This Row],[Model Number]],3),1)="C",LEFT(RIGHT(Master_Reference[[#This Row],[Model Number]],4),1)="C"),TRUE,"")</f>
        <v/>
      </c>
      <c r="H305" s="1" t="str">
        <f>IF(LEFT(Master_Reference[[#This Row],[Model Number]],1)="U",TRUE,"")</f>
        <v/>
      </c>
      <c r="I305" s="1" t="b">
        <f>IF(Master_Reference[[#This Row],[Lamp Type]]="T4","",IF(Master_Reference[[#This Row],[Case Type]]="M","",TRUE))</f>
        <v>1</v>
      </c>
      <c r="J305" s="1" t="s">
        <v>297</v>
      </c>
      <c r="K305" s="1">
        <v>39</v>
      </c>
      <c r="L305" s="1" t="s">
        <v>115</v>
      </c>
      <c r="M305" s="1">
        <v>2</v>
      </c>
      <c r="N305" s="1">
        <v>120</v>
      </c>
      <c r="O305" s="1" t="s">
        <v>113</v>
      </c>
      <c r="R305" t="b">
        <f>IF(COUNTBLANK(Master_Reference[[#This Row],[C-Flex 3000K Eco Part Number]:[C-Flex 4000K Eco Part Number]])=3,FALSE,TRUE)</f>
        <v>0</v>
      </c>
      <c r="S305" t="b">
        <f>IF(COUNTBLANK(Master_Reference[[#This Row],[C-Flex 3000K 3W Part Number]:[C-Flex 4000K 3W Part Number]])=3,FALSE,TRUE)</f>
        <v>1</v>
      </c>
      <c r="T305" t="b">
        <f>IF(COUNTBLANK(Master_Reference[[#This Row],[Lutron 3000K Eco Part Number]:[Lutron 4000K Eco Part Number]])=3,FALSE,TRUE)</f>
        <v>0</v>
      </c>
      <c r="U305" t="b">
        <f>IF(COUNTBLANK(Master_Reference[[#This Row],[Lutron 3000K 3W Part Number]:[Lutron 4000K 3W Part Number]])=3,FALSE,TRUE)</f>
        <v>1</v>
      </c>
      <c r="V305" s="12"/>
      <c r="W305" s="12"/>
      <c r="X305" s="12"/>
      <c r="Y305" t="s">
        <v>2125</v>
      </c>
      <c r="Z305" s="12" t="s">
        <v>415</v>
      </c>
      <c r="AA305" s="12" t="s">
        <v>416</v>
      </c>
      <c r="AB305" s="12" t="s">
        <v>417</v>
      </c>
      <c r="AC305" t="s">
        <v>1816</v>
      </c>
      <c r="AD305" t="str">
        <f>SUBSTITUTE(Master_Reference[[#This Row],[C-Flex 4000K Eco Part Number]],"40-","xx-")</f>
        <v/>
      </c>
      <c r="AE305" t="str">
        <f>SUBSTITUTE(Master_Reference[[#This Row],[C-Flex 4000K 3W Part Number]],"40-","xx-")</f>
        <v>RP-T5HO-3FT-2L-8xx-3W-M-G2</v>
      </c>
      <c r="AF305" s="1" t="str">
        <f>_xlfn.IFNA(VLOOKUP(Master_Reference[[#This Row],[C-Flex 3000K Eco Part Number]],Lutron_CFlex_Lookup[],MATCH("Lutron Kit PN",Lutron_CFlex_Lookup[#Headers],0),FALSE),"")</f>
        <v/>
      </c>
      <c r="AG305" s="1" t="str">
        <f>_xlfn.IFNA(VLOOKUP(Master_Reference[[#This Row],[C-Flex 3500K Eco Part Number]],Lutron_CFlex_Lookup[],MATCH("Lutron Kit PN",Lutron_CFlex_Lookup[#Headers],0),FALSE),"")</f>
        <v/>
      </c>
      <c r="AH305" s="1" t="str">
        <f>_xlfn.IFNA(VLOOKUP(Master_Reference[[#This Row],[C-Flex 4000K Eco Part Number]],Lutron_CFlex_Lookup[],MATCH("Lutron Kit PN",Lutron_CFlex_Lookup[#Headers],0),FALSE),"")</f>
        <v/>
      </c>
      <c r="AI305" s="1" t="str">
        <f>_xlfn.IFNA(VLOOKUP(Master_Reference[[#This Row],[C-Flex 5000K Eco Part Number]],Lutron_CFlex_Lookup[],MATCH("Lutron Kit PN",Lutron_CFlex_Lookup[#Headers],0),FALSE),"")</f>
        <v/>
      </c>
      <c r="AJ305" s="1" t="str">
        <f>_xlfn.IFNA(VLOOKUP(Master_Reference[[#This Row],[C-Flex 3000K 3W Part Number]],Lutron_CFlex_Lookup[],MATCH("Lutron Kit PN",Lutron_CFlex_Lookup[#Headers],0),FALSE),"")</f>
        <v>3LD3T5H-2M30-q</v>
      </c>
      <c r="AK305" s="1" t="str">
        <f>_xlfn.IFNA(VLOOKUP(Master_Reference[[#This Row],[C-Flex 3500K 3W Part Number]],Lutron_CFlex_Lookup[],MATCH("Lutron Kit PN",Lutron_CFlex_Lookup[#Headers],0),FALSE),"")</f>
        <v>3LD3T5H-2M35-q</v>
      </c>
      <c r="AL305" s="1" t="str">
        <f>_xlfn.IFNA(VLOOKUP(Master_Reference[[#This Row],[C-Flex 4000K 3W Part Number]],Lutron_CFlex_Lookup[],MATCH("Lutron Kit PN",Lutron_CFlex_Lookup[#Headers],0),FALSE),"")</f>
        <v>3LD3T5H-2M40-q</v>
      </c>
      <c r="AM305" s="1" t="str">
        <f>_xlfn.IFNA(VLOOKUP(Master_Reference[[#This Row],[C-Flex 5000K 3W Part Number]],Lutron_CFlex_Lookup[],MATCH("Lutron Kit PN",Lutron_CFlex_Lookup[#Headers],0),FALSE),"")</f>
        <v>3LD3T5H-2M50-q</v>
      </c>
      <c r="AN305" s="1" t="b">
        <f>NOT(ISNA(VLOOKUP(Master_Reference[[#This Row],[Model Number]],ObsoleteModels[],1,FALSE)))</f>
        <v>1</v>
      </c>
      <c r="AO305" s="1" t="str">
        <f>IF(LEFT(Master_Reference[[#This Row],[Model Number]],1)="U",LEFT(Master_Reference[[#This Row],[Model Number]],4),LEFT(Master_Reference[[#This Row],[Model Number]],3))</f>
        <v>ECO</v>
      </c>
    </row>
    <row r="306" spans="1:41" x14ac:dyDescent="0.25">
      <c r="A306" s="2" t="s">
        <v>581</v>
      </c>
      <c r="B306" s="1"/>
      <c r="C306" s="1" t="b">
        <v>1</v>
      </c>
      <c r="G306" s="1" t="str">
        <f>IF(OR(LEFT(RIGHT(Master_Reference[[#This Row],[Model Number]],3),1)="C",LEFT(RIGHT(Master_Reference[[#This Row],[Model Number]],4),1)="C"),TRUE,"")</f>
        <v/>
      </c>
      <c r="H306" s="1" t="str">
        <f>IF(LEFT(Master_Reference[[#This Row],[Model Number]],1)="U",TRUE,"")</f>
        <v/>
      </c>
      <c r="I306" s="1" t="b">
        <f>IF(Master_Reference[[#This Row],[Lamp Type]]="T4","",IF(Master_Reference[[#This Row],[Case Type]]="M","",TRUE))</f>
        <v>1</v>
      </c>
      <c r="J306" s="1" t="s">
        <v>297</v>
      </c>
      <c r="K306" s="1">
        <v>39</v>
      </c>
      <c r="L306" s="1" t="s">
        <v>115</v>
      </c>
      <c r="M306" s="1">
        <v>2</v>
      </c>
      <c r="N306" s="1">
        <v>120</v>
      </c>
      <c r="O306" s="1" t="s">
        <v>113</v>
      </c>
      <c r="Q306" s="1" t="s">
        <v>91</v>
      </c>
      <c r="R306" t="b">
        <f>IF(COUNTBLANK(Master_Reference[[#This Row],[C-Flex 3000K Eco Part Number]:[C-Flex 4000K Eco Part Number]])=3,FALSE,TRUE)</f>
        <v>0</v>
      </c>
      <c r="S306" t="b">
        <f>IF(COUNTBLANK(Master_Reference[[#This Row],[C-Flex 3000K 3W Part Number]:[C-Flex 4000K 3W Part Number]])=3,FALSE,TRUE)</f>
        <v>0</v>
      </c>
      <c r="T306" t="b">
        <f>IF(COUNTBLANK(Master_Reference[[#This Row],[Lutron 3000K Eco Part Number]:[Lutron 4000K Eco Part Number]])=3,FALSE,TRUE)</f>
        <v>0</v>
      </c>
      <c r="U306" t="b">
        <f>IF(COUNTBLANK(Master_Reference[[#This Row],[Lutron 3000K 3W Part Number]:[Lutron 4000K 3W Part Number]])=3,FALSE,TRUE)</f>
        <v>0</v>
      </c>
      <c r="V306" s="12"/>
      <c r="W306" s="12"/>
      <c r="X306" s="12"/>
      <c r="Y306" t="s">
        <v>2125</v>
      </c>
      <c r="Z306" s="12"/>
      <c r="AA306" s="12"/>
      <c r="AB306" s="12"/>
      <c r="AC306" t="s">
        <v>2125</v>
      </c>
      <c r="AD306" t="str">
        <f>SUBSTITUTE(Master_Reference[[#This Row],[C-Flex 4000K Eco Part Number]],"40-","xx-")</f>
        <v/>
      </c>
      <c r="AE306" t="str">
        <f>SUBSTITUTE(Master_Reference[[#This Row],[C-Flex 4000K 3W Part Number]],"40-","xx-")</f>
        <v/>
      </c>
      <c r="AF306" s="1" t="str">
        <f>_xlfn.IFNA(VLOOKUP(Master_Reference[[#This Row],[C-Flex 3000K Eco Part Number]],Lutron_CFlex_Lookup[],MATCH("Lutron Kit PN",Lutron_CFlex_Lookup[#Headers],0),FALSE),"")</f>
        <v/>
      </c>
      <c r="AG306" s="1" t="str">
        <f>_xlfn.IFNA(VLOOKUP(Master_Reference[[#This Row],[C-Flex 3500K Eco Part Number]],Lutron_CFlex_Lookup[],MATCH("Lutron Kit PN",Lutron_CFlex_Lookup[#Headers],0),FALSE),"")</f>
        <v/>
      </c>
      <c r="AH306" s="1" t="str">
        <f>_xlfn.IFNA(VLOOKUP(Master_Reference[[#This Row],[C-Flex 4000K Eco Part Number]],Lutron_CFlex_Lookup[],MATCH("Lutron Kit PN",Lutron_CFlex_Lookup[#Headers],0),FALSE),"")</f>
        <v/>
      </c>
      <c r="AI306" s="1" t="str">
        <f>_xlfn.IFNA(VLOOKUP(Master_Reference[[#This Row],[C-Flex 5000K Eco Part Number]],Lutron_CFlex_Lookup[],MATCH("Lutron Kit PN",Lutron_CFlex_Lookup[#Headers],0),FALSE),"")</f>
        <v/>
      </c>
      <c r="AJ306" s="1" t="str">
        <f>_xlfn.IFNA(VLOOKUP(Master_Reference[[#This Row],[C-Flex 3000K 3W Part Number]],Lutron_CFlex_Lookup[],MATCH("Lutron Kit PN",Lutron_CFlex_Lookup[#Headers],0),FALSE),"")</f>
        <v/>
      </c>
      <c r="AK306" s="1" t="str">
        <f>_xlfn.IFNA(VLOOKUP(Master_Reference[[#This Row],[C-Flex 3500K 3W Part Number]],Lutron_CFlex_Lookup[],MATCH("Lutron Kit PN",Lutron_CFlex_Lookup[#Headers],0),FALSE),"")</f>
        <v/>
      </c>
      <c r="AL306" s="1" t="str">
        <f>_xlfn.IFNA(VLOOKUP(Master_Reference[[#This Row],[C-Flex 4000K 3W Part Number]],Lutron_CFlex_Lookup[],MATCH("Lutron Kit PN",Lutron_CFlex_Lookup[#Headers],0),FALSE),"")</f>
        <v/>
      </c>
      <c r="AM306" s="1" t="str">
        <f>_xlfn.IFNA(VLOOKUP(Master_Reference[[#This Row],[C-Flex 5000K 3W Part Number]],Lutron_CFlex_Lookup[],MATCH("Lutron Kit PN",Lutron_CFlex_Lookup[#Headers],0),FALSE),"")</f>
        <v/>
      </c>
      <c r="AN306" s="1" t="b">
        <f>NOT(ISNA(VLOOKUP(Master_Reference[[#This Row],[Model Number]],ObsoleteModels[],1,FALSE)))</f>
        <v>1</v>
      </c>
      <c r="AO306" s="1" t="str">
        <f>IF(LEFT(Master_Reference[[#This Row],[Model Number]],1)="U",LEFT(Master_Reference[[#This Row],[Model Number]],4),LEFT(Master_Reference[[#This Row],[Model Number]],3))</f>
        <v>ECO</v>
      </c>
    </row>
    <row r="307" spans="1:41" x14ac:dyDescent="0.25">
      <c r="A307" s="2" t="s">
        <v>582</v>
      </c>
      <c r="B307" s="1"/>
      <c r="C307" s="1" t="b">
        <v>1</v>
      </c>
      <c r="G307" s="1" t="str">
        <f>IF(OR(LEFT(RIGHT(Master_Reference[[#This Row],[Model Number]],3),1)="C",LEFT(RIGHT(Master_Reference[[#This Row],[Model Number]],4),1)="C"),TRUE,"")</f>
        <v/>
      </c>
      <c r="H307" s="1" t="str">
        <f>IF(LEFT(Master_Reference[[#This Row],[Model Number]],1)="U",TRUE,"")</f>
        <v/>
      </c>
      <c r="I307" s="1" t="b">
        <f>IF(Master_Reference[[#This Row],[Lamp Type]]="T4","",IF(Master_Reference[[#This Row],[Case Type]]="M","",TRUE))</f>
        <v>1</v>
      </c>
      <c r="J307" s="1" t="s">
        <v>297</v>
      </c>
      <c r="K307" s="1">
        <v>39</v>
      </c>
      <c r="L307" s="1" t="s">
        <v>115</v>
      </c>
      <c r="M307" s="1">
        <v>1</v>
      </c>
      <c r="N307" s="1">
        <v>277</v>
      </c>
      <c r="O307" s="1" t="s">
        <v>113</v>
      </c>
      <c r="R307" t="b">
        <f>IF(COUNTBLANK(Master_Reference[[#This Row],[C-Flex 3000K Eco Part Number]:[C-Flex 4000K Eco Part Number]])=3,FALSE,TRUE)</f>
        <v>0</v>
      </c>
      <c r="S307" t="b">
        <f>IF(COUNTBLANK(Master_Reference[[#This Row],[C-Flex 3000K 3W Part Number]:[C-Flex 4000K 3W Part Number]])=3,FALSE,TRUE)</f>
        <v>1</v>
      </c>
      <c r="T307" t="b">
        <f>IF(COUNTBLANK(Master_Reference[[#This Row],[Lutron 3000K Eco Part Number]:[Lutron 4000K Eco Part Number]])=3,FALSE,TRUE)</f>
        <v>0</v>
      </c>
      <c r="U307" t="b">
        <f>IF(COUNTBLANK(Master_Reference[[#This Row],[Lutron 3000K 3W Part Number]:[Lutron 4000K 3W Part Number]])=3,FALSE,TRUE)</f>
        <v>1</v>
      </c>
      <c r="V307" s="12"/>
      <c r="W307" s="12"/>
      <c r="X307" s="12"/>
      <c r="Y307" t="s">
        <v>2125</v>
      </c>
      <c r="Z307" s="12" t="s">
        <v>408</v>
      </c>
      <c r="AA307" s="12" t="s">
        <v>409</v>
      </c>
      <c r="AB307" s="12" t="s">
        <v>410</v>
      </c>
      <c r="AC307" t="s">
        <v>1815</v>
      </c>
      <c r="AD307" t="str">
        <f>SUBSTITUTE(Master_Reference[[#This Row],[C-Flex 4000K Eco Part Number]],"40-","xx-")</f>
        <v/>
      </c>
      <c r="AE307" t="str">
        <f>SUBSTITUTE(Master_Reference[[#This Row],[C-Flex 4000K 3W Part Number]],"40-","xx-")</f>
        <v>RP-T5HO-3FT-1L-8xx-3W-M-G2</v>
      </c>
      <c r="AF307" s="1" t="str">
        <f>_xlfn.IFNA(VLOOKUP(Master_Reference[[#This Row],[C-Flex 3000K Eco Part Number]],Lutron_CFlex_Lookup[],MATCH("Lutron Kit PN",Lutron_CFlex_Lookup[#Headers],0),FALSE),"")</f>
        <v/>
      </c>
      <c r="AG307" s="1" t="str">
        <f>_xlfn.IFNA(VLOOKUP(Master_Reference[[#This Row],[C-Flex 3500K Eco Part Number]],Lutron_CFlex_Lookup[],MATCH("Lutron Kit PN",Lutron_CFlex_Lookup[#Headers],0),FALSE),"")</f>
        <v/>
      </c>
      <c r="AH307" s="1" t="str">
        <f>_xlfn.IFNA(VLOOKUP(Master_Reference[[#This Row],[C-Flex 4000K Eco Part Number]],Lutron_CFlex_Lookup[],MATCH("Lutron Kit PN",Lutron_CFlex_Lookup[#Headers],0),FALSE),"")</f>
        <v/>
      </c>
      <c r="AI307" s="1" t="str">
        <f>_xlfn.IFNA(VLOOKUP(Master_Reference[[#This Row],[C-Flex 5000K Eco Part Number]],Lutron_CFlex_Lookup[],MATCH("Lutron Kit PN",Lutron_CFlex_Lookup[#Headers],0),FALSE),"")</f>
        <v/>
      </c>
      <c r="AJ307" s="1" t="str">
        <f>_xlfn.IFNA(VLOOKUP(Master_Reference[[#This Row],[C-Flex 3000K 3W Part Number]],Lutron_CFlex_Lookup[],MATCH("Lutron Kit PN",Lutron_CFlex_Lookup[#Headers],0),FALSE),"")</f>
        <v>3LD3T5H-1M30-q</v>
      </c>
      <c r="AK307" s="1" t="str">
        <f>_xlfn.IFNA(VLOOKUP(Master_Reference[[#This Row],[C-Flex 3500K 3W Part Number]],Lutron_CFlex_Lookup[],MATCH("Lutron Kit PN",Lutron_CFlex_Lookup[#Headers],0),FALSE),"")</f>
        <v>3LD3T5H-1M35-q</v>
      </c>
      <c r="AL307" s="1" t="str">
        <f>_xlfn.IFNA(VLOOKUP(Master_Reference[[#This Row],[C-Flex 4000K 3W Part Number]],Lutron_CFlex_Lookup[],MATCH("Lutron Kit PN",Lutron_CFlex_Lookup[#Headers],0),FALSE),"")</f>
        <v>3LD3T5H-1M40-q</v>
      </c>
      <c r="AM307" s="1" t="str">
        <f>_xlfn.IFNA(VLOOKUP(Master_Reference[[#This Row],[C-Flex 5000K 3W Part Number]],Lutron_CFlex_Lookup[],MATCH("Lutron Kit PN",Lutron_CFlex_Lookup[#Headers],0),FALSE),"")</f>
        <v>3LD3T5H-1M50-q</v>
      </c>
      <c r="AN307" s="1" t="b">
        <f>NOT(ISNA(VLOOKUP(Master_Reference[[#This Row],[Model Number]],ObsoleteModels[],1,FALSE)))</f>
        <v>1</v>
      </c>
      <c r="AO307" s="1" t="str">
        <f>IF(LEFT(Master_Reference[[#This Row],[Model Number]],1)="U",LEFT(Master_Reference[[#This Row],[Model Number]],4),LEFT(Master_Reference[[#This Row],[Model Number]],3))</f>
        <v>ECO</v>
      </c>
    </row>
    <row r="308" spans="1:41" x14ac:dyDescent="0.25">
      <c r="A308" s="2" t="s">
        <v>583</v>
      </c>
      <c r="B308" s="1"/>
      <c r="C308" s="1" t="b">
        <v>1</v>
      </c>
      <c r="G308" s="1" t="str">
        <f>IF(OR(LEFT(RIGHT(Master_Reference[[#This Row],[Model Number]],3),1)="C",LEFT(RIGHT(Master_Reference[[#This Row],[Model Number]],4),1)="C"),TRUE,"")</f>
        <v/>
      </c>
      <c r="H308" s="1" t="str">
        <f>IF(LEFT(Master_Reference[[#This Row],[Model Number]],1)="U",TRUE,"")</f>
        <v/>
      </c>
      <c r="I308" s="1" t="b">
        <f>IF(Master_Reference[[#This Row],[Lamp Type]]="T4","",IF(Master_Reference[[#This Row],[Case Type]]="M","",TRUE))</f>
        <v>1</v>
      </c>
      <c r="J308" s="1" t="s">
        <v>297</v>
      </c>
      <c r="K308" s="1">
        <v>39</v>
      </c>
      <c r="L308" s="1" t="s">
        <v>115</v>
      </c>
      <c r="M308" s="1">
        <v>2</v>
      </c>
      <c r="N308" s="1">
        <v>277</v>
      </c>
      <c r="O308" s="1" t="s">
        <v>113</v>
      </c>
      <c r="R308" t="b">
        <f>IF(COUNTBLANK(Master_Reference[[#This Row],[C-Flex 3000K Eco Part Number]:[C-Flex 4000K Eco Part Number]])=3,FALSE,TRUE)</f>
        <v>0</v>
      </c>
      <c r="S308" t="b">
        <f>IF(COUNTBLANK(Master_Reference[[#This Row],[C-Flex 3000K 3W Part Number]:[C-Flex 4000K 3W Part Number]])=3,FALSE,TRUE)</f>
        <v>1</v>
      </c>
      <c r="T308" t="b">
        <f>IF(COUNTBLANK(Master_Reference[[#This Row],[Lutron 3000K Eco Part Number]:[Lutron 4000K Eco Part Number]])=3,FALSE,TRUE)</f>
        <v>0</v>
      </c>
      <c r="U308" t="b">
        <f>IF(COUNTBLANK(Master_Reference[[#This Row],[Lutron 3000K 3W Part Number]:[Lutron 4000K 3W Part Number]])=3,FALSE,TRUE)</f>
        <v>1</v>
      </c>
      <c r="V308" s="12"/>
      <c r="W308" s="12"/>
      <c r="X308" s="12"/>
      <c r="Y308" t="s">
        <v>2125</v>
      </c>
      <c r="Z308" s="12" t="s">
        <v>415</v>
      </c>
      <c r="AA308" s="12" t="s">
        <v>416</v>
      </c>
      <c r="AB308" s="12" t="s">
        <v>417</v>
      </c>
      <c r="AC308" t="s">
        <v>1816</v>
      </c>
      <c r="AD308" t="str">
        <f>SUBSTITUTE(Master_Reference[[#This Row],[C-Flex 4000K Eco Part Number]],"40-","xx-")</f>
        <v/>
      </c>
      <c r="AE308" t="str">
        <f>SUBSTITUTE(Master_Reference[[#This Row],[C-Flex 4000K 3W Part Number]],"40-","xx-")</f>
        <v>RP-T5HO-3FT-2L-8xx-3W-M-G2</v>
      </c>
      <c r="AF308" s="1" t="str">
        <f>_xlfn.IFNA(VLOOKUP(Master_Reference[[#This Row],[C-Flex 3000K Eco Part Number]],Lutron_CFlex_Lookup[],MATCH("Lutron Kit PN",Lutron_CFlex_Lookup[#Headers],0),FALSE),"")</f>
        <v/>
      </c>
      <c r="AG308" s="1" t="str">
        <f>_xlfn.IFNA(VLOOKUP(Master_Reference[[#This Row],[C-Flex 3500K Eco Part Number]],Lutron_CFlex_Lookup[],MATCH("Lutron Kit PN",Lutron_CFlex_Lookup[#Headers],0),FALSE),"")</f>
        <v/>
      </c>
      <c r="AH308" s="1" t="str">
        <f>_xlfn.IFNA(VLOOKUP(Master_Reference[[#This Row],[C-Flex 4000K Eco Part Number]],Lutron_CFlex_Lookup[],MATCH("Lutron Kit PN",Lutron_CFlex_Lookup[#Headers],0),FALSE),"")</f>
        <v/>
      </c>
      <c r="AI308" s="1" t="str">
        <f>_xlfn.IFNA(VLOOKUP(Master_Reference[[#This Row],[C-Flex 5000K Eco Part Number]],Lutron_CFlex_Lookup[],MATCH("Lutron Kit PN",Lutron_CFlex_Lookup[#Headers],0),FALSE),"")</f>
        <v/>
      </c>
      <c r="AJ308" s="1" t="str">
        <f>_xlfn.IFNA(VLOOKUP(Master_Reference[[#This Row],[C-Flex 3000K 3W Part Number]],Lutron_CFlex_Lookup[],MATCH("Lutron Kit PN",Lutron_CFlex_Lookup[#Headers],0),FALSE),"")</f>
        <v>3LD3T5H-2M30-q</v>
      </c>
      <c r="AK308" s="1" t="str">
        <f>_xlfn.IFNA(VLOOKUP(Master_Reference[[#This Row],[C-Flex 3500K 3W Part Number]],Lutron_CFlex_Lookup[],MATCH("Lutron Kit PN",Lutron_CFlex_Lookup[#Headers],0),FALSE),"")</f>
        <v>3LD3T5H-2M35-q</v>
      </c>
      <c r="AL308" s="1" t="str">
        <f>_xlfn.IFNA(VLOOKUP(Master_Reference[[#This Row],[C-Flex 4000K 3W Part Number]],Lutron_CFlex_Lookup[],MATCH("Lutron Kit PN",Lutron_CFlex_Lookup[#Headers],0),FALSE),"")</f>
        <v>3LD3T5H-2M40-q</v>
      </c>
      <c r="AM308" s="1" t="str">
        <f>_xlfn.IFNA(VLOOKUP(Master_Reference[[#This Row],[C-Flex 5000K 3W Part Number]],Lutron_CFlex_Lookup[],MATCH("Lutron Kit PN",Lutron_CFlex_Lookup[#Headers],0),FALSE),"")</f>
        <v>3LD3T5H-2M50-q</v>
      </c>
      <c r="AN308" s="1" t="b">
        <f>NOT(ISNA(VLOOKUP(Master_Reference[[#This Row],[Model Number]],ObsoleteModels[],1,FALSE)))</f>
        <v>1</v>
      </c>
      <c r="AO308" s="1" t="str">
        <f>IF(LEFT(Master_Reference[[#This Row],[Model Number]],1)="U",LEFT(Master_Reference[[#This Row],[Model Number]],4),LEFT(Master_Reference[[#This Row],[Model Number]],3))</f>
        <v>ECO</v>
      </c>
    </row>
    <row r="309" spans="1:41" x14ac:dyDescent="0.25">
      <c r="A309" s="2" t="s">
        <v>584</v>
      </c>
      <c r="B309" s="1"/>
      <c r="C309" s="1" t="b">
        <v>1</v>
      </c>
      <c r="G309" s="1" t="str">
        <f>IF(OR(LEFT(RIGHT(Master_Reference[[#This Row],[Model Number]],3),1)="C",LEFT(RIGHT(Master_Reference[[#This Row],[Model Number]],4),1)="C"),TRUE,"")</f>
        <v/>
      </c>
      <c r="H309" s="1" t="str">
        <f>IF(LEFT(Master_Reference[[#This Row],[Model Number]],1)="U",TRUE,"")</f>
        <v/>
      </c>
      <c r="I309" s="1" t="b">
        <f>IF(Master_Reference[[#This Row],[Lamp Type]]="T4","",IF(Master_Reference[[#This Row],[Case Type]]="M","",TRUE))</f>
        <v>1</v>
      </c>
      <c r="J309" s="1" t="s">
        <v>111</v>
      </c>
      <c r="K309" s="1">
        <v>17</v>
      </c>
      <c r="L309" s="1" t="s">
        <v>112</v>
      </c>
      <c r="M309" s="1">
        <v>1</v>
      </c>
      <c r="N309" s="1">
        <v>120</v>
      </c>
      <c r="O309" s="1" t="s">
        <v>144</v>
      </c>
      <c r="R309" t="b">
        <f>IF(COUNTBLANK(Master_Reference[[#This Row],[C-Flex 3000K Eco Part Number]:[C-Flex 4000K Eco Part Number]])=3,FALSE,TRUE)</f>
        <v>0</v>
      </c>
      <c r="S309" t="b">
        <f>IF(COUNTBLANK(Master_Reference[[#This Row],[C-Flex 3000K 3W Part Number]:[C-Flex 4000K 3W Part Number]])=3,FALSE,TRUE)</f>
        <v>1</v>
      </c>
      <c r="T309" t="b">
        <f>IF(COUNTBLANK(Master_Reference[[#This Row],[Lutron 3000K Eco Part Number]:[Lutron 4000K Eco Part Number]])=3,FALSE,TRUE)</f>
        <v>0</v>
      </c>
      <c r="U309" t="b">
        <f>IF(COUNTBLANK(Master_Reference[[#This Row],[Lutron 3000K 3W Part Number]:[Lutron 4000K 3W Part Number]])=3,FALSE,TRUE)</f>
        <v>1</v>
      </c>
      <c r="V309" s="12"/>
      <c r="W309" s="12"/>
      <c r="X309" s="12"/>
      <c r="Y309" t="s">
        <v>2125</v>
      </c>
      <c r="Z309" s="12" t="s">
        <v>240</v>
      </c>
      <c r="AA309" s="12" t="s">
        <v>241</v>
      </c>
      <c r="AB309" s="12" t="s">
        <v>242</v>
      </c>
      <c r="AC309" t="s">
        <v>1823</v>
      </c>
      <c r="AD309" t="str">
        <f>SUBSTITUTE(Master_Reference[[#This Row],[C-Flex 4000K Eco Part Number]],"40-","xx-")</f>
        <v/>
      </c>
      <c r="AE309" t="str">
        <f>SUBSTITUTE(Master_Reference[[#This Row],[C-Flex 4000K 3W Part Number]],"40-","xx-")</f>
        <v>RP-T8-2FT-1L-8xx-3W-M-G2</v>
      </c>
      <c r="AF309" s="1" t="str">
        <f>_xlfn.IFNA(VLOOKUP(Master_Reference[[#This Row],[C-Flex 3000K Eco Part Number]],Lutron_CFlex_Lookup[],MATCH("Lutron Kit PN",Lutron_CFlex_Lookup[#Headers],0),FALSE),"")</f>
        <v/>
      </c>
      <c r="AG309" s="1" t="str">
        <f>_xlfn.IFNA(VLOOKUP(Master_Reference[[#This Row],[C-Flex 3500K Eco Part Number]],Lutron_CFlex_Lookup[],MATCH("Lutron Kit PN",Lutron_CFlex_Lookup[#Headers],0),FALSE),"")</f>
        <v/>
      </c>
      <c r="AH309" s="1" t="str">
        <f>_xlfn.IFNA(VLOOKUP(Master_Reference[[#This Row],[C-Flex 4000K Eco Part Number]],Lutron_CFlex_Lookup[],MATCH("Lutron Kit PN",Lutron_CFlex_Lookup[#Headers],0),FALSE),"")</f>
        <v/>
      </c>
      <c r="AI309" s="1" t="str">
        <f>_xlfn.IFNA(VLOOKUP(Master_Reference[[#This Row],[C-Flex 5000K Eco Part Number]],Lutron_CFlex_Lookup[],MATCH("Lutron Kit PN",Lutron_CFlex_Lookup[#Headers],0),FALSE),"")</f>
        <v/>
      </c>
      <c r="AJ309" s="1" t="str">
        <f>_xlfn.IFNA(VLOOKUP(Master_Reference[[#This Row],[C-Flex 3000K 3W Part Number]],Lutron_CFlex_Lookup[],MATCH("Lutron Kit PN",Lutron_CFlex_Lookup[#Headers],0),FALSE),"")</f>
        <v>3LD2T8-1M30-q</v>
      </c>
      <c r="AK309" s="1" t="str">
        <f>_xlfn.IFNA(VLOOKUP(Master_Reference[[#This Row],[C-Flex 3500K 3W Part Number]],Lutron_CFlex_Lookup[],MATCH("Lutron Kit PN",Lutron_CFlex_Lookup[#Headers],0),FALSE),"")</f>
        <v>3LD2T8-1M35-q</v>
      </c>
      <c r="AL309" s="1" t="str">
        <f>_xlfn.IFNA(VLOOKUP(Master_Reference[[#This Row],[C-Flex 4000K 3W Part Number]],Lutron_CFlex_Lookup[],MATCH("Lutron Kit PN",Lutron_CFlex_Lookup[#Headers],0),FALSE),"")</f>
        <v>3LD2T8-1M40-q</v>
      </c>
      <c r="AM309" s="1" t="str">
        <f>_xlfn.IFNA(VLOOKUP(Master_Reference[[#This Row],[C-Flex 5000K 3W Part Number]],Lutron_CFlex_Lookup[],MATCH("Lutron Kit PN",Lutron_CFlex_Lookup[#Headers],0),FALSE),"")</f>
        <v>3LD2T8-1M50-q</v>
      </c>
      <c r="AN309" s="1" t="b">
        <f>NOT(ISNA(VLOOKUP(Master_Reference[[#This Row],[Model Number]],ObsoleteModels[],1,FALSE)))</f>
        <v>1</v>
      </c>
      <c r="AO309" s="1" t="str">
        <f>IF(LEFT(Master_Reference[[#This Row],[Model Number]],1)="U",LEFT(Master_Reference[[#This Row],[Model Number]],4),LEFT(Master_Reference[[#This Row],[Model Number]],3))</f>
        <v>ECO</v>
      </c>
    </row>
    <row r="310" spans="1:41" x14ac:dyDescent="0.25">
      <c r="A310" s="2" t="s">
        <v>585</v>
      </c>
      <c r="B310" s="1"/>
      <c r="C310" s="1" t="b">
        <v>1</v>
      </c>
      <c r="G310" s="1" t="str">
        <f>IF(OR(LEFT(RIGHT(Master_Reference[[#This Row],[Model Number]],3),1)="C",LEFT(RIGHT(Master_Reference[[#This Row],[Model Number]],4),1)="C"),TRUE,"")</f>
        <v/>
      </c>
      <c r="H310" s="1" t="str">
        <f>IF(LEFT(Master_Reference[[#This Row],[Model Number]],1)="U",TRUE,"")</f>
        <v/>
      </c>
      <c r="I310" s="1" t="b">
        <f>IF(Master_Reference[[#This Row],[Lamp Type]]="T4","",IF(Master_Reference[[#This Row],[Case Type]]="M","",TRUE))</f>
        <v>1</v>
      </c>
      <c r="J310" s="1" t="s">
        <v>111</v>
      </c>
      <c r="K310" s="1">
        <v>17</v>
      </c>
      <c r="L310" s="1" t="s">
        <v>112</v>
      </c>
      <c r="M310" s="1">
        <v>1</v>
      </c>
      <c r="N310" s="1">
        <v>120</v>
      </c>
      <c r="O310" s="1" t="s">
        <v>144</v>
      </c>
      <c r="Q310" s="1" t="s">
        <v>91</v>
      </c>
      <c r="R310" t="b">
        <f>IF(COUNTBLANK(Master_Reference[[#This Row],[C-Flex 3000K Eco Part Number]:[C-Flex 4000K Eco Part Number]])=3,FALSE,TRUE)</f>
        <v>0</v>
      </c>
      <c r="S310" t="b">
        <f>IF(COUNTBLANK(Master_Reference[[#This Row],[C-Flex 3000K 3W Part Number]:[C-Flex 4000K 3W Part Number]])=3,FALSE,TRUE)</f>
        <v>0</v>
      </c>
      <c r="T310" t="b">
        <f>IF(COUNTBLANK(Master_Reference[[#This Row],[Lutron 3000K Eco Part Number]:[Lutron 4000K Eco Part Number]])=3,FALSE,TRUE)</f>
        <v>0</v>
      </c>
      <c r="U310" t="b">
        <f>IF(COUNTBLANK(Master_Reference[[#This Row],[Lutron 3000K 3W Part Number]:[Lutron 4000K 3W Part Number]])=3,FALSE,TRUE)</f>
        <v>0</v>
      </c>
      <c r="V310" s="12"/>
      <c r="W310" s="12"/>
      <c r="X310" s="12"/>
      <c r="Y310" t="s">
        <v>2125</v>
      </c>
      <c r="Z310" s="12"/>
      <c r="AA310" s="12"/>
      <c r="AB310" s="12"/>
      <c r="AC310" t="s">
        <v>2125</v>
      </c>
      <c r="AD310" t="str">
        <f>SUBSTITUTE(Master_Reference[[#This Row],[C-Flex 4000K Eco Part Number]],"40-","xx-")</f>
        <v/>
      </c>
      <c r="AE310" t="str">
        <f>SUBSTITUTE(Master_Reference[[#This Row],[C-Flex 4000K 3W Part Number]],"40-","xx-")</f>
        <v/>
      </c>
      <c r="AF310" s="1" t="str">
        <f>_xlfn.IFNA(VLOOKUP(Master_Reference[[#This Row],[C-Flex 3000K Eco Part Number]],Lutron_CFlex_Lookup[],MATCH("Lutron Kit PN",Lutron_CFlex_Lookup[#Headers],0),FALSE),"")</f>
        <v/>
      </c>
      <c r="AG310" s="1" t="str">
        <f>_xlfn.IFNA(VLOOKUP(Master_Reference[[#This Row],[C-Flex 3500K Eco Part Number]],Lutron_CFlex_Lookup[],MATCH("Lutron Kit PN",Lutron_CFlex_Lookup[#Headers],0),FALSE),"")</f>
        <v/>
      </c>
      <c r="AH310" s="1" t="str">
        <f>_xlfn.IFNA(VLOOKUP(Master_Reference[[#This Row],[C-Flex 4000K Eco Part Number]],Lutron_CFlex_Lookup[],MATCH("Lutron Kit PN",Lutron_CFlex_Lookup[#Headers],0),FALSE),"")</f>
        <v/>
      </c>
      <c r="AI310" s="1" t="str">
        <f>_xlfn.IFNA(VLOOKUP(Master_Reference[[#This Row],[C-Flex 5000K Eco Part Number]],Lutron_CFlex_Lookup[],MATCH("Lutron Kit PN",Lutron_CFlex_Lookup[#Headers],0),FALSE),"")</f>
        <v/>
      </c>
      <c r="AJ310" s="1" t="str">
        <f>_xlfn.IFNA(VLOOKUP(Master_Reference[[#This Row],[C-Flex 3000K 3W Part Number]],Lutron_CFlex_Lookup[],MATCH("Lutron Kit PN",Lutron_CFlex_Lookup[#Headers],0),FALSE),"")</f>
        <v/>
      </c>
      <c r="AK310" s="1" t="str">
        <f>_xlfn.IFNA(VLOOKUP(Master_Reference[[#This Row],[C-Flex 3500K 3W Part Number]],Lutron_CFlex_Lookup[],MATCH("Lutron Kit PN",Lutron_CFlex_Lookup[#Headers],0),FALSE),"")</f>
        <v/>
      </c>
      <c r="AL310" s="1" t="str">
        <f>_xlfn.IFNA(VLOOKUP(Master_Reference[[#This Row],[C-Flex 4000K 3W Part Number]],Lutron_CFlex_Lookup[],MATCH("Lutron Kit PN",Lutron_CFlex_Lookup[#Headers],0),FALSE),"")</f>
        <v/>
      </c>
      <c r="AM310" s="1" t="str">
        <f>_xlfn.IFNA(VLOOKUP(Master_Reference[[#This Row],[C-Flex 5000K 3W Part Number]],Lutron_CFlex_Lookup[],MATCH("Lutron Kit PN",Lutron_CFlex_Lookup[#Headers],0),FALSE),"")</f>
        <v/>
      </c>
      <c r="AN310" s="1" t="b">
        <f>NOT(ISNA(VLOOKUP(Master_Reference[[#This Row],[Model Number]],ObsoleteModels[],1,FALSE)))</f>
        <v>1</v>
      </c>
      <c r="AO310" s="1" t="str">
        <f>IF(LEFT(Master_Reference[[#This Row],[Model Number]],1)="U",LEFT(Master_Reference[[#This Row],[Model Number]],4),LEFT(Master_Reference[[#This Row],[Model Number]],3))</f>
        <v>ECO</v>
      </c>
    </row>
    <row r="311" spans="1:41" x14ac:dyDescent="0.25">
      <c r="A311" s="2" t="s">
        <v>586</v>
      </c>
      <c r="B311" s="1"/>
      <c r="C311" s="1" t="b">
        <v>1</v>
      </c>
      <c r="G311" s="1" t="str">
        <f>IF(OR(LEFT(RIGHT(Master_Reference[[#This Row],[Model Number]],3),1)="C",LEFT(RIGHT(Master_Reference[[#This Row],[Model Number]],4),1)="C"),TRUE,"")</f>
        <v/>
      </c>
      <c r="H311" s="1" t="str">
        <f>IF(LEFT(Master_Reference[[#This Row],[Model Number]],1)="U",TRUE,"")</f>
        <v/>
      </c>
      <c r="I311" s="1" t="b">
        <f>IF(Master_Reference[[#This Row],[Lamp Type]]="T4","",IF(Master_Reference[[#This Row],[Case Type]]="M","",TRUE))</f>
        <v>1</v>
      </c>
      <c r="J311" s="1" t="s">
        <v>111</v>
      </c>
      <c r="K311" s="1">
        <v>17</v>
      </c>
      <c r="L311" s="1" t="s">
        <v>112</v>
      </c>
      <c r="M311" s="1">
        <v>2</v>
      </c>
      <c r="N311" s="1">
        <v>120</v>
      </c>
      <c r="O311" s="1" t="s">
        <v>144</v>
      </c>
      <c r="R311" t="b">
        <f>IF(COUNTBLANK(Master_Reference[[#This Row],[C-Flex 3000K Eco Part Number]:[C-Flex 4000K Eco Part Number]])=3,FALSE,TRUE)</f>
        <v>0</v>
      </c>
      <c r="S311" t="b">
        <f>IF(COUNTBLANK(Master_Reference[[#This Row],[C-Flex 3000K 3W Part Number]:[C-Flex 4000K 3W Part Number]])=3,FALSE,TRUE)</f>
        <v>1</v>
      </c>
      <c r="T311" t="b">
        <f>IF(COUNTBLANK(Master_Reference[[#This Row],[Lutron 3000K Eco Part Number]:[Lutron 4000K Eco Part Number]])=3,FALSE,TRUE)</f>
        <v>0</v>
      </c>
      <c r="U311" t="b">
        <f>IF(COUNTBLANK(Master_Reference[[#This Row],[Lutron 3000K 3W Part Number]:[Lutron 4000K 3W Part Number]])=3,FALSE,TRUE)</f>
        <v>1</v>
      </c>
      <c r="V311" s="12"/>
      <c r="W311" s="12"/>
      <c r="X311" s="12"/>
      <c r="Y311" t="s">
        <v>2125</v>
      </c>
      <c r="Z311" s="12" t="s">
        <v>244</v>
      </c>
      <c r="AA311" s="12" t="s">
        <v>245</v>
      </c>
      <c r="AB311" s="12" t="s">
        <v>246</v>
      </c>
      <c r="AC311" t="s">
        <v>1824</v>
      </c>
      <c r="AD311" t="str">
        <f>SUBSTITUTE(Master_Reference[[#This Row],[C-Flex 4000K Eco Part Number]],"40-","xx-")</f>
        <v/>
      </c>
      <c r="AE311" t="str">
        <f>SUBSTITUTE(Master_Reference[[#This Row],[C-Flex 4000K 3W Part Number]],"40-","xx-")</f>
        <v>RP-T8-2FT-2L-8xx-3W-M-G2</v>
      </c>
      <c r="AF311" s="1" t="str">
        <f>_xlfn.IFNA(VLOOKUP(Master_Reference[[#This Row],[C-Flex 3000K Eco Part Number]],Lutron_CFlex_Lookup[],MATCH("Lutron Kit PN",Lutron_CFlex_Lookup[#Headers],0),FALSE),"")</f>
        <v/>
      </c>
      <c r="AG311" s="1" t="str">
        <f>_xlfn.IFNA(VLOOKUP(Master_Reference[[#This Row],[C-Flex 3500K Eco Part Number]],Lutron_CFlex_Lookup[],MATCH("Lutron Kit PN",Lutron_CFlex_Lookup[#Headers],0),FALSE),"")</f>
        <v/>
      </c>
      <c r="AH311" s="1" t="str">
        <f>_xlfn.IFNA(VLOOKUP(Master_Reference[[#This Row],[C-Flex 4000K Eco Part Number]],Lutron_CFlex_Lookup[],MATCH("Lutron Kit PN",Lutron_CFlex_Lookup[#Headers],0),FALSE),"")</f>
        <v/>
      </c>
      <c r="AI311" s="1" t="str">
        <f>_xlfn.IFNA(VLOOKUP(Master_Reference[[#This Row],[C-Flex 5000K Eco Part Number]],Lutron_CFlex_Lookup[],MATCH("Lutron Kit PN",Lutron_CFlex_Lookup[#Headers],0),FALSE),"")</f>
        <v/>
      </c>
      <c r="AJ311" s="1" t="str">
        <f>_xlfn.IFNA(VLOOKUP(Master_Reference[[#This Row],[C-Flex 3000K 3W Part Number]],Lutron_CFlex_Lookup[],MATCH("Lutron Kit PN",Lutron_CFlex_Lookup[#Headers],0),FALSE),"")</f>
        <v>3LD2T8-2M30-q</v>
      </c>
      <c r="AK311" s="1" t="str">
        <f>_xlfn.IFNA(VLOOKUP(Master_Reference[[#This Row],[C-Flex 3500K 3W Part Number]],Lutron_CFlex_Lookup[],MATCH("Lutron Kit PN",Lutron_CFlex_Lookup[#Headers],0),FALSE),"")</f>
        <v>3LD2T8-2M35-q</v>
      </c>
      <c r="AL311" s="1" t="str">
        <f>_xlfn.IFNA(VLOOKUP(Master_Reference[[#This Row],[C-Flex 4000K 3W Part Number]],Lutron_CFlex_Lookup[],MATCH("Lutron Kit PN",Lutron_CFlex_Lookup[#Headers],0),FALSE),"")</f>
        <v>3LD2T8-2M40-q</v>
      </c>
      <c r="AM311" s="1" t="str">
        <f>_xlfn.IFNA(VLOOKUP(Master_Reference[[#This Row],[C-Flex 5000K 3W Part Number]],Lutron_CFlex_Lookup[],MATCH("Lutron Kit PN",Lutron_CFlex_Lookup[#Headers],0),FALSE),"")</f>
        <v>3LD2T8-2M50-q</v>
      </c>
      <c r="AN311" s="1" t="b">
        <f>NOT(ISNA(VLOOKUP(Master_Reference[[#This Row],[Model Number]],ObsoleteModels[],1,FALSE)))</f>
        <v>1</v>
      </c>
      <c r="AO311" s="1" t="str">
        <f>IF(LEFT(Master_Reference[[#This Row],[Model Number]],1)="U",LEFT(Master_Reference[[#This Row],[Model Number]],4),LEFT(Master_Reference[[#This Row],[Model Number]],3))</f>
        <v>ECO</v>
      </c>
    </row>
    <row r="312" spans="1:41" x14ac:dyDescent="0.25">
      <c r="A312" s="2" t="s">
        <v>587</v>
      </c>
      <c r="B312" s="1"/>
      <c r="C312" s="1" t="b">
        <v>1</v>
      </c>
      <c r="G312" s="1" t="str">
        <f>IF(OR(LEFT(RIGHT(Master_Reference[[#This Row],[Model Number]],3),1)="C",LEFT(RIGHT(Master_Reference[[#This Row],[Model Number]],4),1)="C"),TRUE,"")</f>
        <v/>
      </c>
      <c r="H312" s="1" t="str">
        <f>IF(LEFT(Master_Reference[[#This Row],[Model Number]],1)="U",TRUE,"")</f>
        <v/>
      </c>
      <c r="I312" s="1" t="b">
        <f>IF(Master_Reference[[#This Row],[Lamp Type]]="T4","",IF(Master_Reference[[#This Row],[Case Type]]="M","",TRUE))</f>
        <v>1</v>
      </c>
      <c r="J312" s="1" t="s">
        <v>111</v>
      </c>
      <c r="K312" s="1">
        <v>17</v>
      </c>
      <c r="L312" s="1" t="s">
        <v>112</v>
      </c>
      <c r="M312" s="1">
        <v>2</v>
      </c>
      <c r="N312" s="1">
        <v>120</v>
      </c>
      <c r="O312" s="1" t="s">
        <v>144</v>
      </c>
      <c r="Q312" s="1" t="s">
        <v>91</v>
      </c>
      <c r="R312" t="b">
        <f>IF(COUNTBLANK(Master_Reference[[#This Row],[C-Flex 3000K Eco Part Number]:[C-Flex 4000K Eco Part Number]])=3,FALSE,TRUE)</f>
        <v>0</v>
      </c>
      <c r="S312" t="b">
        <f>IF(COUNTBLANK(Master_Reference[[#This Row],[C-Flex 3000K 3W Part Number]:[C-Flex 4000K 3W Part Number]])=3,FALSE,TRUE)</f>
        <v>0</v>
      </c>
      <c r="T312" t="b">
        <f>IF(COUNTBLANK(Master_Reference[[#This Row],[Lutron 3000K Eco Part Number]:[Lutron 4000K Eco Part Number]])=3,FALSE,TRUE)</f>
        <v>0</v>
      </c>
      <c r="U312" t="b">
        <f>IF(COUNTBLANK(Master_Reference[[#This Row],[Lutron 3000K 3W Part Number]:[Lutron 4000K 3W Part Number]])=3,FALSE,TRUE)</f>
        <v>0</v>
      </c>
      <c r="V312" s="12"/>
      <c r="W312" s="12"/>
      <c r="X312" s="12"/>
      <c r="Y312" t="s">
        <v>2125</v>
      </c>
      <c r="Z312" s="12"/>
      <c r="AA312" s="12"/>
      <c r="AB312" s="12"/>
      <c r="AC312" t="s">
        <v>2125</v>
      </c>
      <c r="AD312" t="str">
        <f>SUBSTITUTE(Master_Reference[[#This Row],[C-Flex 4000K Eco Part Number]],"40-","xx-")</f>
        <v/>
      </c>
      <c r="AE312" t="str">
        <f>SUBSTITUTE(Master_Reference[[#This Row],[C-Flex 4000K 3W Part Number]],"40-","xx-")</f>
        <v/>
      </c>
      <c r="AF312" s="1" t="str">
        <f>_xlfn.IFNA(VLOOKUP(Master_Reference[[#This Row],[C-Flex 3000K Eco Part Number]],Lutron_CFlex_Lookup[],MATCH("Lutron Kit PN",Lutron_CFlex_Lookup[#Headers],0),FALSE),"")</f>
        <v/>
      </c>
      <c r="AG312" s="1" t="str">
        <f>_xlfn.IFNA(VLOOKUP(Master_Reference[[#This Row],[C-Flex 3500K Eco Part Number]],Lutron_CFlex_Lookup[],MATCH("Lutron Kit PN",Lutron_CFlex_Lookup[#Headers],0),FALSE),"")</f>
        <v/>
      </c>
      <c r="AH312" s="1" t="str">
        <f>_xlfn.IFNA(VLOOKUP(Master_Reference[[#This Row],[C-Flex 4000K Eco Part Number]],Lutron_CFlex_Lookup[],MATCH("Lutron Kit PN",Lutron_CFlex_Lookup[#Headers],0),FALSE),"")</f>
        <v/>
      </c>
      <c r="AI312" s="1" t="str">
        <f>_xlfn.IFNA(VLOOKUP(Master_Reference[[#This Row],[C-Flex 5000K Eco Part Number]],Lutron_CFlex_Lookup[],MATCH("Lutron Kit PN",Lutron_CFlex_Lookup[#Headers],0),FALSE),"")</f>
        <v/>
      </c>
      <c r="AJ312" s="1" t="str">
        <f>_xlfn.IFNA(VLOOKUP(Master_Reference[[#This Row],[C-Flex 3000K 3W Part Number]],Lutron_CFlex_Lookup[],MATCH("Lutron Kit PN",Lutron_CFlex_Lookup[#Headers],0),FALSE),"")</f>
        <v/>
      </c>
      <c r="AK312" s="1" t="str">
        <f>_xlfn.IFNA(VLOOKUP(Master_Reference[[#This Row],[C-Flex 3500K 3W Part Number]],Lutron_CFlex_Lookup[],MATCH("Lutron Kit PN",Lutron_CFlex_Lookup[#Headers],0),FALSE),"")</f>
        <v/>
      </c>
      <c r="AL312" s="1" t="str">
        <f>_xlfn.IFNA(VLOOKUP(Master_Reference[[#This Row],[C-Flex 4000K 3W Part Number]],Lutron_CFlex_Lookup[],MATCH("Lutron Kit PN",Lutron_CFlex_Lookup[#Headers],0),FALSE),"")</f>
        <v/>
      </c>
      <c r="AM312" s="1" t="str">
        <f>_xlfn.IFNA(VLOOKUP(Master_Reference[[#This Row],[C-Flex 5000K 3W Part Number]],Lutron_CFlex_Lookup[],MATCH("Lutron Kit PN",Lutron_CFlex_Lookup[#Headers],0),FALSE),"")</f>
        <v/>
      </c>
      <c r="AN312" s="1" t="b">
        <f>NOT(ISNA(VLOOKUP(Master_Reference[[#This Row],[Model Number]],ObsoleteModels[],1,FALSE)))</f>
        <v>1</v>
      </c>
      <c r="AO312" s="1" t="str">
        <f>IF(LEFT(Master_Reference[[#This Row],[Model Number]],1)="U",LEFT(Master_Reference[[#This Row],[Model Number]],4),LEFT(Master_Reference[[#This Row],[Model Number]],3))</f>
        <v>ECO</v>
      </c>
    </row>
    <row r="313" spans="1:41" x14ac:dyDescent="0.25">
      <c r="A313" s="2" t="s">
        <v>588</v>
      </c>
      <c r="B313" s="1"/>
      <c r="C313" s="1" t="b">
        <v>1</v>
      </c>
      <c r="G313" s="1" t="str">
        <f>IF(OR(LEFT(RIGHT(Master_Reference[[#This Row],[Model Number]],3),1)="C",LEFT(RIGHT(Master_Reference[[#This Row],[Model Number]],4),1)="C"),TRUE,"")</f>
        <v/>
      </c>
      <c r="H313" s="1" t="str">
        <f>IF(LEFT(Master_Reference[[#This Row],[Model Number]],1)="U",TRUE,"")</f>
        <v/>
      </c>
      <c r="I313" s="1" t="b">
        <f>IF(Master_Reference[[#This Row],[Lamp Type]]="T4","",IF(Master_Reference[[#This Row],[Case Type]]="M","",TRUE))</f>
        <v>1</v>
      </c>
      <c r="J313" s="1" t="s">
        <v>111</v>
      </c>
      <c r="K313" s="1">
        <v>17</v>
      </c>
      <c r="L313" s="1" t="s">
        <v>112</v>
      </c>
      <c r="M313" s="1">
        <v>3</v>
      </c>
      <c r="N313" s="1">
        <v>120</v>
      </c>
      <c r="O313" s="1" t="s">
        <v>144</v>
      </c>
      <c r="R313" t="b">
        <f>IF(COUNTBLANK(Master_Reference[[#This Row],[C-Flex 3000K Eco Part Number]:[C-Flex 4000K Eco Part Number]])=3,FALSE,TRUE)</f>
        <v>0</v>
      </c>
      <c r="S313" t="b">
        <f>IF(COUNTBLANK(Master_Reference[[#This Row],[C-Flex 3000K 3W Part Number]:[C-Flex 4000K 3W Part Number]])=3,FALSE,TRUE)</f>
        <v>1</v>
      </c>
      <c r="T313" t="b">
        <f>IF(COUNTBLANK(Master_Reference[[#This Row],[Lutron 3000K Eco Part Number]:[Lutron 4000K Eco Part Number]])=3,FALSE,TRUE)</f>
        <v>0</v>
      </c>
      <c r="U313" t="b">
        <f>IF(COUNTBLANK(Master_Reference[[#This Row],[Lutron 3000K 3W Part Number]:[Lutron 4000K 3W Part Number]])=3,FALSE,TRUE)</f>
        <v>1</v>
      </c>
      <c r="V313" s="12"/>
      <c r="W313" s="12"/>
      <c r="X313" s="12"/>
      <c r="Y313" t="s">
        <v>2125</v>
      </c>
      <c r="Z313" s="12" t="s">
        <v>251</v>
      </c>
      <c r="AA313" s="12" t="s">
        <v>252</v>
      </c>
      <c r="AB313" s="12" t="s">
        <v>253</v>
      </c>
      <c r="AC313" t="s">
        <v>1825</v>
      </c>
      <c r="AD313" t="str">
        <f>SUBSTITUTE(Master_Reference[[#This Row],[C-Flex 4000K Eco Part Number]],"40-","xx-")</f>
        <v/>
      </c>
      <c r="AE313" t="str">
        <f>SUBSTITUTE(Master_Reference[[#This Row],[C-Flex 4000K 3W Part Number]],"40-","xx-")</f>
        <v>RP-T8-2FT-3L-8xx-3W-M-G2</v>
      </c>
      <c r="AF313" s="1" t="str">
        <f>_xlfn.IFNA(VLOOKUP(Master_Reference[[#This Row],[C-Flex 3000K Eco Part Number]],Lutron_CFlex_Lookup[],MATCH("Lutron Kit PN",Lutron_CFlex_Lookup[#Headers],0),FALSE),"")</f>
        <v/>
      </c>
      <c r="AG313" s="1" t="str">
        <f>_xlfn.IFNA(VLOOKUP(Master_Reference[[#This Row],[C-Flex 3500K Eco Part Number]],Lutron_CFlex_Lookup[],MATCH("Lutron Kit PN",Lutron_CFlex_Lookup[#Headers],0),FALSE),"")</f>
        <v/>
      </c>
      <c r="AH313" s="1" t="str">
        <f>_xlfn.IFNA(VLOOKUP(Master_Reference[[#This Row],[C-Flex 4000K Eco Part Number]],Lutron_CFlex_Lookup[],MATCH("Lutron Kit PN",Lutron_CFlex_Lookup[#Headers],0),FALSE),"")</f>
        <v/>
      </c>
      <c r="AI313" s="1" t="str">
        <f>_xlfn.IFNA(VLOOKUP(Master_Reference[[#This Row],[C-Flex 5000K Eco Part Number]],Lutron_CFlex_Lookup[],MATCH("Lutron Kit PN",Lutron_CFlex_Lookup[#Headers],0),FALSE),"")</f>
        <v/>
      </c>
      <c r="AJ313" s="1" t="str">
        <f>_xlfn.IFNA(VLOOKUP(Master_Reference[[#This Row],[C-Flex 3000K 3W Part Number]],Lutron_CFlex_Lookup[],MATCH("Lutron Kit PN",Lutron_CFlex_Lookup[#Headers],0),FALSE),"")</f>
        <v>3LD2T8-3M30-q</v>
      </c>
      <c r="AK313" s="1" t="str">
        <f>_xlfn.IFNA(VLOOKUP(Master_Reference[[#This Row],[C-Flex 3500K 3W Part Number]],Lutron_CFlex_Lookup[],MATCH("Lutron Kit PN",Lutron_CFlex_Lookup[#Headers],0),FALSE),"")</f>
        <v>3LD2T8-3M35-q</v>
      </c>
      <c r="AL313" s="1" t="str">
        <f>_xlfn.IFNA(VLOOKUP(Master_Reference[[#This Row],[C-Flex 4000K 3W Part Number]],Lutron_CFlex_Lookup[],MATCH("Lutron Kit PN",Lutron_CFlex_Lookup[#Headers],0),FALSE),"")</f>
        <v>3LD2T8-3M40-q</v>
      </c>
      <c r="AM313" s="1" t="str">
        <f>_xlfn.IFNA(VLOOKUP(Master_Reference[[#This Row],[C-Flex 5000K 3W Part Number]],Lutron_CFlex_Lookup[],MATCH("Lutron Kit PN",Lutron_CFlex_Lookup[#Headers],0),FALSE),"")</f>
        <v>3LD2T8-3M50-q</v>
      </c>
      <c r="AN313" s="1" t="b">
        <f>NOT(ISNA(VLOOKUP(Master_Reference[[#This Row],[Model Number]],ObsoleteModels[],1,FALSE)))</f>
        <v>1</v>
      </c>
      <c r="AO313" s="1" t="str">
        <f>IF(LEFT(Master_Reference[[#This Row],[Model Number]],1)="U",LEFT(Master_Reference[[#This Row],[Model Number]],4),LEFT(Master_Reference[[#This Row],[Model Number]],3))</f>
        <v>ECO</v>
      </c>
    </row>
    <row r="314" spans="1:41" x14ac:dyDescent="0.25">
      <c r="A314" s="2" t="s">
        <v>589</v>
      </c>
      <c r="B314" s="1"/>
      <c r="C314" s="1" t="b">
        <v>1</v>
      </c>
      <c r="G314" s="1" t="str">
        <f>IF(OR(LEFT(RIGHT(Master_Reference[[#This Row],[Model Number]],3),1)="C",LEFT(RIGHT(Master_Reference[[#This Row],[Model Number]],4),1)="C"),TRUE,"")</f>
        <v/>
      </c>
      <c r="H314" s="1" t="str">
        <f>IF(LEFT(Master_Reference[[#This Row],[Model Number]],1)="U",TRUE,"")</f>
        <v/>
      </c>
      <c r="I314" s="1" t="b">
        <f>IF(Master_Reference[[#This Row],[Lamp Type]]="T4","",IF(Master_Reference[[#This Row],[Case Type]]="M","",TRUE))</f>
        <v>1</v>
      </c>
      <c r="J314" s="1" t="s">
        <v>111</v>
      </c>
      <c r="K314" s="1">
        <v>17</v>
      </c>
      <c r="L314" s="1" t="s">
        <v>112</v>
      </c>
      <c r="M314" s="1">
        <v>1</v>
      </c>
      <c r="N314" s="1">
        <v>277</v>
      </c>
      <c r="O314" s="1" t="s">
        <v>144</v>
      </c>
      <c r="R314" t="b">
        <f>IF(COUNTBLANK(Master_Reference[[#This Row],[C-Flex 3000K Eco Part Number]:[C-Flex 4000K Eco Part Number]])=3,FALSE,TRUE)</f>
        <v>0</v>
      </c>
      <c r="S314" t="b">
        <f>IF(COUNTBLANK(Master_Reference[[#This Row],[C-Flex 3000K 3W Part Number]:[C-Flex 4000K 3W Part Number]])=3,FALSE,TRUE)</f>
        <v>1</v>
      </c>
      <c r="T314" t="b">
        <f>IF(COUNTBLANK(Master_Reference[[#This Row],[Lutron 3000K Eco Part Number]:[Lutron 4000K Eco Part Number]])=3,FALSE,TRUE)</f>
        <v>0</v>
      </c>
      <c r="U314" t="b">
        <f>IF(COUNTBLANK(Master_Reference[[#This Row],[Lutron 3000K 3W Part Number]:[Lutron 4000K 3W Part Number]])=3,FALSE,TRUE)</f>
        <v>1</v>
      </c>
      <c r="V314" s="12"/>
      <c r="W314" s="12"/>
      <c r="X314" s="12"/>
      <c r="Y314" t="s">
        <v>2125</v>
      </c>
      <c r="Z314" s="12" t="s">
        <v>240</v>
      </c>
      <c r="AA314" s="12" t="s">
        <v>241</v>
      </c>
      <c r="AB314" s="12" t="s">
        <v>242</v>
      </c>
      <c r="AC314" t="s">
        <v>1823</v>
      </c>
      <c r="AD314" t="str">
        <f>SUBSTITUTE(Master_Reference[[#This Row],[C-Flex 4000K Eco Part Number]],"40-","xx-")</f>
        <v/>
      </c>
      <c r="AE314" t="str">
        <f>SUBSTITUTE(Master_Reference[[#This Row],[C-Flex 4000K 3W Part Number]],"40-","xx-")</f>
        <v>RP-T8-2FT-1L-8xx-3W-M-G2</v>
      </c>
      <c r="AF314" s="1" t="str">
        <f>_xlfn.IFNA(VLOOKUP(Master_Reference[[#This Row],[C-Flex 3000K Eco Part Number]],Lutron_CFlex_Lookup[],MATCH("Lutron Kit PN",Lutron_CFlex_Lookup[#Headers],0),FALSE),"")</f>
        <v/>
      </c>
      <c r="AG314" s="1" t="str">
        <f>_xlfn.IFNA(VLOOKUP(Master_Reference[[#This Row],[C-Flex 3500K Eco Part Number]],Lutron_CFlex_Lookup[],MATCH("Lutron Kit PN",Lutron_CFlex_Lookup[#Headers],0),FALSE),"")</f>
        <v/>
      </c>
      <c r="AH314" s="1" t="str">
        <f>_xlfn.IFNA(VLOOKUP(Master_Reference[[#This Row],[C-Flex 4000K Eco Part Number]],Lutron_CFlex_Lookup[],MATCH("Lutron Kit PN",Lutron_CFlex_Lookup[#Headers],0),FALSE),"")</f>
        <v/>
      </c>
      <c r="AI314" s="1" t="str">
        <f>_xlfn.IFNA(VLOOKUP(Master_Reference[[#This Row],[C-Flex 5000K Eco Part Number]],Lutron_CFlex_Lookup[],MATCH("Lutron Kit PN",Lutron_CFlex_Lookup[#Headers],0),FALSE),"")</f>
        <v/>
      </c>
      <c r="AJ314" s="1" t="str">
        <f>_xlfn.IFNA(VLOOKUP(Master_Reference[[#This Row],[C-Flex 3000K 3W Part Number]],Lutron_CFlex_Lookup[],MATCH("Lutron Kit PN",Lutron_CFlex_Lookup[#Headers],0),FALSE),"")</f>
        <v>3LD2T8-1M30-q</v>
      </c>
      <c r="AK314" s="1" t="str">
        <f>_xlfn.IFNA(VLOOKUP(Master_Reference[[#This Row],[C-Flex 3500K 3W Part Number]],Lutron_CFlex_Lookup[],MATCH("Lutron Kit PN",Lutron_CFlex_Lookup[#Headers],0),FALSE),"")</f>
        <v>3LD2T8-1M35-q</v>
      </c>
      <c r="AL314" s="1" t="str">
        <f>_xlfn.IFNA(VLOOKUP(Master_Reference[[#This Row],[C-Flex 4000K 3W Part Number]],Lutron_CFlex_Lookup[],MATCH("Lutron Kit PN",Lutron_CFlex_Lookup[#Headers],0),FALSE),"")</f>
        <v>3LD2T8-1M40-q</v>
      </c>
      <c r="AM314" s="1" t="str">
        <f>_xlfn.IFNA(VLOOKUP(Master_Reference[[#This Row],[C-Flex 5000K 3W Part Number]],Lutron_CFlex_Lookup[],MATCH("Lutron Kit PN",Lutron_CFlex_Lookup[#Headers],0),FALSE),"")</f>
        <v>3LD2T8-1M50-q</v>
      </c>
      <c r="AN314" s="1" t="b">
        <f>NOT(ISNA(VLOOKUP(Master_Reference[[#This Row],[Model Number]],ObsoleteModels[],1,FALSE)))</f>
        <v>1</v>
      </c>
      <c r="AO314" s="1" t="str">
        <f>IF(LEFT(Master_Reference[[#This Row],[Model Number]],1)="U",LEFT(Master_Reference[[#This Row],[Model Number]],4),LEFT(Master_Reference[[#This Row],[Model Number]],3))</f>
        <v>ECO</v>
      </c>
    </row>
    <row r="315" spans="1:41" x14ac:dyDescent="0.25">
      <c r="A315" s="2" t="s">
        <v>590</v>
      </c>
      <c r="B315" s="1"/>
      <c r="C315" s="1" t="b">
        <v>1</v>
      </c>
      <c r="G315" s="1" t="str">
        <f>IF(OR(LEFT(RIGHT(Master_Reference[[#This Row],[Model Number]],3),1)="C",LEFT(RIGHT(Master_Reference[[#This Row],[Model Number]],4),1)="C"),TRUE,"")</f>
        <v/>
      </c>
      <c r="H315" s="1" t="str">
        <f>IF(LEFT(Master_Reference[[#This Row],[Model Number]],1)="U",TRUE,"")</f>
        <v/>
      </c>
      <c r="I315" s="1" t="b">
        <f>IF(Master_Reference[[#This Row],[Lamp Type]]="T4","",IF(Master_Reference[[#This Row],[Case Type]]="M","",TRUE))</f>
        <v>1</v>
      </c>
      <c r="J315" s="1" t="s">
        <v>111</v>
      </c>
      <c r="K315" s="1">
        <v>17</v>
      </c>
      <c r="L315" s="1" t="s">
        <v>112</v>
      </c>
      <c r="M315" s="1">
        <v>2</v>
      </c>
      <c r="N315" s="1">
        <v>277</v>
      </c>
      <c r="O315" s="1" t="s">
        <v>144</v>
      </c>
      <c r="R315" t="b">
        <f>IF(COUNTBLANK(Master_Reference[[#This Row],[C-Flex 3000K Eco Part Number]:[C-Flex 4000K Eco Part Number]])=3,FALSE,TRUE)</f>
        <v>0</v>
      </c>
      <c r="S315" t="b">
        <f>IF(COUNTBLANK(Master_Reference[[#This Row],[C-Flex 3000K 3W Part Number]:[C-Flex 4000K 3W Part Number]])=3,FALSE,TRUE)</f>
        <v>1</v>
      </c>
      <c r="T315" t="b">
        <f>IF(COUNTBLANK(Master_Reference[[#This Row],[Lutron 3000K Eco Part Number]:[Lutron 4000K Eco Part Number]])=3,FALSE,TRUE)</f>
        <v>0</v>
      </c>
      <c r="U315" t="b">
        <f>IF(COUNTBLANK(Master_Reference[[#This Row],[Lutron 3000K 3W Part Number]:[Lutron 4000K 3W Part Number]])=3,FALSE,TRUE)</f>
        <v>1</v>
      </c>
      <c r="V315" s="12"/>
      <c r="W315" s="12"/>
      <c r="X315" s="12"/>
      <c r="Y315" t="s">
        <v>2125</v>
      </c>
      <c r="Z315" s="12" t="s">
        <v>244</v>
      </c>
      <c r="AA315" s="12" t="s">
        <v>245</v>
      </c>
      <c r="AB315" s="12" t="s">
        <v>246</v>
      </c>
      <c r="AC315" t="s">
        <v>1824</v>
      </c>
      <c r="AD315" t="str">
        <f>SUBSTITUTE(Master_Reference[[#This Row],[C-Flex 4000K Eco Part Number]],"40-","xx-")</f>
        <v/>
      </c>
      <c r="AE315" t="str">
        <f>SUBSTITUTE(Master_Reference[[#This Row],[C-Flex 4000K 3W Part Number]],"40-","xx-")</f>
        <v>RP-T8-2FT-2L-8xx-3W-M-G2</v>
      </c>
      <c r="AF315" s="1" t="str">
        <f>_xlfn.IFNA(VLOOKUP(Master_Reference[[#This Row],[C-Flex 3000K Eco Part Number]],Lutron_CFlex_Lookup[],MATCH("Lutron Kit PN",Lutron_CFlex_Lookup[#Headers],0),FALSE),"")</f>
        <v/>
      </c>
      <c r="AG315" s="1" t="str">
        <f>_xlfn.IFNA(VLOOKUP(Master_Reference[[#This Row],[C-Flex 3500K Eco Part Number]],Lutron_CFlex_Lookup[],MATCH("Lutron Kit PN",Lutron_CFlex_Lookup[#Headers],0),FALSE),"")</f>
        <v/>
      </c>
      <c r="AH315" s="1" t="str">
        <f>_xlfn.IFNA(VLOOKUP(Master_Reference[[#This Row],[C-Flex 4000K Eco Part Number]],Lutron_CFlex_Lookup[],MATCH("Lutron Kit PN",Lutron_CFlex_Lookup[#Headers],0),FALSE),"")</f>
        <v/>
      </c>
      <c r="AI315" s="1" t="str">
        <f>_xlfn.IFNA(VLOOKUP(Master_Reference[[#This Row],[C-Flex 5000K Eco Part Number]],Lutron_CFlex_Lookup[],MATCH("Lutron Kit PN",Lutron_CFlex_Lookup[#Headers],0),FALSE),"")</f>
        <v/>
      </c>
      <c r="AJ315" s="1" t="str">
        <f>_xlfn.IFNA(VLOOKUP(Master_Reference[[#This Row],[C-Flex 3000K 3W Part Number]],Lutron_CFlex_Lookup[],MATCH("Lutron Kit PN",Lutron_CFlex_Lookup[#Headers],0),FALSE),"")</f>
        <v>3LD2T8-2M30-q</v>
      </c>
      <c r="AK315" s="1" t="str">
        <f>_xlfn.IFNA(VLOOKUP(Master_Reference[[#This Row],[C-Flex 3500K 3W Part Number]],Lutron_CFlex_Lookup[],MATCH("Lutron Kit PN",Lutron_CFlex_Lookup[#Headers],0),FALSE),"")</f>
        <v>3LD2T8-2M35-q</v>
      </c>
      <c r="AL315" s="1" t="str">
        <f>_xlfn.IFNA(VLOOKUP(Master_Reference[[#This Row],[C-Flex 4000K 3W Part Number]],Lutron_CFlex_Lookup[],MATCH("Lutron Kit PN",Lutron_CFlex_Lookup[#Headers],0),FALSE),"")</f>
        <v>3LD2T8-2M40-q</v>
      </c>
      <c r="AM315" s="1" t="str">
        <f>_xlfn.IFNA(VLOOKUP(Master_Reference[[#This Row],[C-Flex 5000K 3W Part Number]],Lutron_CFlex_Lookup[],MATCH("Lutron Kit PN",Lutron_CFlex_Lookup[#Headers],0),FALSE),"")</f>
        <v>3LD2T8-2M50-q</v>
      </c>
      <c r="AN315" s="1" t="b">
        <f>NOT(ISNA(VLOOKUP(Master_Reference[[#This Row],[Model Number]],ObsoleteModels[],1,FALSE)))</f>
        <v>1</v>
      </c>
      <c r="AO315" s="1" t="str">
        <f>IF(LEFT(Master_Reference[[#This Row],[Model Number]],1)="U",LEFT(Master_Reference[[#This Row],[Model Number]],4),LEFT(Master_Reference[[#This Row],[Model Number]],3))</f>
        <v>ECO</v>
      </c>
    </row>
    <row r="316" spans="1:41" x14ac:dyDescent="0.25">
      <c r="A316" s="2" t="s">
        <v>591</v>
      </c>
      <c r="B316" s="1"/>
      <c r="C316" s="1" t="b">
        <v>1</v>
      </c>
      <c r="G316" s="1" t="str">
        <f>IF(OR(LEFT(RIGHT(Master_Reference[[#This Row],[Model Number]],3),1)="C",LEFT(RIGHT(Master_Reference[[#This Row],[Model Number]],4),1)="C"),TRUE,"")</f>
        <v/>
      </c>
      <c r="H316" s="1" t="str">
        <f>IF(LEFT(Master_Reference[[#This Row],[Model Number]],1)="U",TRUE,"")</f>
        <v/>
      </c>
      <c r="I316" s="1" t="b">
        <f>IF(Master_Reference[[#This Row],[Lamp Type]]="T4","",IF(Master_Reference[[#This Row],[Case Type]]="M","",TRUE))</f>
        <v>1</v>
      </c>
      <c r="J316" s="1" t="s">
        <v>111</v>
      </c>
      <c r="K316" s="1">
        <v>17</v>
      </c>
      <c r="L316" s="1" t="s">
        <v>112</v>
      </c>
      <c r="M316" s="1">
        <v>3</v>
      </c>
      <c r="N316" s="1">
        <v>277</v>
      </c>
      <c r="O316" s="1" t="s">
        <v>144</v>
      </c>
      <c r="R316" t="b">
        <f>IF(COUNTBLANK(Master_Reference[[#This Row],[C-Flex 3000K Eco Part Number]:[C-Flex 4000K Eco Part Number]])=3,FALSE,TRUE)</f>
        <v>0</v>
      </c>
      <c r="S316" t="b">
        <f>IF(COUNTBLANK(Master_Reference[[#This Row],[C-Flex 3000K 3W Part Number]:[C-Flex 4000K 3W Part Number]])=3,FALSE,TRUE)</f>
        <v>1</v>
      </c>
      <c r="T316" t="b">
        <f>IF(COUNTBLANK(Master_Reference[[#This Row],[Lutron 3000K Eco Part Number]:[Lutron 4000K Eco Part Number]])=3,FALSE,TRUE)</f>
        <v>0</v>
      </c>
      <c r="U316" t="b">
        <f>IF(COUNTBLANK(Master_Reference[[#This Row],[Lutron 3000K 3W Part Number]:[Lutron 4000K 3W Part Number]])=3,FALSE,TRUE)</f>
        <v>1</v>
      </c>
      <c r="V316" s="12"/>
      <c r="W316" s="12"/>
      <c r="X316" s="12"/>
      <c r="Y316" t="s">
        <v>2125</v>
      </c>
      <c r="Z316" s="12" t="s">
        <v>251</v>
      </c>
      <c r="AA316" s="12" t="s">
        <v>252</v>
      </c>
      <c r="AB316" s="12" t="s">
        <v>253</v>
      </c>
      <c r="AC316" t="s">
        <v>1825</v>
      </c>
      <c r="AD316" t="str">
        <f>SUBSTITUTE(Master_Reference[[#This Row],[C-Flex 4000K Eco Part Number]],"40-","xx-")</f>
        <v/>
      </c>
      <c r="AE316" t="str">
        <f>SUBSTITUTE(Master_Reference[[#This Row],[C-Flex 4000K 3W Part Number]],"40-","xx-")</f>
        <v>RP-T8-2FT-3L-8xx-3W-M-G2</v>
      </c>
      <c r="AF316" s="1" t="str">
        <f>_xlfn.IFNA(VLOOKUP(Master_Reference[[#This Row],[C-Flex 3000K Eco Part Number]],Lutron_CFlex_Lookup[],MATCH("Lutron Kit PN",Lutron_CFlex_Lookup[#Headers],0),FALSE),"")</f>
        <v/>
      </c>
      <c r="AG316" s="1" t="str">
        <f>_xlfn.IFNA(VLOOKUP(Master_Reference[[#This Row],[C-Flex 3500K Eco Part Number]],Lutron_CFlex_Lookup[],MATCH("Lutron Kit PN",Lutron_CFlex_Lookup[#Headers],0),FALSE),"")</f>
        <v/>
      </c>
      <c r="AH316" s="1" t="str">
        <f>_xlfn.IFNA(VLOOKUP(Master_Reference[[#This Row],[C-Flex 4000K Eco Part Number]],Lutron_CFlex_Lookup[],MATCH("Lutron Kit PN",Lutron_CFlex_Lookup[#Headers],0),FALSE),"")</f>
        <v/>
      </c>
      <c r="AI316" s="1" t="str">
        <f>_xlfn.IFNA(VLOOKUP(Master_Reference[[#This Row],[C-Flex 5000K Eco Part Number]],Lutron_CFlex_Lookup[],MATCH("Lutron Kit PN",Lutron_CFlex_Lookup[#Headers],0),FALSE),"")</f>
        <v/>
      </c>
      <c r="AJ316" s="1" t="str">
        <f>_xlfn.IFNA(VLOOKUP(Master_Reference[[#This Row],[C-Flex 3000K 3W Part Number]],Lutron_CFlex_Lookup[],MATCH("Lutron Kit PN",Lutron_CFlex_Lookup[#Headers],0),FALSE),"")</f>
        <v>3LD2T8-3M30-q</v>
      </c>
      <c r="AK316" s="1" t="str">
        <f>_xlfn.IFNA(VLOOKUP(Master_Reference[[#This Row],[C-Flex 3500K 3W Part Number]],Lutron_CFlex_Lookup[],MATCH("Lutron Kit PN",Lutron_CFlex_Lookup[#Headers],0),FALSE),"")</f>
        <v>3LD2T8-3M35-q</v>
      </c>
      <c r="AL316" s="1" t="str">
        <f>_xlfn.IFNA(VLOOKUP(Master_Reference[[#This Row],[C-Flex 4000K 3W Part Number]],Lutron_CFlex_Lookup[],MATCH("Lutron Kit PN",Lutron_CFlex_Lookup[#Headers],0),FALSE),"")</f>
        <v>3LD2T8-3M40-q</v>
      </c>
      <c r="AM316" s="1" t="str">
        <f>_xlfn.IFNA(VLOOKUP(Master_Reference[[#This Row],[C-Flex 5000K 3W Part Number]],Lutron_CFlex_Lookup[],MATCH("Lutron Kit PN",Lutron_CFlex_Lookup[#Headers],0),FALSE),"")</f>
        <v>3LD2T8-3M50-q</v>
      </c>
      <c r="AN316" s="1" t="b">
        <f>NOT(ISNA(VLOOKUP(Master_Reference[[#This Row],[Model Number]],ObsoleteModels[],1,FALSE)))</f>
        <v>1</v>
      </c>
      <c r="AO316" s="1" t="str">
        <f>IF(LEFT(Master_Reference[[#This Row],[Model Number]],1)="U",LEFT(Master_Reference[[#This Row],[Model Number]],4),LEFT(Master_Reference[[#This Row],[Model Number]],3))</f>
        <v>ECO</v>
      </c>
    </row>
    <row r="317" spans="1:41" x14ac:dyDescent="0.25">
      <c r="A317" s="2" t="s">
        <v>592</v>
      </c>
      <c r="B317" s="1"/>
      <c r="C317" s="1" t="b">
        <v>1</v>
      </c>
      <c r="G317" s="1" t="str">
        <f>IF(OR(LEFT(RIGHT(Master_Reference[[#This Row],[Model Number]],3),1)="C",LEFT(RIGHT(Master_Reference[[#This Row],[Model Number]],4),1)="C"),TRUE,"")</f>
        <v/>
      </c>
      <c r="H317" s="1" t="str">
        <f>IF(LEFT(Master_Reference[[#This Row],[Model Number]],1)="U",TRUE,"")</f>
        <v/>
      </c>
      <c r="I317" s="1" t="b">
        <f>IF(Master_Reference[[#This Row],[Lamp Type]]="T4","",IF(Master_Reference[[#This Row],[Case Type]]="M","",TRUE))</f>
        <v>1</v>
      </c>
      <c r="J317" s="1" t="s">
        <v>111</v>
      </c>
      <c r="K317" s="1">
        <v>18</v>
      </c>
      <c r="L317" s="1" t="s">
        <v>112</v>
      </c>
      <c r="M317" s="1">
        <v>1</v>
      </c>
      <c r="N317" s="1">
        <v>240</v>
      </c>
      <c r="O317" s="1" t="s">
        <v>144</v>
      </c>
      <c r="Q317" s="1" t="s">
        <v>456</v>
      </c>
      <c r="R317" t="b">
        <f>IF(COUNTBLANK(Master_Reference[[#This Row],[C-Flex 3000K Eco Part Number]:[C-Flex 4000K Eco Part Number]])=3,FALSE,TRUE)</f>
        <v>0</v>
      </c>
      <c r="S317" t="b">
        <f>IF(COUNTBLANK(Master_Reference[[#This Row],[C-Flex 3000K 3W Part Number]:[C-Flex 4000K 3W Part Number]])=3,FALSE,TRUE)</f>
        <v>0</v>
      </c>
      <c r="T317" t="b">
        <f>IF(COUNTBLANK(Master_Reference[[#This Row],[Lutron 3000K Eco Part Number]:[Lutron 4000K Eco Part Number]])=3,FALSE,TRUE)</f>
        <v>0</v>
      </c>
      <c r="U317" t="b">
        <f>IF(COUNTBLANK(Master_Reference[[#This Row],[Lutron 3000K 3W Part Number]:[Lutron 4000K 3W Part Number]])=3,FALSE,TRUE)</f>
        <v>0</v>
      </c>
      <c r="V317" s="12"/>
      <c r="W317" s="12"/>
      <c r="X317" s="12"/>
      <c r="Y317" t="s">
        <v>2125</v>
      </c>
      <c r="Z317" s="12"/>
      <c r="AA317" s="12"/>
      <c r="AB317" s="12"/>
      <c r="AC317" t="s">
        <v>2125</v>
      </c>
      <c r="AD317" t="str">
        <f>SUBSTITUTE(Master_Reference[[#This Row],[C-Flex 4000K Eco Part Number]],"40-","xx-")</f>
        <v/>
      </c>
      <c r="AE317" t="str">
        <f>SUBSTITUTE(Master_Reference[[#This Row],[C-Flex 4000K 3W Part Number]],"40-","xx-")</f>
        <v/>
      </c>
      <c r="AF317" s="1" t="str">
        <f>_xlfn.IFNA(VLOOKUP(Master_Reference[[#This Row],[C-Flex 3000K Eco Part Number]],Lutron_CFlex_Lookup[],MATCH("Lutron Kit PN",Lutron_CFlex_Lookup[#Headers],0),FALSE),"")</f>
        <v/>
      </c>
      <c r="AG317" s="1" t="str">
        <f>_xlfn.IFNA(VLOOKUP(Master_Reference[[#This Row],[C-Flex 3500K Eco Part Number]],Lutron_CFlex_Lookup[],MATCH("Lutron Kit PN",Lutron_CFlex_Lookup[#Headers],0),FALSE),"")</f>
        <v/>
      </c>
      <c r="AH317" s="1" t="str">
        <f>_xlfn.IFNA(VLOOKUP(Master_Reference[[#This Row],[C-Flex 4000K Eco Part Number]],Lutron_CFlex_Lookup[],MATCH("Lutron Kit PN",Lutron_CFlex_Lookup[#Headers],0),FALSE),"")</f>
        <v/>
      </c>
      <c r="AI317" s="1" t="str">
        <f>_xlfn.IFNA(VLOOKUP(Master_Reference[[#This Row],[C-Flex 5000K Eco Part Number]],Lutron_CFlex_Lookup[],MATCH("Lutron Kit PN",Lutron_CFlex_Lookup[#Headers],0),FALSE),"")</f>
        <v/>
      </c>
      <c r="AJ317" s="1" t="str">
        <f>_xlfn.IFNA(VLOOKUP(Master_Reference[[#This Row],[C-Flex 3000K 3W Part Number]],Lutron_CFlex_Lookup[],MATCH("Lutron Kit PN",Lutron_CFlex_Lookup[#Headers],0),FALSE),"")</f>
        <v/>
      </c>
      <c r="AK317" s="1" t="str">
        <f>_xlfn.IFNA(VLOOKUP(Master_Reference[[#This Row],[C-Flex 3500K 3W Part Number]],Lutron_CFlex_Lookup[],MATCH("Lutron Kit PN",Lutron_CFlex_Lookup[#Headers],0),FALSE),"")</f>
        <v/>
      </c>
      <c r="AL317" s="1" t="str">
        <f>_xlfn.IFNA(VLOOKUP(Master_Reference[[#This Row],[C-Flex 4000K 3W Part Number]],Lutron_CFlex_Lookup[],MATCH("Lutron Kit PN",Lutron_CFlex_Lookup[#Headers],0),FALSE),"")</f>
        <v/>
      </c>
      <c r="AM317" s="1" t="str">
        <f>_xlfn.IFNA(VLOOKUP(Master_Reference[[#This Row],[C-Flex 5000K 3W Part Number]],Lutron_CFlex_Lookup[],MATCH("Lutron Kit PN",Lutron_CFlex_Lookup[#Headers],0),FALSE),"")</f>
        <v/>
      </c>
      <c r="AN317" s="1" t="b">
        <f>NOT(ISNA(VLOOKUP(Master_Reference[[#This Row],[Model Number]],ObsoleteModels[],1,FALSE)))</f>
        <v>1</v>
      </c>
      <c r="AO317" s="1" t="str">
        <f>IF(LEFT(Master_Reference[[#This Row],[Model Number]],1)="U",LEFT(Master_Reference[[#This Row],[Model Number]],4),LEFT(Master_Reference[[#This Row],[Model Number]],3))</f>
        <v>ECO</v>
      </c>
    </row>
    <row r="318" spans="1:41" x14ac:dyDescent="0.25">
      <c r="A318" s="2" t="s">
        <v>593</v>
      </c>
      <c r="B318" s="1"/>
      <c r="C318" s="1" t="b">
        <v>1</v>
      </c>
      <c r="G318" s="1" t="str">
        <f>IF(OR(LEFT(RIGHT(Master_Reference[[#This Row],[Model Number]],3),1)="C",LEFT(RIGHT(Master_Reference[[#This Row],[Model Number]],4),1)="C"),TRUE,"")</f>
        <v/>
      </c>
      <c r="H318" s="1" t="str">
        <f>IF(LEFT(Master_Reference[[#This Row],[Model Number]],1)="U",TRUE,"")</f>
        <v/>
      </c>
      <c r="I318" s="1" t="b">
        <f>IF(Master_Reference[[#This Row],[Lamp Type]]="T4","",IF(Master_Reference[[#This Row],[Case Type]]="M","",TRUE))</f>
        <v>1</v>
      </c>
      <c r="J318" s="1" t="s">
        <v>111</v>
      </c>
      <c r="K318" s="1">
        <v>18</v>
      </c>
      <c r="L318" s="1" t="s">
        <v>112</v>
      </c>
      <c r="M318" s="1">
        <v>2</v>
      </c>
      <c r="N318" s="1">
        <v>240</v>
      </c>
      <c r="O318" s="1" t="s">
        <v>144</v>
      </c>
      <c r="Q318" s="1" t="s">
        <v>456</v>
      </c>
      <c r="R318" t="b">
        <f>IF(COUNTBLANK(Master_Reference[[#This Row],[C-Flex 3000K Eco Part Number]:[C-Flex 4000K Eco Part Number]])=3,FALSE,TRUE)</f>
        <v>0</v>
      </c>
      <c r="S318" t="b">
        <f>IF(COUNTBLANK(Master_Reference[[#This Row],[C-Flex 3000K 3W Part Number]:[C-Flex 4000K 3W Part Number]])=3,FALSE,TRUE)</f>
        <v>0</v>
      </c>
      <c r="T318" t="b">
        <f>IF(COUNTBLANK(Master_Reference[[#This Row],[Lutron 3000K Eco Part Number]:[Lutron 4000K Eco Part Number]])=3,FALSE,TRUE)</f>
        <v>0</v>
      </c>
      <c r="U318" t="b">
        <f>IF(COUNTBLANK(Master_Reference[[#This Row],[Lutron 3000K 3W Part Number]:[Lutron 4000K 3W Part Number]])=3,FALSE,TRUE)</f>
        <v>0</v>
      </c>
      <c r="V318" s="12"/>
      <c r="W318" s="12"/>
      <c r="X318" s="12"/>
      <c r="Y318" t="s">
        <v>2125</v>
      </c>
      <c r="Z318" s="12"/>
      <c r="AA318" s="12"/>
      <c r="AB318" s="12"/>
      <c r="AC318" t="s">
        <v>2125</v>
      </c>
      <c r="AD318" t="str">
        <f>SUBSTITUTE(Master_Reference[[#This Row],[C-Flex 4000K Eco Part Number]],"40-","xx-")</f>
        <v/>
      </c>
      <c r="AE318" t="str">
        <f>SUBSTITUTE(Master_Reference[[#This Row],[C-Flex 4000K 3W Part Number]],"40-","xx-")</f>
        <v/>
      </c>
      <c r="AF318" s="1" t="str">
        <f>_xlfn.IFNA(VLOOKUP(Master_Reference[[#This Row],[C-Flex 3000K Eco Part Number]],Lutron_CFlex_Lookup[],MATCH("Lutron Kit PN",Lutron_CFlex_Lookup[#Headers],0),FALSE),"")</f>
        <v/>
      </c>
      <c r="AG318" s="1" t="str">
        <f>_xlfn.IFNA(VLOOKUP(Master_Reference[[#This Row],[C-Flex 3500K Eco Part Number]],Lutron_CFlex_Lookup[],MATCH("Lutron Kit PN",Lutron_CFlex_Lookup[#Headers],0),FALSE),"")</f>
        <v/>
      </c>
      <c r="AH318" s="1" t="str">
        <f>_xlfn.IFNA(VLOOKUP(Master_Reference[[#This Row],[C-Flex 4000K Eco Part Number]],Lutron_CFlex_Lookup[],MATCH("Lutron Kit PN",Lutron_CFlex_Lookup[#Headers],0),FALSE),"")</f>
        <v/>
      </c>
      <c r="AI318" s="1" t="str">
        <f>_xlfn.IFNA(VLOOKUP(Master_Reference[[#This Row],[C-Flex 5000K Eco Part Number]],Lutron_CFlex_Lookup[],MATCH("Lutron Kit PN",Lutron_CFlex_Lookup[#Headers],0),FALSE),"")</f>
        <v/>
      </c>
      <c r="AJ318" s="1" t="str">
        <f>_xlfn.IFNA(VLOOKUP(Master_Reference[[#This Row],[C-Flex 3000K 3W Part Number]],Lutron_CFlex_Lookup[],MATCH("Lutron Kit PN",Lutron_CFlex_Lookup[#Headers],0),FALSE),"")</f>
        <v/>
      </c>
      <c r="AK318" s="1" t="str">
        <f>_xlfn.IFNA(VLOOKUP(Master_Reference[[#This Row],[C-Flex 3500K 3W Part Number]],Lutron_CFlex_Lookup[],MATCH("Lutron Kit PN",Lutron_CFlex_Lookup[#Headers],0),FALSE),"")</f>
        <v/>
      </c>
      <c r="AL318" s="1" t="str">
        <f>_xlfn.IFNA(VLOOKUP(Master_Reference[[#This Row],[C-Flex 4000K 3W Part Number]],Lutron_CFlex_Lookup[],MATCH("Lutron Kit PN",Lutron_CFlex_Lookup[#Headers],0),FALSE),"")</f>
        <v/>
      </c>
      <c r="AM318" s="1" t="str">
        <f>_xlfn.IFNA(VLOOKUP(Master_Reference[[#This Row],[C-Flex 5000K 3W Part Number]],Lutron_CFlex_Lookup[],MATCH("Lutron Kit PN",Lutron_CFlex_Lookup[#Headers],0),FALSE),"")</f>
        <v/>
      </c>
      <c r="AN318" s="1" t="b">
        <f>NOT(ISNA(VLOOKUP(Master_Reference[[#This Row],[Model Number]],ObsoleteModels[],1,FALSE)))</f>
        <v>1</v>
      </c>
      <c r="AO318" s="1" t="str">
        <f>IF(LEFT(Master_Reference[[#This Row],[Model Number]],1)="U",LEFT(Master_Reference[[#This Row],[Model Number]],4),LEFT(Master_Reference[[#This Row],[Model Number]],3))</f>
        <v>ECO</v>
      </c>
    </row>
    <row r="319" spans="1:41" x14ac:dyDescent="0.25">
      <c r="A319" s="2" t="s">
        <v>594</v>
      </c>
      <c r="B319" s="1"/>
      <c r="C319" s="1" t="b">
        <v>1</v>
      </c>
      <c r="G319" s="1" t="str">
        <f>IF(OR(LEFT(RIGHT(Master_Reference[[#This Row],[Model Number]],3),1)="C",LEFT(RIGHT(Master_Reference[[#This Row],[Model Number]],4),1)="C"),TRUE,"")</f>
        <v/>
      </c>
      <c r="H319" s="1" t="str">
        <f>IF(LEFT(Master_Reference[[#This Row],[Model Number]],1)="U",TRUE,"")</f>
        <v/>
      </c>
      <c r="I319" s="1" t="b">
        <f>IF(Master_Reference[[#This Row],[Lamp Type]]="T4","",IF(Master_Reference[[#This Row],[Case Type]]="M","",TRUE))</f>
        <v>1</v>
      </c>
      <c r="J319" s="1" t="s">
        <v>111</v>
      </c>
      <c r="K319" s="1">
        <v>25</v>
      </c>
      <c r="L319" s="1" t="s">
        <v>115</v>
      </c>
      <c r="M319" s="1">
        <v>1</v>
      </c>
      <c r="N319" s="1">
        <v>120</v>
      </c>
      <c r="O319" s="1" t="s">
        <v>144</v>
      </c>
      <c r="R319" t="b">
        <f>IF(COUNTBLANK(Master_Reference[[#This Row],[C-Flex 3000K Eco Part Number]:[C-Flex 4000K Eco Part Number]])=3,FALSE,TRUE)</f>
        <v>0</v>
      </c>
      <c r="S319" t="b">
        <f>IF(COUNTBLANK(Master_Reference[[#This Row],[C-Flex 3000K 3W Part Number]:[C-Flex 4000K 3W Part Number]])=3,FALSE,TRUE)</f>
        <v>1</v>
      </c>
      <c r="T319" t="b">
        <f>IF(COUNTBLANK(Master_Reference[[#This Row],[Lutron 3000K Eco Part Number]:[Lutron 4000K Eco Part Number]])=3,FALSE,TRUE)</f>
        <v>0</v>
      </c>
      <c r="U319" t="b">
        <f>IF(COUNTBLANK(Master_Reference[[#This Row],[Lutron 3000K 3W Part Number]:[Lutron 4000K 3W Part Number]])=3,FALSE,TRUE)</f>
        <v>1</v>
      </c>
      <c r="V319" s="12"/>
      <c r="W319" s="12"/>
      <c r="X319" s="12"/>
      <c r="Y319" t="s">
        <v>2125</v>
      </c>
      <c r="Z319" s="12" t="s">
        <v>255</v>
      </c>
      <c r="AA319" s="12" t="s">
        <v>256</v>
      </c>
      <c r="AB319" s="12" t="s">
        <v>257</v>
      </c>
      <c r="AC319" t="s">
        <v>1826</v>
      </c>
      <c r="AD319" t="str">
        <f>SUBSTITUTE(Master_Reference[[#This Row],[C-Flex 4000K Eco Part Number]],"40-","xx-")</f>
        <v/>
      </c>
      <c r="AE319" t="str">
        <f>SUBSTITUTE(Master_Reference[[#This Row],[C-Flex 4000K 3W Part Number]],"40-","xx-")</f>
        <v>RP-T8-3FT-1L-8xx-3W-M-G2</v>
      </c>
      <c r="AF319" s="1" t="str">
        <f>_xlfn.IFNA(VLOOKUP(Master_Reference[[#This Row],[C-Flex 3000K Eco Part Number]],Lutron_CFlex_Lookup[],MATCH("Lutron Kit PN",Lutron_CFlex_Lookup[#Headers],0),FALSE),"")</f>
        <v/>
      </c>
      <c r="AG319" s="1" t="str">
        <f>_xlfn.IFNA(VLOOKUP(Master_Reference[[#This Row],[C-Flex 3500K Eco Part Number]],Lutron_CFlex_Lookup[],MATCH("Lutron Kit PN",Lutron_CFlex_Lookup[#Headers],0),FALSE),"")</f>
        <v/>
      </c>
      <c r="AH319" s="1" t="str">
        <f>_xlfn.IFNA(VLOOKUP(Master_Reference[[#This Row],[C-Flex 4000K Eco Part Number]],Lutron_CFlex_Lookup[],MATCH("Lutron Kit PN",Lutron_CFlex_Lookup[#Headers],0),FALSE),"")</f>
        <v/>
      </c>
      <c r="AI319" s="1" t="str">
        <f>_xlfn.IFNA(VLOOKUP(Master_Reference[[#This Row],[C-Flex 5000K Eco Part Number]],Lutron_CFlex_Lookup[],MATCH("Lutron Kit PN",Lutron_CFlex_Lookup[#Headers],0),FALSE),"")</f>
        <v/>
      </c>
      <c r="AJ319" s="1" t="str">
        <f>_xlfn.IFNA(VLOOKUP(Master_Reference[[#This Row],[C-Flex 3000K 3W Part Number]],Lutron_CFlex_Lookup[],MATCH("Lutron Kit PN",Lutron_CFlex_Lookup[#Headers],0),FALSE),"")</f>
        <v>3LD3T8-1M30-q</v>
      </c>
      <c r="AK319" s="1" t="str">
        <f>_xlfn.IFNA(VLOOKUP(Master_Reference[[#This Row],[C-Flex 3500K 3W Part Number]],Lutron_CFlex_Lookup[],MATCH("Lutron Kit PN",Lutron_CFlex_Lookup[#Headers],0),FALSE),"")</f>
        <v>3LD3T8-1M35-q</v>
      </c>
      <c r="AL319" s="1" t="str">
        <f>_xlfn.IFNA(VLOOKUP(Master_Reference[[#This Row],[C-Flex 4000K 3W Part Number]],Lutron_CFlex_Lookup[],MATCH("Lutron Kit PN",Lutron_CFlex_Lookup[#Headers],0),FALSE),"")</f>
        <v>3LD3T8-1M40-q</v>
      </c>
      <c r="AM319" s="1" t="str">
        <f>_xlfn.IFNA(VLOOKUP(Master_Reference[[#This Row],[C-Flex 5000K 3W Part Number]],Lutron_CFlex_Lookup[],MATCH("Lutron Kit PN",Lutron_CFlex_Lookup[#Headers],0),FALSE),"")</f>
        <v>3LD3T8-1M50-q</v>
      </c>
      <c r="AN319" s="1" t="b">
        <f>NOT(ISNA(VLOOKUP(Master_Reference[[#This Row],[Model Number]],ObsoleteModels[],1,FALSE)))</f>
        <v>1</v>
      </c>
      <c r="AO319" s="1" t="str">
        <f>IF(LEFT(Master_Reference[[#This Row],[Model Number]],1)="U",LEFT(Master_Reference[[#This Row],[Model Number]],4),LEFT(Master_Reference[[#This Row],[Model Number]],3))</f>
        <v>ECO</v>
      </c>
    </row>
    <row r="320" spans="1:41" x14ac:dyDescent="0.25">
      <c r="A320" s="2" t="s">
        <v>595</v>
      </c>
      <c r="B320" s="1"/>
      <c r="C320" s="1" t="b">
        <v>1</v>
      </c>
      <c r="G320" s="1" t="str">
        <f>IF(OR(LEFT(RIGHT(Master_Reference[[#This Row],[Model Number]],3),1)="C",LEFT(RIGHT(Master_Reference[[#This Row],[Model Number]],4),1)="C"),TRUE,"")</f>
        <v/>
      </c>
      <c r="H320" s="1" t="str">
        <f>IF(LEFT(Master_Reference[[#This Row],[Model Number]],1)="U",TRUE,"")</f>
        <v/>
      </c>
      <c r="I320" s="1" t="b">
        <f>IF(Master_Reference[[#This Row],[Lamp Type]]="T4","",IF(Master_Reference[[#This Row],[Case Type]]="M","",TRUE))</f>
        <v>1</v>
      </c>
      <c r="J320" s="1" t="s">
        <v>111</v>
      </c>
      <c r="K320" s="1">
        <v>25</v>
      </c>
      <c r="L320" s="1" t="s">
        <v>115</v>
      </c>
      <c r="M320" s="1">
        <v>1</v>
      </c>
      <c r="N320" s="1">
        <v>120</v>
      </c>
      <c r="O320" s="1" t="s">
        <v>144</v>
      </c>
      <c r="Q320" s="1" t="s">
        <v>91</v>
      </c>
      <c r="R320" t="b">
        <f>IF(COUNTBLANK(Master_Reference[[#This Row],[C-Flex 3000K Eco Part Number]:[C-Flex 4000K Eco Part Number]])=3,FALSE,TRUE)</f>
        <v>0</v>
      </c>
      <c r="S320" t="b">
        <f>IF(COUNTBLANK(Master_Reference[[#This Row],[C-Flex 3000K 3W Part Number]:[C-Flex 4000K 3W Part Number]])=3,FALSE,TRUE)</f>
        <v>0</v>
      </c>
      <c r="T320" t="b">
        <f>IF(COUNTBLANK(Master_Reference[[#This Row],[Lutron 3000K Eco Part Number]:[Lutron 4000K Eco Part Number]])=3,FALSE,TRUE)</f>
        <v>0</v>
      </c>
      <c r="U320" t="b">
        <f>IF(COUNTBLANK(Master_Reference[[#This Row],[Lutron 3000K 3W Part Number]:[Lutron 4000K 3W Part Number]])=3,FALSE,TRUE)</f>
        <v>0</v>
      </c>
      <c r="V320" s="12"/>
      <c r="W320" s="12"/>
      <c r="X320" s="12"/>
      <c r="Y320" t="s">
        <v>2125</v>
      </c>
      <c r="Z320" s="12"/>
      <c r="AA320" s="12"/>
      <c r="AB320" s="12"/>
      <c r="AC320" t="s">
        <v>2125</v>
      </c>
      <c r="AD320" t="str">
        <f>SUBSTITUTE(Master_Reference[[#This Row],[C-Flex 4000K Eco Part Number]],"40-","xx-")</f>
        <v/>
      </c>
      <c r="AE320" t="str">
        <f>SUBSTITUTE(Master_Reference[[#This Row],[C-Flex 4000K 3W Part Number]],"40-","xx-")</f>
        <v/>
      </c>
      <c r="AF320" s="1" t="str">
        <f>_xlfn.IFNA(VLOOKUP(Master_Reference[[#This Row],[C-Flex 3000K Eco Part Number]],Lutron_CFlex_Lookup[],MATCH("Lutron Kit PN",Lutron_CFlex_Lookup[#Headers],0),FALSE),"")</f>
        <v/>
      </c>
      <c r="AG320" s="1" t="str">
        <f>_xlfn.IFNA(VLOOKUP(Master_Reference[[#This Row],[C-Flex 3500K Eco Part Number]],Lutron_CFlex_Lookup[],MATCH("Lutron Kit PN",Lutron_CFlex_Lookup[#Headers],0),FALSE),"")</f>
        <v/>
      </c>
      <c r="AH320" s="1" t="str">
        <f>_xlfn.IFNA(VLOOKUP(Master_Reference[[#This Row],[C-Flex 4000K Eco Part Number]],Lutron_CFlex_Lookup[],MATCH("Lutron Kit PN",Lutron_CFlex_Lookup[#Headers],0),FALSE),"")</f>
        <v/>
      </c>
      <c r="AI320" s="1" t="str">
        <f>_xlfn.IFNA(VLOOKUP(Master_Reference[[#This Row],[C-Flex 5000K Eco Part Number]],Lutron_CFlex_Lookup[],MATCH("Lutron Kit PN",Lutron_CFlex_Lookup[#Headers],0),FALSE),"")</f>
        <v/>
      </c>
      <c r="AJ320" s="1" t="str">
        <f>_xlfn.IFNA(VLOOKUP(Master_Reference[[#This Row],[C-Flex 3000K 3W Part Number]],Lutron_CFlex_Lookup[],MATCH("Lutron Kit PN",Lutron_CFlex_Lookup[#Headers],0),FALSE),"")</f>
        <v/>
      </c>
      <c r="AK320" s="1" t="str">
        <f>_xlfn.IFNA(VLOOKUP(Master_Reference[[#This Row],[C-Flex 3500K 3W Part Number]],Lutron_CFlex_Lookup[],MATCH("Lutron Kit PN",Lutron_CFlex_Lookup[#Headers],0),FALSE),"")</f>
        <v/>
      </c>
      <c r="AL320" s="1" t="str">
        <f>_xlfn.IFNA(VLOOKUP(Master_Reference[[#This Row],[C-Flex 4000K 3W Part Number]],Lutron_CFlex_Lookup[],MATCH("Lutron Kit PN",Lutron_CFlex_Lookup[#Headers],0),FALSE),"")</f>
        <v/>
      </c>
      <c r="AM320" s="1" t="str">
        <f>_xlfn.IFNA(VLOOKUP(Master_Reference[[#This Row],[C-Flex 5000K 3W Part Number]],Lutron_CFlex_Lookup[],MATCH("Lutron Kit PN",Lutron_CFlex_Lookup[#Headers],0),FALSE),"")</f>
        <v/>
      </c>
      <c r="AN320" s="1" t="b">
        <f>NOT(ISNA(VLOOKUP(Master_Reference[[#This Row],[Model Number]],ObsoleteModels[],1,FALSE)))</f>
        <v>1</v>
      </c>
      <c r="AO320" s="1" t="str">
        <f>IF(LEFT(Master_Reference[[#This Row],[Model Number]],1)="U",LEFT(Master_Reference[[#This Row],[Model Number]],4),LEFT(Master_Reference[[#This Row],[Model Number]],3))</f>
        <v>ECO</v>
      </c>
    </row>
    <row r="321" spans="1:41" x14ac:dyDescent="0.25">
      <c r="A321" s="2" t="s">
        <v>596</v>
      </c>
      <c r="B321" s="1"/>
      <c r="C321" s="1" t="b">
        <v>1</v>
      </c>
      <c r="G321" s="1" t="str">
        <f>IF(OR(LEFT(RIGHT(Master_Reference[[#This Row],[Model Number]],3),1)="C",LEFT(RIGHT(Master_Reference[[#This Row],[Model Number]],4),1)="C"),TRUE,"")</f>
        <v/>
      </c>
      <c r="H321" s="1" t="str">
        <f>IF(LEFT(Master_Reference[[#This Row],[Model Number]],1)="U",TRUE,"")</f>
        <v/>
      </c>
      <c r="I321" s="1" t="b">
        <f>IF(Master_Reference[[#This Row],[Lamp Type]]="T4","",IF(Master_Reference[[#This Row],[Case Type]]="M","",TRUE))</f>
        <v>1</v>
      </c>
      <c r="J321" s="1" t="s">
        <v>111</v>
      </c>
      <c r="K321" s="1">
        <v>25</v>
      </c>
      <c r="L321" s="1" t="s">
        <v>115</v>
      </c>
      <c r="M321" s="1">
        <v>2</v>
      </c>
      <c r="N321" s="1">
        <v>120</v>
      </c>
      <c r="O321" s="1" t="s">
        <v>144</v>
      </c>
      <c r="R321" t="b">
        <f>IF(COUNTBLANK(Master_Reference[[#This Row],[C-Flex 3000K Eco Part Number]:[C-Flex 4000K Eco Part Number]])=3,FALSE,TRUE)</f>
        <v>0</v>
      </c>
      <c r="S321" t="b">
        <f>IF(COUNTBLANK(Master_Reference[[#This Row],[C-Flex 3000K 3W Part Number]:[C-Flex 4000K 3W Part Number]])=3,FALSE,TRUE)</f>
        <v>1</v>
      </c>
      <c r="T321" t="b">
        <f>IF(COUNTBLANK(Master_Reference[[#This Row],[Lutron 3000K Eco Part Number]:[Lutron 4000K Eco Part Number]])=3,FALSE,TRUE)</f>
        <v>0</v>
      </c>
      <c r="U321" t="b">
        <f>IF(COUNTBLANK(Master_Reference[[#This Row],[Lutron 3000K 3W Part Number]:[Lutron 4000K 3W Part Number]])=3,FALSE,TRUE)</f>
        <v>1</v>
      </c>
      <c r="V321" s="12"/>
      <c r="W321" s="12"/>
      <c r="X321" s="12"/>
      <c r="Y321" t="s">
        <v>2125</v>
      </c>
      <c r="Z321" s="12" t="s">
        <v>259</v>
      </c>
      <c r="AA321" s="12" t="s">
        <v>260</v>
      </c>
      <c r="AB321" s="12" t="s">
        <v>261</v>
      </c>
      <c r="AC321" t="s">
        <v>1827</v>
      </c>
      <c r="AD321" t="str">
        <f>SUBSTITUTE(Master_Reference[[#This Row],[C-Flex 4000K Eco Part Number]],"40-","xx-")</f>
        <v/>
      </c>
      <c r="AE321" t="str">
        <f>SUBSTITUTE(Master_Reference[[#This Row],[C-Flex 4000K 3W Part Number]],"40-","xx-")</f>
        <v>RP-T8-3FT-2L-8xx-3W-M-G2</v>
      </c>
      <c r="AF321" s="1" t="str">
        <f>_xlfn.IFNA(VLOOKUP(Master_Reference[[#This Row],[C-Flex 3000K Eco Part Number]],Lutron_CFlex_Lookup[],MATCH("Lutron Kit PN",Lutron_CFlex_Lookup[#Headers],0),FALSE),"")</f>
        <v/>
      </c>
      <c r="AG321" s="1" t="str">
        <f>_xlfn.IFNA(VLOOKUP(Master_Reference[[#This Row],[C-Flex 3500K Eco Part Number]],Lutron_CFlex_Lookup[],MATCH("Lutron Kit PN",Lutron_CFlex_Lookup[#Headers],0),FALSE),"")</f>
        <v/>
      </c>
      <c r="AH321" s="1" t="str">
        <f>_xlfn.IFNA(VLOOKUP(Master_Reference[[#This Row],[C-Flex 4000K Eco Part Number]],Lutron_CFlex_Lookup[],MATCH("Lutron Kit PN",Lutron_CFlex_Lookup[#Headers],0),FALSE),"")</f>
        <v/>
      </c>
      <c r="AI321" s="1" t="str">
        <f>_xlfn.IFNA(VLOOKUP(Master_Reference[[#This Row],[C-Flex 5000K Eco Part Number]],Lutron_CFlex_Lookup[],MATCH("Lutron Kit PN",Lutron_CFlex_Lookup[#Headers],0),FALSE),"")</f>
        <v/>
      </c>
      <c r="AJ321" s="1" t="str">
        <f>_xlfn.IFNA(VLOOKUP(Master_Reference[[#This Row],[C-Flex 3000K 3W Part Number]],Lutron_CFlex_Lookup[],MATCH("Lutron Kit PN",Lutron_CFlex_Lookup[#Headers],0),FALSE),"")</f>
        <v>3LD3T8-2M30-q</v>
      </c>
      <c r="AK321" s="1" t="str">
        <f>_xlfn.IFNA(VLOOKUP(Master_Reference[[#This Row],[C-Flex 3500K 3W Part Number]],Lutron_CFlex_Lookup[],MATCH("Lutron Kit PN",Lutron_CFlex_Lookup[#Headers],0),FALSE),"")</f>
        <v>3LD3T8-2M35-q</v>
      </c>
      <c r="AL321" s="1" t="str">
        <f>_xlfn.IFNA(VLOOKUP(Master_Reference[[#This Row],[C-Flex 4000K 3W Part Number]],Lutron_CFlex_Lookup[],MATCH("Lutron Kit PN",Lutron_CFlex_Lookup[#Headers],0),FALSE),"")</f>
        <v>3LD3T8-2M40-q</v>
      </c>
      <c r="AM321" s="1" t="str">
        <f>_xlfn.IFNA(VLOOKUP(Master_Reference[[#This Row],[C-Flex 5000K 3W Part Number]],Lutron_CFlex_Lookup[],MATCH("Lutron Kit PN",Lutron_CFlex_Lookup[#Headers],0),FALSE),"")</f>
        <v>3LD3T8-2M50-q</v>
      </c>
      <c r="AN321" s="1" t="b">
        <f>NOT(ISNA(VLOOKUP(Master_Reference[[#This Row],[Model Number]],ObsoleteModels[],1,FALSE)))</f>
        <v>1</v>
      </c>
      <c r="AO321" s="1" t="str">
        <f>IF(LEFT(Master_Reference[[#This Row],[Model Number]],1)="U",LEFT(Master_Reference[[#This Row],[Model Number]],4),LEFT(Master_Reference[[#This Row],[Model Number]],3))</f>
        <v>ECO</v>
      </c>
    </row>
    <row r="322" spans="1:41" x14ac:dyDescent="0.25">
      <c r="A322" s="2" t="s">
        <v>597</v>
      </c>
      <c r="B322" s="1"/>
      <c r="C322" s="1" t="b">
        <v>1</v>
      </c>
      <c r="G322" s="1" t="str">
        <f>IF(OR(LEFT(RIGHT(Master_Reference[[#This Row],[Model Number]],3),1)="C",LEFT(RIGHT(Master_Reference[[#This Row],[Model Number]],4),1)="C"),TRUE,"")</f>
        <v/>
      </c>
      <c r="H322" s="1" t="str">
        <f>IF(LEFT(Master_Reference[[#This Row],[Model Number]],1)="U",TRUE,"")</f>
        <v/>
      </c>
      <c r="I322" s="1" t="b">
        <f>IF(Master_Reference[[#This Row],[Lamp Type]]="T4","",IF(Master_Reference[[#This Row],[Case Type]]="M","",TRUE))</f>
        <v>1</v>
      </c>
      <c r="J322" s="1" t="s">
        <v>111</v>
      </c>
      <c r="K322" s="1">
        <v>25</v>
      </c>
      <c r="L322" s="1" t="s">
        <v>115</v>
      </c>
      <c r="M322" s="1">
        <v>2</v>
      </c>
      <c r="N322" s="1">
        <v>120</v>
      </c>
      <c r="O322" s="1" t="s">
        <v>144</v>
      </c>
      <c r="Q322" s="1" t="s">
        <v>91</v>
      </c>
      <c r="R322" t="b">
        <f>IF(COUNTBLANK(Master_Reference[[#This Row],[C-Flex 3000K Eco Part Number]:[C-Flex 4000K Eco Part Number]])=3,FALSE,TRUE)</f>
        <v>0</v>
      </c>
      <c r="S322" t="b">
        <f>IF(COUNTBLANK(Master_Reference[[#This Row],[C-Flex 3000K 3W Part Number]:[C-Flex 4000K 3W Part Number]])=3,FALSE,TRUE)</f>
        <v>0</v>
      </c>
      <c r="T322" t="b">
        <f>IF(COUNTBLANK(Master_Reference[[#This Row],[Lutron 3000K Eco Part Number]:[Lutron 4000K Eco Part Number]])=3,FALSE,TRUE)</f>
        <v>0</v>
      </c>
      <c r="U322" t="b">
        <f>IF(COUNTBLANK(Master_Reference[[#This Row],[Lutron 3000K 3W Part Number]:[Lutron 4000K 3W Part Number]])=3,FALSE,TRUE)</f>
        <v>0</v>
      </c>
      <c r="V322" s="12"/>
      <c r="W322" s="12"/>
      <c r="X322" s="12"/>
      <c r="Y322" t="s">
        <v>2125</v>
      </c>
      <c r="Z322" s="12"/>
      <c r="AA322" s="12"/>
      <c r="AB322" s="12"/>
      <c r="AC322" t="s">
        <v>2125</v>
      </c>
      <c r="AD322" t="str">
        <f>SUBSTITUTE(Master_Reference[[#This Row],[C-Flex 4000K Eco Part Number]],"40-","xx-")</f>
        <v/>
      </c>
      <c r="AE322" t="str">
        <f>SUBSTITUTE(Master_Reference[[#This Row],[C-Flex 4000K 3W Part Number]],"40-","xx-")</f>
        <v/>
      </c>
      <c r="AF322" s="1" t="str">
        <f>_xlfn.IFNA(VLOOKUP(Master_Reference[[#This Row],[C-Flex 3000K Eco Part Number]],Lutron_CFlex_Lookup[],MATCH("Lutron Kit PN",Lutron_CFlex_Lookup[#Headers],0),FALSE),"")</f>
        <v/>
      </c>
      <c r="AG322" s="1" t="str">
        <f>_xlfn.IFNA(VLOOKUP(Master_Reference[[#This Row],[C-Flex 3500K Eco Part Number]],Lutron_CFlex_Lookup[],MATCH("Lutron Kit PN",Lutron_CFlex_Lookup[#Headers],0),FALSE),"")</f>
        <v/>
      </c>
      <c r="AH322" s="1" t="str">
        <f>_xlfn.IFNA(VLOOKUP(Master_Reference[[#This Row],[C-Flex 4000K Eco Part Number]],Lutron_CFlex_Lookup[],MATCH("Lutron Kit PN",Lutron_CFlex_Lookup[#Headers],0),FALSE),"")</f>
        <v/>
      </c>
      <c r="AI322" s="1" t="str">
        <f>_xlfn.IFNA(VLOOKUP(Master_Reference[[#This Row],[C-Flex 5000K Eco Part Number]],Lutron_CFlex_Lookup[],MATCH("Lutron Kit PN",Lutron_CFlex_Lookup[#Headers],0),FALSE),"")</f>
        <v/>
      </c>
      <c r="AJ322" s="1" t="str">
        <f>_xlfn.IFNA(VLOOKUP(Master_Reference[[#This Row],[C-Flex 3000K 3W Part Number]],Lutron_CFlex_Lookup[],MATCH("Lutron Kit PN",Lutron_CFlex_Lookup[#Headers],0),FALSE),"")</f>
        <v/>
      </c>
      <c r="AK322" s="1" t="str">
        <f>_xlfn.IFNA(VLOOKUP(Master_Reference[[#This Row],[C-Flex 3500K 3W Part Number]],Lutron_CFlex_Lookup[],MATCH("Lutron Kit PN",Lutron_CFlex_Lookup[#Headers],0),FALSE),"")</f>
        <v/>
      </c>
      <c r="AL322" s="1" t="str">
        <f>_xlfn.IFNA(VLOOKUP(Master_Reference[[#This Row],[C-Flex 4000K 3W Part Number]],Lutron_CFlex_Lookup[],MATCH("Lutron Kit PN",Lutron_CFlex_Lookup[#Headers],0),FALSE),"")</f>
        <v/>
      </c>
      <c r="AM322" s="1" t="str">
        <f>_xlfn.IFNA(VLOOKUP(Master_Reference[[#This Row],[C-Flex 5000K 3W Part Number]],Lutron_CFlex_Lookup[],MATCH("Lutron Kit PN",Lutron_CFlex_Lookup[#Headers],0),FALSE),"")</f>
        <v/>
      </c>
      <c r="AN322" s="1" t="b">
        <f>NOT(ISNA(VLOOKUP(Master_Reference[[#This Row],[Model Number]],ObsoleteModels[],1,FALSE)))</f>
        <v>1</v>
      </c>
      <c r="AO322" s="1" t="str">
        <f>IF(LEFT(Master_Reference[[#This Row],[Model Number]],1)="U",LEFT(Master_Reference[[#This Row],[Model Number]],4),LEFT(Master_Reference[[#This Row],[Model Number]],3))</f>
        <v>ECO</v>
      </c>
    </row>
    <row r="323" spans="1:41" x14ac:dyDescent="0.25">
      <c r="A323" s="2" t="s">
        <v>598</v>
      </c>
      <c r="B323" s="1"/>
      <c r="C323" s="1" t="b">
        <v>1</v>
      </c>
      <c r="G323" s="1" t="str">
        <f>IF(OR(LEFT(RIGHT(Master_Reference[[#This Row],[Model Number]],3),1)="C",LEFT(RIGHT(Master_Reference[[#This Row],[Model Number]],4),1)="C"),TRUE,"")</f>
        <v/>
      </c>
      <c r="H323" s="1" t="str">
        <f>IF(LEFT(Master_Reference[[#This Row],[Model Number]],1)="U",TRUE,"")</f>
        <v/>
      </c>
      <c r="I323" s="1" t="b">
        <f>IF(Master_Reference[[#This Row],[Lamp Type]]="T4","",IF(Master_Reference[[#This Row],[Case Type]]="M","",TRUE))</f>
        <v>1</v>
      </c>
      <c r="J323" s="1" t="s">
        <v>111</v>
      </c>
      <c r="K323" s="1">
        <v>25</v>
      </c>
      <c r="L323" s="1" t="s">
        <v>115</v>
      </c>
      <c r="M323" s="1">
        <v>1</v>
      </c>
      <c r="N323" s="1">
        <v>277</v>
      </c>
      <c r="O323" s="1" t="s">
        <v>144</v>
      </c>
      <c r="R323" t="b">
        <f>IF(COUNTBLANK(Master_Reference[[#This Row],[C-Flex 3000K Eco Part Number]:[C-Flex 4000K Eco Part Number]])=3,FALSE,TRUE)</f>
        <v>0</v>
      </c>
      <c r="S323" t="b">
        <f>IF(COUNTBLANK(Master_Reference[[#This Row],[C-Flex 3000K 3W Part Number]:[C-Flex 4000K 3W Part Number]])=3,FALSE,TRUE)</f>
        <v>1</v>
      </c>
      <c r="T323" t="b">
        <f>IF(COUNTBLANK(Master_Reference[[#This Row],[Lutron 3000K Eco Part Number]:[Lutron 4000K Eco Part Number]])=3,FALSE,TRUE)</f>
        <v>0</v>
      </c>
      <c r="U323" t="b">
        <f>IF(COUNTBLANK(Master_Reference[[#This Row],[Lutron 3000K 3W Part Number]:[Lutron 4000K 3W Part Number]])=3,FALSE,TRUE)</f>
        <v>1</v>
      </c>
      <c r="V323" s="12"/>
      <c r="W323" s="12"/>
      <c r="X323" s="12"/>
      <c r="Y323" t="s">
        <v>2125</v>
      </c>
      <c r="Z323" s="12" t="s">
        <v>255</v>
      </c>
      <c r="AA323" s="12" t="s">
        <v>256</v>
      </c>
      <c r="AB323" s="12" t="s">
        <v>257</v>
      </c>
      <c r="AC323" t="s">
        <v>1826</v>
      </c>
      <c r="AD323" t="str">
        <f>SUBSTITUTE(Master_Reference[[#This Row],[C-Flex 4000K Eco Part Number]],"40-","xx-")</f>
        <v/>
      </c>
      <c r="AE323" t="str">
        <f>SUBSTITUTE(Master_Reference[[#This Row],[C-Flex 4000K 3W Part Number]],"40-","xx-")</f>
        <v>RP-T8-3FT-1L-8xx-3W-M-G2</v>
      </c>
      <c r="AF323" s="1" t="str">
        <f>_xlfn.IFNA(VLOOKUP(Master_Reference[[#This Row],[C-Flex 3000K Eco Part Number]],Lutron_CFlex_Lookup[],MATCH("Lutron Kit PN",Lutron_CFlex_Lookup[#Headers],0),FALSE),"")</f>
        <v/>
      </c>
      <c r="AG323" s="1" t="str">
        <f>_xlfn.IFNA(VLOOKUP(Master_Reference[[#This Row],[C-Flex 3500K Eco Part Number]],Lutron_CFlex_Lookup[],MATCH("Lutron Kit PN",Lutron_CFlex_Lookup[#Headers],0),FALSE),"")</f>
        <v/>
      </c>
      <c r="AH323" s="1" t="str">
        <f>_xlfn.IFNA(VLOOKUP(Master_Reference[[#This Row],[C-Flex 4000K Eco Part Number]],Lutron_CFlex_Lookup[],MATCH("Lutron Kit PN",Lutron_CFlex_Lookup[#Headers],0),FALSE),"")</f>
        <v/>
      </c>
      <c r="AI323" s="1" t="str">
        <f>_xlfn.IFNA(VLOOKUP(Master_Reference[[#This Row],[C-Flex 5000K Eco Part Number]],Lutron_CFlex_Lookup[],MATCH("Lutron Kit PN",Lutron_CFlex_Lookup[#Headers],0),FALSE),"")</f>
        <v/>
      </c>
      <c r="AJ323" s="1" t="str">
        <f>_xlfn.IFNA(VLOOKUP(Master_Reference[[#This Row],[C-Flex 3000K 3W Part Number]],Lutron_CFlex_Lookup[],MATCH("Lutron Kit PN",Lutron_CFlex_Lookup[#Headers],0),FALSE),"")</f>
        <v>3LD3T8-1M30-q</v>
      </c>
      <c r="AK323" s="1" t="str">
        <f>_xlfn.IFNA(VLOOKUP(Master_Reference[[#This Row],[C-Flex 3500K 3W Part Number]],Lutron_CFlex_Lookup[],MATCH("Lutron Kit PN",Lutron_CFlex_Lookup[#Headers],0),FALSE),"")</f>
        <v>3LD3T8-1M35-q</v>
      </c>
      <c r="AL323" s="1" t="str">
        <f>_xlfn.IFNA(VLOOKUP(Master_Reference[[#This Row],[C-Flex 4000K 3W Part Number]],Lutron_CFlex_Lookup[],MATCH("Lutron Kit PN",Lutron_CFlex_Lookup[#Headers],0),FALSE),"")</f>
        <v>3LD3T8-1M40-q</v>
      </c>
      <c r="AM323" s="1" t="str">
        <f>_xlfn.IFNA(VLOOKUP(Master_Reference[[#This Row],[C-Flex 5000K 3W Part Number]],Lutron_CFlex_Lookup[],MATCH("Lutron Kit PN",Lutron_CFlex_Lookup[#Headers],0),FALSE),"")</f>
        <v>3LD3T8-1M50-q</v>
      </c>
      <c r="AN323" s="1" t="b">
        <f>NOT(ISNA(VLOOKUP(Master_Reference[[#This Row],[Model Number]],ObsoleteModels[],1,FALSE)))</f>
        <v>1</v>
      </c>
      <c r="AO323" s="1" t="str">
        <f>IF(LEFT(Master_Reference[[#This Row],[Model Number]],1)="U",LEFT(Master_Reference[[#This Row],[Model Number]],4),LEFT(Master_Reference[[#This Row],[Model Number]],3))</f>
        <v>ECO</v>
      </c>
    </row>
    <row r="324" spans="1:41" x14ac:dyDescent="0.25">
      <c r="A324" s="2" t="s">
        <v>599</v>
      </c>
      <c r="B324" s="1"/>
      <c r="C324" s="1" t="b">
        <v>1</v>
      </c>
      <c r="G324" s="1" t="str">
        <f>IF(OR(LEFT(RIGHT(Master_Reference[[#This Row],[Model Number]],3),1)="C",LEFT(RIGHT(Master_Reference[[#This Row],[Model Number]],4),1)="C"),TRUE,"")</f>
        <v/>
      </c>
      <c r="H324" s="1" t="str">
        <f>IF(LEFT(Master_Reference[[#This Row],[Model Number]],1)="U",TRUE,"")</f>
        <v/>
      </c>
      <c r="I324" s="1" t="b">
        <f>IF(Master_Reference[[#This Row],[Lamp Type]]="T4","",IF(Master_Reference[[#This Row],[Case Type]]="M","",TRUE))</f>
        <v>1</v>
      </c>
      <c r="J324" s="1" t="s">
        <v>111</v>
      </c>
      <c r="K324" s="1">
        <v>25</v>
      </c>
      <c r="L324" s="1" t="s">
        <v>115</v>
      </c>
      <c r="M324" s="1">
        <v>2</v>
      </c>
      <c r="N324" s="1">
        <v>277</v>
      </c>
      <c r="O324" s="1" t="s">
        <v>144</v>
      </c>
      <c r="R324" t="b">
        <f>IF(COUNTBLANK(Master_Reference[[#This Row],[C-Flex 3000K Eco Part Number]:[C-Flex 4000K Eco Part Number]])=3,FALSE,TRUE)</f>
        <v>0</v>
      </c>
      <c r="S324" t="b">
        <f>IF(COUNTBLANK(Master_Reference[[#This Row],[C-Flex 3000K 3W Part Number]:[C-Flex 4000K 3W Part Number]])=3,FALSE,TRUE)</f>
        <v>1</v>
      </c>
      <c r="T324" t="b">
        <f>IF(COUNTBLANK(Master_Reference[[#This Row],[Lutron 3000K Eco Part Number]:[Lutron 4000K Eco Part Number]])=3,FALSE,TRUE)</f>
        <v>0</v>
      </c>
      <c r="U324" t="b">
        <f>IF(COUNTBLANK(Master_Reference[[#This Row],[Lutron 3000K 3W Part Number]:[Lutron 4000K 3W Part Number]])=3,FALSE,TRUE)</f>
        <v>1</v>
      </c>
      <c r="V324" s="12"/>
      <c r="W324" s="12"/>
      <c r="X324" s="12"/>
      <c r="Y324" t="s">
        <v>2125</v>
      </c>
      <c r="Z324" s="12" t="s">
        <v>259</v>
      </c>
      <c r="AA324" s="12" t="s">
        <v>260</v>
      </c>
      <c r="AB324" s="12" t="s">
        <v>261</v>
      </c>
      <c r="AC324" t="s">
        <v>1827</v>
      </c>
      <c r="AD324" t="str">
        <f>SUBSTITUTE(Master_Reference[[#This Row],[C-Flex 4000K Eco Part Number]],"40-","xx-")</f>
        <v/>
      </c>
      <c r="AE324" t="str">
        <f>SUBSTITUTE(Master_Reference[[#This Row],[C-Flex 4000K 3W Part Number]],"40-","xx-")</f>
        <v>RP-T8-3FT-2L-8xx-3W-M-G2</v>
      </c>
      <c r="AF324" s="1" t="str">
        <f>_xlfn.IFNA(VLOOKUP(Master_Reference[[#This Row],[C-Flex 3000K Eco Part Number]],Lutron_CFlex_Lookup[],MATCH("Lutron Kit PN",Lutron_CFlex_Lookup[#Headers],0),FALSE),"")</f>
        <v/>
      </c>
      <c r="AG324" s="1" t="str">
        <f>_xlfn.IFNA(VLOOKUP(Master_Reference[[#This Row],[C-Flex 3500K Eco Part Number]],Lutron_CFlex_Lookup[],MATCH("Lutron Kit PN",Lutron_CFlex_Lookup[#Headers],0),FALSE),"")</f>
        <v/>
      </c>
      <c r="AH324" s="1" t="str">
        <f>_xlfn.IFNA(VLOOKUP(Master_Reference[[#This Row],[C-Flex 4000K Eco Part Number]],Lutron_CFlex_Lookup[],MATCH("Lutron Kit PN",Lutron_CFlex_Lookup[#Headers],0),FALSE),"")</f>
        <v/>
      </c>
      <c r="AI324" s="1" t="str">
        <f>_xlfn.IFNA(VLOOKUP(Master_Reference[[#This Row],[C-Flex 5000K Eco Part Number]],Lutron_CFlex_Lookup[],MATCH("Lutron Kit PN",Lutron_CFlex_Lookup[#Headers],0),FALSE),"")</f>
        <v/>
      </c>
      <c r="AJ324" s="1" t="str">
        <f>_xlfn.IFNA(VLOOKUP(Master_Reference[[#This Row],[C-Flex 3000K 3W Part Number]],Lutron_CFlex_Lookup[],MATCH("Lutron Kit PN",Lutron_CFlex_Lookup[#Headers],0),FALSE),"")</f>
        <v>3LD3T8-2M30-q</v>
      </c>
      <c r="AK324" s="1" t="str">
        <f>_xlfn.IFNA(VLOOKUP(Master_Reference[[#This Row],[C-Flex 3500K 3W Part Number]],Lutron_CFlex_Lookup[],MATCH("Lutron Kit PN",Lutron_CFlex_Lookup[#Headers],0),FALSE),"")</f>
        <v>3LD3T8-2M35-q</v>
      </c>
      <c r="AL324" s="1" t="str">
        <f>_xlfn.IFNA(VLOOKUP(Master_Reference[[#This Row],[C-Flex 4000K 3W Part Number]],Lutron_CFlex_Lookup[],MATCH("Lutron Kit PN",Lutron_CFlex_Lookup[#Headers],0),FALSE),"")</f>
        <v>3LD3T8-2M40-q</v>
      </c>
      <c r="AM324" s="1" t="str">
        <f>_xlfn.IFNA(VLOOKUP(Master_Reference[[#This Row],[C-Flex 5000K 3W Part Number]],Lutron_CFlex_Lookup[],MATCH("Lutron Kit PN",Lutron_CFlex_Lookup[#Headers],0),FALSE),"")</f>
        <v>3LD3T8-2M50-q</v>
      </c>
      <c r="AN324" s="1" t="b">
        <f>NOT(ISNA(VLOOKUP(Master_Reference[[#This Row],[Model Number]],ObsoleteModels[],1,FALSE)))</f>
        <v>1</v>
      </c>
      <c r="AO324" s="1" t="str">
        <f>IF(LEFT(Master_Reference[[#This Row],[Model Number]],1)="U",LEFT(Master_Reference[[#This Row],[Model Number]],4),LEFT(Master_Reference[[#This Row],[Model Number]],3))</f>
        <v>ECO</v>
      </c>
    </row>
    <row r="325" spans="1:41" x14ac:dyDescent="0.25">
      <c r="A325" s="2" t="s">
        <v>600</v>
      </c>
      <c r="B325" s="1"/>
      <c r="C325" s="1" t="b">
        <v>1</v>
      </c>
      <c r="G325" s="1" t="str">
        <f>IF(OR(LEFT(RIGHT(Master_Reference[[#This Row],[Model Number]],3),1)="C",LEFT(RIGHT(Master_Reference[[#This Row],[Model Number]],4),1)="C"),TRUE,"")</f>
        <v/>
      </c>
      <c r="H325" s="1" t="str">
        <f>IF(LEFT(Master_Reference[[#This Row],[Model Number]],1)="U",TRUE,"")</f>
        <v/>
      </c>
      <c r="I325" s="1" t="b">
        <f>IF(Master_Reference[[#This Row],[Lamp Type]]="T4","",IF(Master_Reference[[#This Row],[Case Type]]="M","",TRUE))</f>
        <v>1</v>
      </c>
      <c r="J325" s="1" t="s">
        <v>111</v>
      </c>
      <c r="K325" s="1">
        <v>32</v>
      </c>
      <c r="L325" s="1" t="s">
        <v>118</v>
      </c>
      <c r="M325" s="1">
        <v>1</v>
      </c>
      <c r="N325" s="1">
        <v>120</v>
      </c>
      <c r="O325" s="1" t="s">
        <v>144</v>
      </c>
      <c r="R325" t="b">
        <f>IF(COUNTBLANK(Master_Reference[[#This Row],[C-Flex 3000K Eco Part Number]:[C-Flex 4000K Eco Part Number]])=3,FALSE,TRUE)</f>
        <v>0</v>
      </c>
      <c r="S325" t="b">
        <f>IF(COUNTBLANK(Master_Reference[[#This Row],[C-Flex 3000K 3W Part Number]:[C-Flex 4000K 3W Part Number]])=3,FALSE,TRUE)</f>
        <v>1</v>
      </c>
      <c r="T325" t="b">
        <f>IF(COUNTBLANK(Master_Reference[[#This Row],[Lutron 3000K Eco Part Number]:[Lutron 4000K Eco Part Number]])=3,FALSE,TRUE)</f>
        <v>0</v>
      </c>
      <c r="U325" t="b">
        <f>IF(COUNTBLANK(Master_Reference[[#This Row],[Lutron 3000K 3W Part Number]:[Lutron 4000K 3W Part Number]])=3,FALSE,TRUE)</f>
        <v>1</v>
      </c>
      <c r="V325" s="12"/>
      <c r="W325" s="12"/>
      <c r="X325" s="12"/>
      <c r="Y325" t="s">
        <v>2125</v>
      </c>
      <c r="Z325" s="12" t="s">
        <v>264</v>
      </c>
      <c r="AA325" s="12" t="s">
        <v>265</v>
      </c>
      <c r="AB325" s="12" t="s">
        <v>266</v>
      </c>
      <c r="AC325" t="s">
        <v>1829</v>
      </c>
      <c r="AD325" t="str">
        <f>SUBSTITUTE(Master_Reference[[#This Row],[C-Flex 4000K Eco Part Number]],"40-","xx-")</f>
        <v/>
      </c>
      <c r="AE325" t="str">
        <f>SUBSTITUTE(Master_Reference[[#This Row],[C-Flex 4000K 3W Part Number]],"40-","xx-")</f>
        <v>RP-T8-4FT-1L-8xx-3W-M-G2</v>
      </c>
      <c r="AF325" s="1" t="str">
        <f>_xlfn.IFNA(VLOOKUP(Master_Reference[[#This Row],[C-Flex 3000K Eco Part Number]],Lutron_CFlex_Lookup[],MATCH("Lutron Kit PN",Lutron_CFlex_Lookup[#Headers],0),FALSE),"")</f>
        <v/>
      </c>
      <c r="AG325" s="1" t="str">
        <f>_xlfn.IFNA(VLOOKUP(Master_Reference[[#This Row],[C-Flex 3500K Eco Part Number]],Lutron_CFlex_Lookup[],MATCH("Lutron Kit PN",Lutron_CFlex_Lookup[#Headers],0),FALSE),"")</f>
        <v/>
      </c>
      <c r="AH325" s="1" t="str">
        <f>_xlfn.IFNA(VLOOKUP(Master_Reference[[#This Row],[C-Flex 4000K Eco Part Number]],Lutron_CFlex_Lookup[],MATCH("Lutron Kit PN",Lutron_CFlex_Lookup[#Headers],0),FALSE),"")</f>
        <v/>
      </c>
      <c r="AI325" s="1" t="str">
        <f>_xlfn.IFNA(VLOOKUP(Master_Reference[[#This Row],[C-Flex 5000K Eco Part Number]],Lutron_CFlex_Lookup[],MATCH("Lutron Kit PN",Lutron_CFlex_Lookup[#Headers],0),FALSE),"")</f>
        <v/>
      </c>
      <c r="AJ325" s="1" t="str">
        <f>_xlfn.IFNA(VLOOKUP(Master_Reference[[#This Row],[C-Flex 3000K 3W Part Number]],Lutron_CFlex_Lookup[],MATCH("Lutron Kit PN",Lutron_CFlex_Lookup[#Headers],0),FALSE),"")</f>
        <v>3LD4T8-1M30-q</v>
      </c>
      <c r="AK325" s="1" t="str">
        <f>_xlfn.IFNA(VLOOKUP(Master_Reference[[#This Row],[C-Flex 3500K 3W Part Number]],Lutron_CFlex_Lookup[],MATCH("Lutron Kit PN",Lutron_CFlex_Lookup[#Headers],0),FALSE),"")</f>
        <v>3LD4T8-1M35-q</v>
      </c>
      <c r="AL325" s="1" t="str">
        <f>_xlfn.IFNA(VLOOKUP(Master_Reference[[#This Row],[C-Flex 4000K 3W Part Number]],Lutron_CFlex_Lookup[],MATCH("Lutron Kit PN",Lutron_CFlex_Lookup[#Headers],0),FALSE),"")</f>
        <v>3LD4T8-1M40-q</v>
      </c>
      <c r="AM325" s="1" t="str">
        <f>_xlfn.IFNA(VLOOKUP(Master_Reference[[#This Row],[C-Flex 5000K 3W Part Number]],Lutron_CFlex_Lookup[],MATCH("Lutron Kit PN",Lutron_CFlex_Lookup[#Headers],0),FALSE),"")</f>
        <v>3LD4T8-1M50-q</v>
      </c>
      <c r="AN325" s="1" t="b">
        <f>NOT(ISNA(VLOOKUP(Master_Reference[[#This Row],[Model Number]],ObsoleteModels[],1,FALSE)))</f>
        <v>1</v>
      </c>
      <c r="AO325" s="1" t="str">
        <f>IF(LEFT(Master_Reference[[#This Row],[Model Number]],1)="U",LEFT(Master_Reference[[#This Row],[Model Number]],4),LEFT(Master_Reference[[#This Row],[Model Number]],3))</f>
        <v>ECO</v>
      </c>
    </row>
    <row r="326" spans="1:41" x14ac:dyDescent="0.25">
      <c r="A326" s="2" t="s">
        <v>601</v>
      </c>
      <c r="B326" s="1"/>
      <c r="C326" s="1" t="b">
        <v>1</v>
      </c>
      <c r="G326" s="1" t="str">
        <f>IF(OR(LEFT(RIGHT(Master_Reference[[#This Row],[Model Number]],3),1)="C",LEFT(RIGHT(Master_Reference[[#This Row],[Model Number]],4),1)="C"),TRUE,"")</f>
        <v/>
      </c>
      <c r="H326" s="1" t="str">
        <f>IF(LEFT(Master_Reference[[#This Row],[Model Number]],1)="U",TRUE,"")</f>
        <v/>
      </c>
      <c r="I326" s="1" t="b">
        <f>IF(Master_Reference[[#This Row],[Lamp Type]]="T4","",IF(Master_Reference[[#This Row],[Case Type]]="M","",TRUE))</f>
        <v>1</v>
      </c>
      <c r="J326" s="1" t="s">
        <v>111</v>
      </c>
      <c r="K326" s="1">
        <v>32</v>
      </c>
      <c r="L326" s="1" t="s">
        <v>118</v>
      </c>
      <c r="M326" s="1">
        <v>1</v>
      </c>
      <c r="N326" s="1">
        <v>120</v>
      </c>
      <c r="O326" s="1" t="s">
        <v>602</v>
      </c>
      <c r="R326" t="b">
        <f>IF(COUNTBLANK(Master_Reference[[#This Row],[C-Flex 3000K Eco Part Number]:[C-Flex 4000K Eco Part Number]])=3,FALSE,TRUE)</f>
        <v>0</v>
      </c>
      <c r="S326" t="b">
        <f>IF(COUNTBLANK(Master_Reference[[#This Row],[C-Flex 3000K 3W Part Number]:[C-Flex 4000K 3W Part Number]])=3,FALSE,TRUE)</f>
        <v>1</v>
      </c>
      <c r="T326" t="b">
        <f>IF(COUNTBLANK(Master_Reference[[#This Row],[Lutron 3000K Eco Part Number]:[Lutron 4000K Eco Part Number]])=3,FALSE,TRUE)</f>
        <v>0</v>
      </c>
      <c r="U326" t="b">
        <f>IF(COUNTBLANK(Master_Reference[[#This Row],[Lutron 3000K 3W Part Number]:[Lutron 4000K 3W Part Number]])=3,FALSE,TRUE)</f>
        <v>1</v>
      </c>
      <c r="V326" s="12"/>
      <c r="W326" s="12"/>
      <c r="X326" s="12"/>
      <c r="Y326" t="s">
        <v>2125</v>
      </c>
      <c r="Z326" s="12" t="s">
        <v>264</v>
      </c>
      <c r="AA326" s="12" t="s">
        <v>265</v>
      </c>
      <c r="AB326" s="12" t="s">
        <v>266</v>
      </c>
      <c r="AC326" t="s">
        <v>1829</v>
      </c>
      <c r="AD326" t="str">
        <f>SUBSTITUTE(Master_Reference[[#This Row],[C-Flex 4000K Eco Part Number]],"40-","xx-")</f>
        <v/>
      </c>
      <c r="AE326" t="str">
        <f>SUBSTITUTE(Master_Reference[[#This Row],[C-Flex 4000K 3W Part Number]],"40-","xx-")</f>
        <v>RP-T8-4FT-1L-8xx-3W-M-G2</v>
      </c>
      <c r="AF326" s="1" t="str">
        <f>_xlfn.IFNA(VLOOKUP(Master_Reference[[#This Row],[C-Flex 3000K Eco Part Number]],Lutron_CFlex_Lookup[],MATCH("Lutron Kit PN",Lutron_CFlex_Lookup[#Headers],0),FALSE),"")</f>
        <v/>
      </c>
      <c r="AG326" s="1" t="str">
        <f>_xlfn.IFNA(VLOOKUP(Master_Reference[[#This Row],[C-Flex 3500K Eco Part Number]],Lutron_CFlex_Lookup[],MATCH("Lutron Kit PN",Lutron_CFlex_Lookup[#Headers],0),FALSE),"")</f>
        <v/>
      </c>
      <c r="AH326" s="1" t="str">
        <f>_xlfn.IFNA(VLOOKUP(Master_Reference[[#This Row],[C-Flex 4000K Eco Part Number]],Lutron_CFlex_Lookup[],MATCH("Lutron Kit PN",Lutron_CFlex_Lookup[#Headers],0),FALSE),"")</f>
        <v/>
      </c>
      <c r="AI326" s="1" t="str">
        <f>_xlfn.IFNA(VLOOKUP(Master_Reference[[#This Row],[C-Flex 5000K Eco Part Number]],Lutron_CFlex_Lookup[],MATCH("Lutron Kit PN",Lutron_CFlex_Lookup[#Headers],0),FALSE),"")</f>
        <v/>
      </c>
      <c r="AJ326" s="1" t="str">
        <f>_xlfn.IFNA(VLOOKUP(Master_Reference[[#This Row],[C-Flex 3000K 3W Part Number]],Lutron_CFlex_Lookup[],MATCH("Lutron Kit PN",Lutron_CFlex_Lookup[#Headers],0),FALSE),"")</f>
        <v>3LD4T8-1M30-q</v>
      </c>
      <c r="AK326" s="1" t="str">
        <f>_xlfn.IFNA(VLOOKUP(Master_Reference[[#This Row],[C-Flex 3500K 3W Part Number]],Lutron_CFlex_Lookup[],MATCH("Lutron Kit PN",Lutron_CFlex_Lookup[#Headers],0),FALSE),"")</f>
        <v>3LD4T8-1M35-q</v>
      </c>
      <c r="AL326" s="1" t="str">
        <f>_xlfn.IFNA(VLOOKUP(Master_Reference[[#This Row],[C-Flex 4000K 3W Part Number]],Lutron_CFlex_Lookup[],MATCH("Lutron Kit PN",Lutron_CFlex_Lookup[#Headers],0),FALSE),"")</f>
        <v>3LD4T8-1M40-q</v>
      </c>
      <c r="AM326" s="1" t="str">
        <f>_xlfn.IFNA(VLOOKUP(Master_Reference[[#This Row],[C-Flex 5000K 3W Part Number]],Lutron_CFlex_Lookup[],MATCH("Lutron Kit PN",Lutron_CFlex_Lookup[#Headers],0),FALSE),"")</f>
        <v>3LD4T8-1M50-q</v>
      </c>
      <c r="AN326" s="1" t="b">
        <f>NOT(ISNA(VLOOKUP(Master_Reference[[#This Row],[Model Number]],ObsoleteModels[],1,FALSE)))</f>
        <v>1</v>
      </c>
      <c r="AO326" s="1" t="str">
        <f>IF(LEFT(Master_Reference[[#This Row],[Model Number]],1)="U",LEFT(Master_Reference[[#This Row],[Model Number]],4),LEFT(Master_Reference[[#This Row],[Model Number]],3))</f>
        <v>ECO</v>
      </c>
    </row>
    <row r="327" spans="1:41" x14ac:dyDescent="0.25">
      <c r="A327" s="2" t="s">
        <v>603</v>
      </c>
      <c r="B327" s="1"/>
      <c r="C327" s="1" t="b">
        <v>1</v>
      </c>
      <c r="G327" s="1" t="str">
        <f>IF(OR(LEFT(RIGHT(Master_Reference[[#This Row],[Model Number]],3),1)="C",LEFT(RIGHT(Master_Reference[[#This Row],[Model Number]],4),1)="C"),TRUE,"")</f>
        <v/>
      </c>
      <c r="H327" s="1" t="str">
        <f>IF(LEFT(Master_Reference[[#This Row],[Model Number]],1)="U",TRUE,"")</f>
        <v/>
      </c>
      <c r="I327" s="1" t="b">
        <f>IF(Master_Reference[[#This Row],[Lamp Type]]="T4","",IF(Master_Reference[[#This Row],[Case Type]]="M","",TRUE))</f>
        <v>1</v>
      </c>
      <c r="J327" s="1" t="s">
        <v>111</v>
      </c>
      <c r="K327" s="1">
        <v>32</v>
      </c>
      <c r="L327" s="1" t="s">
        <v>118</v>
      </c>
      <c r="M327" s="1">
        <v>1</v>
      </c>
      <c r="N327" s="1">
        <v>120</v>
      </c>
      <c r="O327" s="1" t="s">
        <v>602</v>
      </c>
      <c r="Q327" s="1" t="s">
        <v>91</v>
      </c>
      <c r="R327" t="b">
        <f>IF(COUNTBLANK(Master_Reference[[#This Row],[C-Flex 3000K Eco Part Number]:[C-Flex 4000K Eco Part Number]])=3,FALSE,TRUE)</f>
        <v>0</v>
      </c>
      <c r="S327" t="b">
        <f>IF(COUNTBLANK(Master_Reference[[#This Row],[C-Flex 3000K 3W Part Number]:[C-Flex 4000K 3W Part Number]])=3,FALSE,TRUE)</f>
        <v>0</v>
      </c>
      <c r="T327" t="b">
        <f>IF(COUNTBLANK(Master_Reference[[#This Row],[Lutron 3000K Eco Part Number]:[Lutron 4000K Eco Part Number]])=3,FALSE,TRUE)</f>
        <v>0</v>
      </c>
      <c r="U327" t="b">
        <f>IF(COUNTBLANK(Master_Reference[[#This Row],[Lutron 3000K 3W Part Number]:[Lutron 4000K 3W Part Number]])=3,FALSE,TRUE)</f>
        <v>0</v>
      </c>
      <c r="V327" s="12"/>
      <c r="W327" s="12"/>
      <c r="X327" s="12"/>
      <c r="Y327" t="s">
        <v>2125</v>
      </c>
      <c r="Z327" s="12"/>
      <c r="AA327" s="12"/>
      <c r="AB327" s="12"/>
      <c r="AC327" t="s">
        <v>2125</v>
      </c>
      <c r="AD327" t="str">
        <f>SUBSTITUTE(Master_Reference[[#This Row],[C-Flex 4000K Eco Part Number]],"40-","xx-")</f>
        <v/>
      </c>
      <c r="AE327" t="str">
        <f>SUBSTITUTE(Master_Reference[[#This Row],[C-Flex 4000K 3W Part Number]],"40-","xx-")</f>
        <v/>
      </c>
      <c r="AF327" s="1" t="str">
        <f>_xlfn.IFNA(VLOOKUP(Master_Reference[[#This Row],[C-Flex 3000K Eco Part Number]],Lutron_CFlex_Lookup[],MATCH("Lutron Kit PN",Lutron_CFlex_Lookup[#Headers],0),FALSE),"")</f>
        <v/>
      </c>
      <c r="AG327" s="1" t="str">
        <f>_xlfn.IFNA(VLOOKUP(Master_Reference[[#This Row],[C-Flex 3500K Eco Part Number]],Lutron_CFlex_Lookup[],MATCH("Lutron Kit PN",Lutron_CFlex_Lookup[#Headers],0),FALSE),"")</f>
        <v/>
      </c>
      <c r="AH327" s="1" t="str">
        <f>_xlfn.IFNA(VLOOKUP(Master_Reference[[#This Row],[C-Flex 4000K Eco Part Number]],Lutron_CFlex_Lookup[],MATCH("Lutron Kit PN",Lutron_CFlex_Lookup[#Headers],0),FALSE),"")</f>
        <v/>
      </c>
      <c r="AI327" s="1" t="str">
        <f>_xlfn.IFNA(VLOOKUP(Master_Reference[[#This Row],[C-Flex 5000K Eco Part Number]],Lutron_CFlex_Lookup[],MATCH("Lutron Kit PN",Lutron_CFlex_Lookup[#Headers],0),FALSE),"")</f>
        <v/>
      </c>
      <c r="AJ327" s="1" t="str">
        <f>_xlfn.IFNA(VLOOKUP(Master_Reference[[#This Row],[C-Flex 3000K 3W Part Number]],Lutron_CFlex_Lookup[],MATCH("Lutron Kit PN",Lutron_CFlex_Lookup[#Headers],0),FALSE),"")</f>
        <v/>
      </c>
      <c r="AK327" s="1" t="str">
        <f>_xlfn.IFNA(VLOOKUP(Master_Reference[[#This Row],[C-Flex 3500K 3W Part Number]],Lutron_CFlex_Lookup[],MATCH("Lutron Kit PN",Lutron_CFlex_Lookup[#Headers],0),FALSE),"")</f>
        <v/>
      </c>
      <c r="AL327" s="1" t="str">
        <f>_xlfn.IFNA(VLOOKUP(Master_Reference[[#This Row],[C-Flex 4000K 3W Part Number]],Lutron_CFlex_Lookup[],MATCH("Lutron Kit PN",Lutron_CFlex_Lookup[#Headers],0),FALSE),"")</f>
        <v/>
      </c>
      <c r="AM327" s="1" t="str">
        <f>_xlfn.IFNA(VLOOKUP(Master_Reference[[#This Row],[C-Flex 5000K 3W Part Number]],Lutron_CFlex_Lookup[],MATCH("Lutron Kit PN",Lutron_CFlex_Lookup[#Headers],0),FALSE),"")</f>
        <v/>
      </c>
      <c r="AN327" s="1" t="b">
        <f>NOT(ISNA(VLOOKUP(Master_Reference[[#This Row],[Model Number]],ObsoleteModels[],1,FALSE)))</f>
        <v>1</v>
      </c>
      <c r="AO327" s="1" t="str">
        <f>IF(LEFT(Master_Reference[[#This Row],[Model Number]],1)="U",LEFT(Master_Reference[[#This Row],[Model Number]],4),LEFT(Master_Reference[[#This Row],[Model Number]],3))</f>
        <v>ECO</v>
      </c>
    </row>
    <row r="328" spans="1:41" x14ac:dyDescent="0.25">
      <c r="A328" s="2" t="s">
        <v>604</v>
      </c>
      <c r="B328" s="1"/>
      <c r="C328" s="1" t="b">
        <v>1</v>
      </c>
      <c r="G328" s="1" t="str">
        <f>IF(OR(LEFT(RIGHT(Master_Reference[[#This Row],[Model Number]],3),1)="C",LEFT(RIGHT(Master_Reference[[#This Row],[Model Number]],4),1)="C"),TRUE,"")</f>
        <v/>
      </c>
      <c r="H328" s="1" t="str">
        <f>IF(LEFT(Master_Reference[[#This Row],[Model Number]],1)="U",TRUE,"")</f>
        <v/>
      </c>
      <c r="I328" s="1" t="b">
        <f>IF(Master_Reference[[#This Row],[Lamp Type]]="T4","",IF(Master_Reference[[#This Row],[Case Type]]="M","",TRUE))</f>
        <v>1</v>
      </c>
      <c r="J328" s="1" t="s">
        <v>111</v>
      </c>
      <c r="K328" s="1">
        <v>32</v>
      </c>
      <c r="L328" s="1" t="s">
        <v>118</v>
      </c>
      <c r="M328" s="1">
        <v>1</v>
      </c>
      <c r="N328" s="1">
        <v>120</v>
      </c>
      <c r="O328" s="1" t="s">
        <v>602</v>
      </c>
      <c r="R328" t="b">
        <f>IF(COUNTBLANK(Master_Reference[[#This Row],[C-Flex 3000K Eco Part Number]:[C-Flex 4000K Eco Part Number]])=3,FALSE,TRUE)</f>
        <v>0</v>
      </c>
      <c r="S328" t="b">
        <f>IF(COUNTBLANK(Master_Reference[[#This Row],[C-Flex 3000K 3W Part Number]:[C-Flex 4000K 3W Part Number]])=3,FALSE,TRUE)</f>
        <v>1</v>
      </c>
      <c r="T328" t="b">
        <f>IF(COUNTBLANK(Master_Reference[[#This Row],[Lutron 3000K Eco Part Number]:[Lutron 4000K Eco Part Number]])=3,FALSE,TRUE)</f>
        <v>0</v>
      </c>
      <c r="U328" t="b">
        <f>IF(COUNTBLANK(Master_Reference[[#This Row],[Lutron 3000K 3W Part Number]:[Lutron 4000K 3W Part Number]])=3,FALSE,TRUE)</f>
        <v>1</v>
      </c>
      <c r="V328" s="12"/>
      <c r="W328" s="12"/>
      <c r="X328" s="12"/>
      <c r="Y328" t="s">
        <v>2125</v>
      </c>
      <c r="Z328" s="12" t="s">
        <v>264</v>
      </c>
      <c r="AA328" s="12" t="s">
        <v>265</v>
      </c>
      <c r="AB328" s="12" t="s">
        <v>266</v>
      </c>
      <c r="AC328" t="s">
        <v>1829</v>
      </c>
      <c r="AD328" t="str">
        <f>SUBSTITUTE(Master_Reference[[#This Row],[C-Flex 4000K Eco Part Number]],"40-","xx-")</f>
        <v/>
      </c>
      <c r="AE328" t="str">
        <f>SUBSTITUTE(Master_Reference[[#This Row],[C-Flex 4000K 3W Part Number]],"40-","xx-")</f>
        <v>RP-T8-4FT-1L-8xx-3W-M-G2</v>
      </c>
      <c r="AF328" s="1" t="str">
        <f>_xlfn.IFNA(VLOOKUP(Master_Reference[[#This Row],[C-Flex 3000K Eco Part Number]],Lutron_CFlex_Lookup[],MATCH("Lutron Kit PN",Lutron_CFlex_Lookup[#Headers],0),FALSE),"")</f>
        <v/>
      </c>
      <c r="AG328" s="1" t="str">
        <f>_xlfn.IFNA(VLOOKUP(Master_Reference[[#This Row],[C-Flex 3500K Eco Part Number]],Lutron_CFlex_Lookup[],MATCH("Lutron Kit PN",Lutron_CFlex_Lookup[#Headers],0),FALSE),"")</f>
        <v/>
      </c>
      <c r="AH328" s="1" t="str">
        <f>_xlfn.IFNA(VLOOKUP(Master_Reference[[#This Row],[C-Flex 4000K Eco Part Number]],Lutron_CFlex_Lookup[],MATCH("Lutron Kit PN",Lutron_CFlex_Lookup[#Headers],0),FALSE),"")</f>
        <v/>
      </c>
      <c r="AI328" s="1" t="str">
        <f>_xlfn.IFNA(VLOOKUP(Master_Reference[[#This Row],[C-Flex 5000K Eco Part Number]],Lutron_CFlex_Lookup[],MATCH("Lutron Kit PN",Lutron_CFlex_Lookup[#Headers],0),FALSE),"")</f>
        <v/>
      </c>
      <c r="AJ328" s="1" t="str">
        <f>_xlfn.IFNA(VLOOKUP(Master_Reference[[#This Row],[C-Flex 3000K 3W Part Number]],Lutron_CFlex_Lookup[],MATCH("Lutron Kit PN",Lutron_CFlex_Lookup[#Headers],0),FALSE),"")</f>
        <v>3LD4T8-1M30-q</v>
      </c>
      <c r="AK328" s="1" t="str">
        <f>_xlfn.IFNA(VLOOKUP(Master_Reference[[#This Row],[C-Flex 3500K 3W Part Number]],Lutron_CFlex_Lookup[],MATCH("Lutron Kit PN",Lutron_CFlex_Lookup[#Headers],0),FALSE),"")</f>
        <v>3LD4T8-1M35-q</v>
      </c>
      <c r="AL328" s="1" t="str">
        <f>_xlfn.IFNA(VLOOKUP(Master_Reference[[#This Row],[C-Flex 4000K 3W Part Number]],Lutron_CFlex_Lookup[],MATCH("Lutron Kit PN",Lutron_CFlex_Lookup[#Headers],0),FALSE),"")</f>
        <v>3LD4T8-1M40-q</v>
      </c>
      <c r="AM328" s="1" t="str">
        <f>_xlfn.IFNA(VLOOKUP(Master_Reference[[#This Row],[C-Flex 5000K 3W Part Number]],Lutron_CFlex_Lookup[],MATCH("Lutron Kit PN",Lutron_CFlex_Lookup[#Headers],0),FALSE),"")</f>
        <v>3LD4T8-1M50-q</v>
      </c>
      <c r="AN328" s="1" t="b">
        <f>NOT(ISNA(VLOOKUP(Master_Reference[[#This Row],[Model Number]],ObsoleteModels[],1,FALSE)))</f>
        <v>1</v>
      </c>
      <c r="AO328" s="1" t="str">
        <f>IF(LEFT(Master_Reference[[#This Row],[Model Number]],1)="U",LEFT(Master_Reference[[#This Row],[Model Number]],4),LEFT(Master_Reference[[#This Row],[Model Number]],3))</f>
        <v>ECO</v>
      </c>
    </row>
    <row r="329" spans="1:41" x14ac:dyDescent="0.25">
      <c r="A329" s="2" t="s">
        <v>605</v>
      </c>
      <c r="B329" s="1"/>
      <c r="C329" s="1" t="b">
        <v>1</v>
      </c>
      <c r="G329" s="1" t="str">
        <f>IF(OR(LEFT(RIGHT(Master_Reference[[#This Row],[Model Number]],3),1)="C",LEFT(RIGHT(Master_Reference[[#This Row],[Model Number]],4),1)="C"),TRUE,"")</f>
        <v/>
      </c>
      <c r="H329" s="1" t="str">
        <f>IF(LEFT(Master_Reference[[#This Row],[Model Number]],1)="U",TRUE,"")</f>
        <v/>
      </c>
      <c r="I329" s="1" t="b">
        <f>IF(Master_Reference[[#This Row],[Lamp Type]]="T4","",IF(Master_Reference[[#This Row],[Case Type]]="M","",TRUE))</f>
        <v>1</v>
      </c>
      <c r="J329" s="1" t="s">
        <v>111</v>
      </c>
      <c r="K329" s="1">
        <v>32</v>
      </c>
      <c r="L329" s="1" t="s">
        <v>118</v>
      </c>
      <c r="M329" s="1">
        <v>1</v>
      </c>
      <c r="N329" s="1">
        <v>120</v>
      </c>
      <c r="O329" s="1" t="s">
        <v>602</v>
      </c>
      <c r="Q329" s="1" t="s">
        <v>91</v>
      </c>
      <c r="R329" t="b">
        <f>IF(COUNTBLANK(Master_Reference[[#This Row],[C-Flex 3000K Eco Part Number]:[C-Flex 4000K Eco Part Number]])=3,FALSE,TRUE)</f>
        <v>0</v>
      </c>
      <c r="S329" t="b">
        <f>IF(COUNTBLANK(Master_Reference[[#This Row],[C-Flex 3000K 3W Part Number]:[C-Flex 4000K 3W Part Number]])=3,FALSE,TRUE)</f>
        <v>0</v>
      </c>
      <c r="T329" t="b">
        <f>IF(COUNTBLANK(Master_Reference[[#This Row],[Lutron 3000K Eco Part Number]:[Lutron 4000K Eco Part Number]])=3,FALSE,TRUE)</f>
        <v>0</v>
      </c>
      <c r="U329" t="b">
        <f>IF(COUNTBLANK(Master_Reference[[#This Row],[Lutron 3000K 3W Part Number]:[Lutron 4000K 3W Part Number]])=3,FALSE,TRUE)</f>
        <v>0</v>
      </c>
      <c r="V329" s="12"/>
      <c r="W329" s="12"/>
      <c r="X329" s="12"/>
      <c r="Y329" t="s">
        <v>2125</v>
      </c>
      <c r="Z329" s="12"/>
      <c r="AA329" s="12"/>
      <c r="AB329" s="12"/>
      <c r="AC329" t="s">
        <v>2125</v>
      </c>
      <c r="AD329" t="str">
        <f>SUBSTITUTE(Master_Reference[[#This Row],[C-Flex 4000K Eco Part Number]],"40-","xx-")</f>
        <v/>
      </c>
      <c r="AE329" t="str">
        <f>SUBSTITUTE(Master_Reference[[#This Row],[C-Flex 4000K 3W Part Number]],"40-","xx-")</f>
        <v/>
      </c>
      <c r="AF329" s="1" t="str">
        <f>_xlfn.IFNA(VLOOKUP(Master_Reference[[#This Row],[C-Flex 3000K Eco Part Number]],Lutron_CFlex_Lookup[],MATCH("Lutron Kit PN",Lutron_CFlex_Lookup[#Headers],0),FALSE),"")</f>
        <v/>
      </c>
      <c r="AG329" s="1" t="str">
        <f>_xlfn.IFNA(VLOOKUP(Master_Reference[[#This Row],[C-Flex 3500K Eco Part Number]],Lutron_CFlex_Lookup[],MATCH("Lutron Kit PN",Lutron_CFlex_Lookup[#Headers],0),FALSE),"")</f>
        <v/>
      </c>
      <c r="AH329" s="1" t="str">
        <f>_xlfn.IFNA(VLOOKUP(Master_Reference[[#This Row],[C-Flex 4000K Eco Part Number]],Lutron_CFlex_Lookup[],MATCH("Lutron Kit PN",Lutron_CFlex_Lookup[#Headers],0),FALSE),"")</f>
        <v/>
      </c>
      <c r="AI329" s="1" t="str">
        <f>_xlfn.IFNA(VLOOKUP(Master_Reference[[#This Row],[C-Flex 5000K Eco Part Number]],Lutron_CFlex_Lookup[],MATCH("Lutron Kit PN",Lutron_CFlex_Lookup[#Headers],0),FALSE),"")</f>
        <v/>
      </c>
      <c r="AJ329" s="1" t="str">
        <f>_xlfn.IFNA(VLOOKUP(Master_Reference[[#This Row],[C-Flex 3000K 3W Part Number]],Lutron_CFlex_Lookup[],MATCH("Lutron Kit PN",Lutron_CFlex_Lookup[#Headers],0),FALSE),"")</f>
        <v/>
      </c>
      <c r="AK329" s="1" t="str">
        <f>_xlfn.IFNA(VLOOKUP(Master_Reference[[#This Row],[C-Flex 3500K 3W Part Number]],Lutron_CFlex_Lookup[],MATCH("Lutron Kit PN",Lutron_CFlex_Lookup[#Headers],0),FALSE),"")</f>
        <v/>
      </c>
      <c r="AL329" s="1" t="str">
        <f>_xlfn.IFNA(VLOOKUP(Master_Reference[[#This Row],[C-Flex 4000K 3W Part Number]],Lutron_CFlex_Lookup[],MATCH("Lutron Kit PN",Lutron_CFlex_Lookup[#Headers],0),FALSE),"")</f>
        <v/>
      </c>
      <c r="AM329" s="1" t="str">
        <f>_xlfn.IFNA(VLOOKUP(Master_Reference[[#This Row],[C-Flex 5000K 3W Part Number]],Lutron_CFlex_Lookup[],MATCH("Lutron Kit PN",Lutron_CFlex_Lookup[#Headers],0),FALSE),"")</f>
        <v/>
      </c>
      <c r="AN329" s="1" t="b">
        <f>NOT(ISNA(VLOOKUP(Master_Reference[[#This Row],[Model Number]],ObsoleteModels[],1,FALSE)))</f>
        <v>1</v>
      </c>
      <c r="AO329" s="1" t="str">
        <f>IF(LEFT(Master_Reference[[#This Row],[Model Number]],1)="U",LEFT(Master_Reference[[#This Row],[Model Number]],4),LEFT(Master_Reference[[#This Row],[Model Number]],3))</f>
        <v>ECO</v>
      </c>
    </row>
    <row r="330" spans="1:41" x14ac:dyDescent="0.25">
      <c r="A330" s="2" t="s">
        <v>606</v>
      </c>
      <c r="B330" s="1"/>
      <c r="C330" s="1" t="b">
        <v>1</v>
      </c>
      <c r="G330" s="1" t="str">
        <f>IF(OR(LEFT(RIGHT(Master_Reference[[#This Row],[Model Number]],3),1)="C",LEFT(RIGHT(Master_Reference[[#This Row],[Model Number]],4),1)="C"),TRUE,"")</f>
        <v/>
      </c>
      <c r="H330" s="1" t="str">
        <f>IF(LEFT(Master_Reference[[#This Row],[Model Number]],1)="U",TRUE,"")</f>
        <v/>
      </c>
      <c r="I330" s="1" t="b">
        <f>IF(Master_Reference[[#This Row],[Lamp Type]]="T4","",IF(Master_Reference[[#This Row],[Case Type]]="M","",TRUE))</f>
        <v>1</v>
      </c>
      <c r="J330" s="1" t="s">
        <v>111</v>
      </c>
      <c r="K330" s="1">
        <v>32</v>
      </c>
      <c r="L330" s="1" t="s">
        <v>118</v>
      </c>
      <c r="M330" s="1">
        <v>2</v>
      </c>
      <c r="N330" s="1">
        <v>120</v>
      </c>
      <c r="O330" s="1" t="s">
        <v>144</v>
      </c>
      <c r="R330" t="b">
        <f>IF(COUNTBLANK(Master_Reference[[#This Row],[C-Flex 3000K Eco Part Number]:[C-Flex 4000K Eco Part Number]])=3,FALSE,TRUE)</f>
        <v>0</v>
      </c>
      <c r="S330" t="b">
        <f>IF(COUNTBLANK(Master_Reference[[#This Row],[C-Flex 3000K 3W Part Number]:[C-Flex 4000K 3W Part Number]])=3,FALSE,TRUE)</f>
        <v>1</v>
      </c>
      <c r="T330" t="b">
        <f>IF(COUNTBLANK(Master_Reference[[#This Row],[Lutron 3000K Eco Part Number]:[Lutron 4000K Eco Part Number]])=3,FALSE,TRUE)</f>
        <v>0</v>
      </c>
      <c r="U330" t="b">
        <f>IF(COUNTBLANK(Master_Reference[[#This Row],[Lutron 3000K 3W Part Number]:[Lutron 4000K 3W Part Number]])=3,FALSE,TRUE)</f>
        <v>1</v>
      </c>
      <c r="V330" s="12"/>
      <c r="W330" s="12"/>
      <c r="X330" s="12"/>
      <c r="Y330" t="s">
        <v>2125</v>
      </c>
      <c r="Z330" s="12" t="s">
        <v>145</v>
      </c>
      <c r="AA330" s="12" t="s">
        <v>146</v>
      </c>
      <c r="AB330" s="12" t="s">
        <v>147</v>
      </c>
      <c r="AC330" t="s">
        <v>1830</v>
      </c>
      <c r="AD330" t="str">
        <f>SUBSTITUTE(Master_Reference[[#This Row],[C-Flex 4000K Eco Part Number]],"40-","xx-")</f>
        <v/>
      </c>
      <c r="AE330" t="str">
        <f>SUBSTITUTE(Master_Reference[[#This Row],[C-Flex 4000K 3W Part Number]],"40-","xx-")</f>
        <v>RP-T8-4FT-2L-8xx-3W-M-G2</v>
      </c>
      <c r="AF330" s="1" t="str">
        <f>_xlfn.IFNA(VLOOKUP(Master_Reference[[#This Row],[C-Flex 3000K Eco Part Number]],Lutron_CFlex_Lookup[],MATCH("Lutron Kit PN",Lutron_CFlex_Lookup[#Headers],0),FALSE),"")</f>
        <v/>
      </c>
      <c r="AG330" s="1" t="str">
        <f>_xlfn.IFNA(VLOOKUP(Master_Reference[[#This Row],[C-Flex 3500K Eco Part Number]],Lutron_CFlex_Lookup[],MATCH("Lutron Kit PN",Lutron_CFlex_Lookup[#Headers],0),FALSE),"")</f>
        <v/>
      </c>
      <c r="AH330" s="1" t="str">
        <f>_xlfn.IFNA(VLOOKUP(Master_Reference[[#This Row],[C-Flex 4000K Eco Part Number]],Lutron_CFlex_Lookup[],MATCH("Lutron Kit PN",Lutron_CFlex_Lookup[#Headers],0),FALSE),"")</f>
        <v/>
      </c>
      <c r="AI330" s="1" t="str">
        <f>_xlfn.IFNA(VLOOKUP(Master_Reference[[#This Row],[C-Flex 5000K Eco Part Number]],Lutron_CFlex_Lookup[],MATCH("Lutron Kit PN",Lutron_CFlex_Lookup[#Headers],0),FALSE),"")</f>
        <v/>
      </c>
      <c r="AJ330" s="1" t="str">
        <f>_xlfn.IFNA(VLOOKUP(Master_Reference[[#This Row],[C-Flex 3000K 3W Part Number]],Lutron_CFlex_Lookup[],MATCH("Lutron Kit PN",Lutron_CFlex_Lookup[#Headers],0),FALSE),"")</f>
        <v>3LD4T8-2M30-q</v>
      </c>
      <c r="AK330" s="1" t="str">
        <f>_xlfn.IFNA(VLOOKUP(Master_Reference[[#This Row],[C-Flex 3500K 3W Part Number]],Lutron_CFlex_Lookup[],MATCH("Lutron Kit PN",Lutron_CFlex_Lookup[#Headers],0),FALSE),"")</f>
        <v>3LD4T8-2M35-q</v>
      </c>
      <c r="AL330" s="1" t="str">
        <f>_xlfn.IFNA(VLOOKUP(Master_Reference[[#This Row],[C-Flex 4000K 3W Part Number]],Lutron_CFlex_Lookup[],MATCH("Lutron Kit PN",Lutron_CFlex_Lookup[#Headers],0),FALSE),"")</f>
        <v>3LD4T8-2M40-q</v>
      </c>
      <c r="AM330" s="1" t="str">
        <f>_xlfn.IFNA(VLOOKUP(Master_Reference[[#This Row],[C-Flex 5000K 3W Part Number]],Lutron_CFlex_Lookup[],MATCH("Lutron Kit PN",Lutron_CFlex_Lookup[#Headers],0),FALSE),"")</f>
        <v>3LD4T8-2M50-q</v>
      </c>
      <c r="AN330" s="1" t="b">
        <f>NOT(ISNA(VLOOKUP(Master_Reference[[#This Row],[Model Number]],ObsoleteModels[],1,FALSE)))</f>
        <v>1</v>
      </c>
      <c r="AO330" s="1" t="str">
        <f>IF(LEFT(Master_Reference[[#This Row],[Model Number]],1)="U",LEFT(Master_Reference[[#This Row],[Model Number]],4),LEFT(Master_Reference[[#This Row],[Model Number]],3))</f>
        <v>ECO</v>
      </c>
    </row>
    <row r="331" spans="1:41" x14ac:dyDescent="0.25">
      <c r="A331" s="2" t="s">
        <v>607</v>
      </c>
      <c r="B331" s="1"/>
      <c r="C331" s="1" t="b">
        <v>1</v>
      </c>
      <c r="G331" s="1" t="str">
        <f>IF(OR(LEFT(RIGHT(Master_Reference[[#This Row],[Model Number]],3),1)="C",LEFT(RIGHT(Master_Reference[[#This Row],[Model Number]],4),1)="C"),TRUE,"")</f>
        <v/>
      </c>
      <c r="H331" s="1" t="str">
        <f>IF(LEFT(Master_Reference[[#This Row],[Model Number]],1)="U",TRUE,"")</f>
        <v/>
      </c>
      <c r="I331" s="1" t="b">
        <f>IF(Master_Reference[[#This Row],[Lamp Type]]="T4","",IF(Master_Reference[[#This Row],[Case Type]]="M","",TRUE))</f>
        <v>1</v>
      </c>
      <c r="J331" s="1" t="s">
        <v>111</v>
      </c>
      <c r="K331" s="1">
        <v>32</v>
      </c>
      <c r="L331" s="1" t="s">
        <v>118</v>
      </c>
      <c r="M331" s="1">
        <v>2</v>
      </c>
      <c r="N331" s="1">
        <v>120</v>
      </c>
      <c r="O331" s="1" t="s">
        <v>602</v>
      </c>
      <c r="R331" t="b">
        <f>IF(COUNTBLANK(Master_Reference[[#This Row],[C-Flex 3000K Eco Part Number]:[C-Flex 4000K Eco Part Number]])=3,FALSE,TRUE)</f>
        <v>0</v>
      </c>
      <c r="S331" t="b">
        <f>IF(COUNTBLANK(Master_Reference[[#This Row],[C-Flex 3000K 3W Part Number]:[C-Flex 4000K 3W Part Number]])=3,FALSE,TRUE)</f>
        <v>1</v>
      </c>
      <c r="T331" t="b">
        <f>IF(COUNTBLANK(Master_Reference[[#This Row],[Lutron 3000K Eco Part Number]:[Lutron 4000K Eco Part Number]])=3,FALSE,TRUE)</f>
        <v>0</v>
      </c>
      <c r="U331" t="b">
        <f>IF(COUNTBLANK(Master_Reference[[#This Row],[Lutron 3000K 3W Part Number]:[Lutron 4000K 3W Part Number]])=3,FALSE,TRUE)</f>
        <v>1</v>
      </c>
      <c r="V331" s="12"/>
      <c r="W331" s="12"/>
      <c r="X331" s="12"/>
      <c r="Y331" t="s">
        <v>2125</v>
      </c>
      <c r="Z331" s="12" t="s">
        <v>145</v>
      </c>
      <c r="AA331" s="12" t="s">
        <v>146</v>
      </c>
      <c r="AB331" s="12" t="s">
        <v>147</v>
      </c>
      <c r="AC331" t="s">
        <v>1830</v>
      </c>
      <c r="AD331" t="str">
        <f>SUBSTITUTE(Master_Reference[[#This Row],[C-Flex 4000K Eco Part Number]],"40-","xx-")</f>
        <v/>
      </c>
      <c r="AE331" t="str">
        <f>SUBSTITUTE(Master_Reference[[#This Row],[C-Flex 4000K 3W Part Number]],"40-","xx-")</f>
        <v>RP-T8-4FT-2L-8xx-3W-M-G2</v>
      </c>
      <c r="AF331" s="1" t="str">
        <f>_xlfn.IFNA(VLOOKUP(Master_Reference[[#This Row],[C-Flex 3000K Eco Part Number]],Lutron_CFlex_Lookup[],MATCH("Lutron Kit PN",Lutron_CFlex_Lookup[#Headers],0),FALSE),"")</f>
        <v/>
      </c>
      <c r="AG331" s="1" t="str">
        <f>_xlfn.IFNA(VLOOKUP(Master_Reference[[#This Row],[C-Flex 3500K Eco Part Number]],Lutron_CFlex_Lookup[],MATCH("Lutron Kit PN",Lutron_CFlex_Lookup[#Headers],0),FALSE),"")</f>
        <v/>
      </c>
      <c r="AH331" s="1" t="str">
        <f>_xlfn.IFNA(VLOOKUP(Master_Reference[[#This Row],[C-Flex 4000K Eco Part Number]],Lutron_CFlex_Lookup[],MATCH("Lutron Kit PN",Lutron_CFlex_Lookup[#Headers],0),FALSE),"")</f>
        <v/>
      </c>
      <c r="AI331" s="1" t="str">
        <f>_xlfn.IFNA(VLOOKUP(Master_Reference[[#This Row],[C-Flex 5000K Eco Part Number]],Lutron_CFlex_Lookup[],MATCH("Lutron Kit PN",Lutron_CFlex_Lookup[#Headers],0),FALSE),"")</f>
        <v/>
      </c>
      <c r="AJ331" s="1" t="str">
        <f>_xlfn.IFNA(VLOOKUP(Master_Reference[[#This Row],[C-Flex 3000K 3W Part Number]],Lutron_CFlex_Lookup[],MATCH("Lutron Kit PN",Lutron_CFlex_Lookup[#Headers],0),FALSE),"")</f>
        <v>3LD4T8-2M30-q</v>
      </c>
      <c r="AK331" s="1" t="str">
        <f>_xlfn.IFNA(VLOOKUP(Master_Reference[[#This Row],[C-Flex 3500K 3W Part Number]],Lutron_CFlex_Lookup[],MATCH("Lutron Kit PN",Lutron_CFlex_Lookup[#Headers],0),FALSE),"")</f>
        <v>3LD4T8-2M35-q</v>
      </c>
      <c r="AL331" s="1" t="str">
        <f>_xlfn.IFNA(VLOOKUP(Master_Reference[[#This Row],[C-Flex 4000K 3W Part Number]],Lutron_CFlex_Lookup[],MATCH("Lutron Kit PN",Lutron_CFlex_Lookup[#Headers],0),FALSE),"")</f>
        <v>3LD4T8-2M40-q</v>
      </c>
      <c r="AM331" s="1" t="str">
        <f>_xlfn.IFNA(VLOOKUP(Master_Reference[[#This Row],[C-Flex 5000K 3W Part Number]],Lutron_CFlex_Lookup[],MATCH("Lutron Kit PN",Lutron_CFlex_Lookup[#Headers],0),FALSE),"")</f>
        <v>3LD4T8-2M50-q</v>
      </c>
      <c r="AN331" s="1" t="b">
        <f>NOT(ISNA(VLOOKUP(Master_Reference[[#This Row],[Model Number]],ObsoleteModels[],1,FALSE)))</f>
        <v>1</v>
      </c>
      <c r="AO331" s="1" t="str">
        <f>IF(LEFT(Master_Reference[[#This Row],[Model Number]],1)="U",LEFT(Master_Reference[[#This Row],[Model Number]],4),LEFT(Master_Reference[[#This Row],[Model Number]],3))</f>
        <v>ECO</v>
      </c>
    </row>
    <row r="332" spans="1:41" x14ac:dyDescent="0.25">
      <c r="A332" s="2" t="s">
        <v>608</v>
      </c>
      <c r="B332" s="1"/>
      <c r="C332" s="1" t="b">
        <v>1</v>
      </c>
      <c r="G332" s="1" t="str">
        <f>IF(OR(LEFT(RIGHT(Master_Reference[[#This Row],[Model Number]],3),1)="C",LEFT(RIGHT(Master_Reference[[#This Row],[Model Number]],4),1)="C"),TRUE,"")</f>
        <v/>
      </c>
      <c r="H332" s="1" t="str">
        <f>IF(LEFT(Master_Reference[[#This Row],[Model Number]],1)="U",TRUE,"")</f>
        <v/>
      </c>
      <c r="I332" s="1" t="b">
        <f>IF(Master_Reference[[#This Row],[Lamp Type]]="T4","",IF(Master_Reference[[#This Row],[Case Type]]="M","",TRUE))</f>
        <v>1</v>
      </c>
      <c r="J332" s="1" t="s">
        <v>111</v>
      </c>
      <c r="K332" s="1">
        <v>32</v>
      </c>
      <c r="L332" s="1" t="s">
        <v>118</v>
      </c>
      <c r="M332" s="1">
        <v>2</v>
      </c>
      <c r="N332" s="1">
        <v>120</v>
      </c>
      <c r="O332" s="1" t="s">
        <v>602</v>
      </c>
      <c r="Q332" s="1" t="s">
        <v>91</v>
      </c>
      <c r="R332" t="b">
        <f>IF(COUNTBLANK(Master_Reference[[#This Row],[C-Flex 3000K Eco Part Number]:[C-Flex 4000K Eco Part Number]])=3,FALSE,TRUE)</f>
        <v>0</v>
      </c>
      <c r="S332" t="b">
        <f>IF(COUNTBLANK(Master_Reference[[#This Row],[C-Flex 3000K 3W Part Number]:[C-Flex 4000K 3W Part Number]])=3,FALSE,TRUE)</f>
        <v>0</v>
      </c>
      <c r="T332" t="b">
        <f>IF(COUNTBLANK(Master_Reference[[#This Row],[Lutron 3000K Eco Part Number]:[Lutron 4000K Eco Part Number]])=3,FALSE,TRUE)</f>
        <v>0</v>
      </c>
      <c r="U332" t="b">
        <f>IF(COUNTBLANK(Master_Reference[[#This Row],[Lutron 3000K 3W Part Number]:[Lutron 4000K 3W Part Number]])=3,FALSE,TRUE)</f>
        <v>0</v>
      </c>
      <c r="V332" s="12"/>
      <c r="W332" s="12"/>
      <c r="X332" s="12"/>
      <c r="Y332" t="s">
        <v>2125</v>
      </c>
      <c r="Z332" s="12"/>
      <c r="AA332" s="12"/>
      <c r="AB332" s="12"/>
      <c r="AC332" t="s">
        <v>2125</v>
      </c>
      <c r="AD332" t="str">
        <f>SUBSTITUTE(Master_Reference[[#This Row],[C-Flex 4000K Eco Part Number]],"40-","xx-")</f>
        <v/>
      </c>
      <c r="AE332" t="str">
        <f>SUBSTITUTE(Master_Reference[[#This Row],[C-Flex 4000K 3W Part Number]],"40-","xx-")</f>
        <v/>
      </c>
      <c r="AF332" s="1" t="str">
        <f>_xlfn.IFNA(VLOOKUP(Master_Reference[[#This Row],[C-Flex 3000K Eco Part Number]],Lutron_CFlex_Lookup[],MATCH("Lutron Kit PN",Lutron_CFlex_Lookup[#Headers],0),FALSE),"")</f>
        <v/>
      </c>
      <c r="AG332" s="1" t="str">
        <f>_xlfn.IFNA(VLOOKUP(Master_Reference[[#This Row],[C-Flex 3500K Eco Part Number]],Lutron_CFlex_Lookup[],MATCH("Lutron Kit PN",Lutron_CFlex_Lookup[#Headers],0),FALSE),"")</f>
        <v/>
      </c>
      <c r="AH332" s="1" t="str">
        <f>_xlfn.IFNA(VLOOKUP(Master_Reference[[#This Row],[C-Flex 4000K Eco Part Number]],Lutron_CFlex_Lookup[],MATCH("Lutron Kit PN",Lutron_CFlex_Lookup[#Headers],0),FALSE),"")</f>
        <v/>
      </c>
      <c r="AI332" s="1" t="str">
        <f>_xlfn.IFNA(VLOOKUP(Master_Reference[[#This Row],[C-Flex 5000K Eco Part Number]],Lutron_CFlex_Lookup[],MATCH("Lutron Kit PN",Lutron_CFlex_Lookup[#Headers],0),FALSE),"")</f>
        <v/>
      </c>
      <c r="AJ332" s="1" t="str">
        <f>_xlfn.IFNA(VLOOKUP(Master_Reference[[#This Row],[C-Flex 3000K 3W Part Number]],Lutron_CFlex_Lookup[],MATCH("Lutron Kit PN",Lutron_CFlex_Lookup[#Headers],0),FALSE),"")</f>
        <v/>
      </c>
      <c r="AK332" s="1" t="str">
        <f>_xlfn.IFNA(VLOOKUP(Master_Reference[[#This Row],[C-Flex 3500K 3W Part Number]],Lutron_CFlex_Lookup[],MATCH("Lutron Kit PN",Lutron_CFlex_Lookup[#Headers],0),FALSE),"")</f>
        <v/>
      </c>
      <c r="AL332" s="1" t="str">
        <f>_xlfn.IFNA(VLOOKUP(Master_Reference[[#This Row],[C-Flex 4000K 3W Part Number]],Lutron_CFlex_Lookup[],MATCH("Lutron Kit PN",Lutron_CFlex_Lookup[#Headers],0),FALSE),"")</f>
        <v/>
      </c>
      <c r="AM332" s="1" t="str">
        <f>_xlfn.IFNA(VLOOKUP(Master_Reference[[#This Row],[C-Flex 5000K 3W Part Number]],Lutron_CFlex_Lookup[],MATCH("Lutron Kit PN",Lutron_CFlex_Lookup[#Headers],0),FALSE),"")</f>
        <v/>
      </c>
      <c r="AN332" s="1" t="b">
        <f>NOT(ISNA(VLOOKUP(Master_Reference[[#This Row],[Model Number]],ObsoleteModels[],1,FALSE)))</f>
        <v>1</v>
      </c>
      <c r="AO332" s="1" t="str">
        <f>IF(LEFT(Master_Reference[[#This Row],[Model Number]],1)="U",LEFT(Master_Reference[[#This Row],[Model Number]],4),LEFT(Master_Reference[[#This Row],[Model Number]],3))</f>
        <v>ECO</v>
      </c>
    </row>
    <row r="333" spans="1:41" x14ac:dyDescent="0.25">
      <c r="A333" s="2" t="s">
        <v>609</v>
      </c>
      <c r="B333" s="1"/>
      <c r="C333" s="1" t="b">
        <v>1</v>
      </c>
      <c r="G333" s="1" t="str">
        <f>IF(OR(LEFT(RIGHT(Master_Reference[[#This Row],[Model Number]],3),1)="C",LEFT(RIGHT(Master_Reference[[#This Row],[Model Number]],4),1)="C"),TRUE,"")</f>
        <v/>
      </c>
      <c r="H333" s="1" t="str">
        <f>IF(LEFT(Master_Reference[[#This Row],[Model Number]],1)="U",TRUE,"")</f>
        <v/>
      </c>
      <c r="I333" s="1" t="b">
        <f>IF(Master_Reference[[#This Row],[Lamp Type]]="T4","",IF(Master_Reference[[#This Row],[Case Type]]="M","",TRUE))</f>
        <v>1</v>
      </c>
      <c r="J333" s="1" t="s">
        <v>111</v>
      </c>
      <c r="K333" s="1">
        <v>32</v>
      </c>
      <c r="L333" s="1" t="s">
        <v>118</v>
      </c>
      <c r="M333" s="1">
        <v>2</v>
      </c>
      <c r="N333" s="1">
        <v>120</v>
      </c>
      <c r="O333" s="1" t="s">
        <v>602</v>
      </c>
      <c r="R333" t="b">
        <f>IF(COUNTBLANK(Master_Reference[[#This Row],[C-Flex 3000K Eco Part Number]:[C-Flex 4000K Eco Part Number]])=3,FALSE,TRUE)</f>
        <v>0</v>
      </c>
      <c r="S333" t="b">
        <f>IF(COUNTBLANK(Master_Reference[[#This Row],[C-Flex 3000K 3W Part Number]:[C-Flex 4000K 3W Part Number]])=3,FALSE,TRUE)</f>
        <v>1</v>
      </c>
      <c r="T333" t="b">
        <f>IF(COUNTBLANK(Master_Reference[[#This Row],[Lutron 3000K Eco Part Number]:[Lutron 4000K Eco Part Number]])=3,FALSE,TRUE)</f>
        <v>0</v>
      </c>
      <c r="U333" t="b">
        <f>IF(COUNTBLANK(Master_Reference[[#This Row],[Lutron 3000K 3W Part Number]:[Lutron 4000K 3W Part Number]])=3,FALSE,TRUE)</f>
        <v>1</v>
      </c>
      <c r="V333" s="12"/>
      <c r="W333" s="12"/>
      <c r="X333" s="12"/>
      <c r="Y333" t="s">
        <v>2125</v>
      </c>
      <c r="Z333" s="12" t="s">
        <v>145</v>
      </c>
      <c r="AA333" s="12" t="s">
        <v>146</v>
      </c>
      <c r="AB333" s="12" t="s">
        <v>147</v>
      </c>
      <c r="AC333" t="s">
        <v>1830</v>
      </c>
      <c r="AD333" t="str">
        <f>SUBSTITUTE(Master_Reference[[#This Row],[C-Flex 4000K Eco Part Number]],"40-","xx-")</f>
        <v/>
      </c>
      <c r="AE333" t="str">
        <f>SUBSTITUTE(Master_Reference[[#This Row],[C-Flex 4000K 3W Part Number]],"40-","xx-")</f>
        <v>RP-T8-4FT-2L-8xx-3W-M-G2</v>
      </c>
      <c r="AF333" s="1" t="str">
        <f>_xlfn.IFNA(VLOOKUP(Master_Reference[[#This Row],[C-Flex 3000K Eco Part Number]],Lutron_CFlex_Lookup[],MATCH("Lutron Kit PN",Lutron_CFlex_Lookup[#Headers],0),FALSE),"")</f>
        <v/>
      </c>
      <c r="AG333" s="1" t="str">
        <f>_xlfn.IFNA(VLOOKUP(Master_Reference[[#This Row],[C-Flex 3500K Eco Part Number]],Lutron_CFlex_Lookup[],MATCH("Lutron Kit PN",Lutron_CFlex_Lookup[#Headers],0),FALSE),"")</f>
        <v/>
      </c>
      <c r="AH333" s="1" t="str">
        <f>_xlfn.IFNA(VLOOKUP(Master_Reference[[#This Row],[C-Flex 4000K Eco Part Number]],Lutron_CFlex_Lookup[],MATCH("Lutron Kit PN",Lutron_CFlex_Lookup[#Headers],0),FALSE),"")</f>
        <v/>
      </c>
      <c r="AI333" s="1" t="str">
        <f>_xlfn.IFNA(VLOOKUP(Master_Reference[[#This Row],[C-Flex 5000K Eco Part Number]],Lutron_CFlex_Lookup[],MATCH("Lutron Kit PN",Lutron_CFlex_Lookup[#Headers],0),FALSE),"")</f>
        <v/>
      </c>
      <c r="AJ333" s="1" t="str">
        <f>_xlfn.IFNA(VLOOKUP(Master_Reference[[#This Row],[C-Flex 3000K 3W Part Number]],Lutron_CFlex_Lookup[],MATCH("Lutron Kit PN",Lutron_CFlex_Lookup[#Headers],0),FALSE),"")</f>
        <v>3LD4T8-2M30-q</v>
      </c>
      <c r="AK333" s="1" t="str">
        <f>_xlfn.IFNA(VLOOKUP(Master_Reference[[#This Row],[C-Flex 3500K 3W Part Number]],Lutron_CFlex_Lookup[],MATCH("Lutron Kit PN",Lutron_CFlex_Lookup[#Headers],0),FALSE),"")</f>
        <v>3LD4T8-2M35-q</v>
      </c>
      <c r="AL333" s="1" t="str">
        <f>_xlfn.IFNA(VLOOKUP(Master_Reference[[#This Row],[C-Flex 4000K 3W Part Number]],Lutron_CFlex_Lookup[],MATCH("Lutron Kit PN",Lutron_CFlex_Lookup[#Headers],0),FALSE),"")</f>
        <v>3LD4T8-2M40-q</v>
      </c>
      <c r="AM333" s="1" t="str">
        <f>_xlfn.IFNA(VLOOKUP(Master_Reference[[#This Row],[C-Flex 5000K 3W Part Number]],Lutron_CFlex_Lookup[],MATCH("Lutron Kit PN",Lutron_CFlex_Lookup[#Headers],0),FALSE),"")</f>
        <v>3LD4T8-2M50-q</v>
      </c>
      <c r="AN333" s="1" t="b">
        <f>NOT(ISNA(VLOOKUP(Master_Reference[[#This Row],[Model Number]],ObsoleteModels[],1,FALSE)))</f>
        <v>1</v>
      </c>
      <c r="AO333" s="1" t="str">
        <f>IF(LEFT(Master_Reference[[#This Row],[Model Number]],1)="U",LEFT(Master_Reference[[#This Row],[Model Number]],4),LEFT(Master_Reference[[#This Row],[Model Number]],3))</f>
        <v>ECO</v>
      </c>
    </row>
    <row r="334" spans="1:41" x14ac:dyDescent="0.25">
      <c r="A334" s="2" t="s">
        <v>610</v>
      </c>
      <c r="B334" s="1"/>
      <c r="C334" s="1" t="b">
        <v>1</v>
      </c>
      <c r="G334" s="1" t="str">
        <f>IF(OR(LEFT(RIGHT(Master_Reference[[#This Row],[Model Number]],3),1)="C",LEFT(RIGHT(Master_Reference[[#This Row],[Model Number]],4),1)="C"),TRUE,"")</f>
        <v/>
      </c>
      <c r="H334" s="1" t="str">
        <f>IF(LEFT(Master_Reference[[#This Row],[Model Number]],1)="U",TRUE,"")</f>
        <v/>
      </c>
      <c r="I334" s="1" t="b">
        <f>IF(Master_Reference[[#This Row],[Lamp Type]]="T4","",IF(Master_Reference[[#This Row],[Case Type]]="M","",TRUE))</f>
        <v>1</v>
      </c>
      <c r="J334" s="1" t="s">
        <v>111</v>
      </c>
      <c r="K334" s="1">
        <v>32</v>
      </c>
      <c r="L334" s="1" t="s">
        <v>118</v>
      </c>
      <c r="M334" s="1">
        <v>2</v>
      </c>
      <c r="N334" s="1">
        <v>120</v>
      </c>
      <c r="O334" s="1" t="s">
        <v>602</v>
      </c>
      <c r="Q334" s="1" t="s">
        <v>91</v>
      </c>
      <c r="R334" t="b">
        <f>IF(COUNTBLANK(Master_Reference[[#This Row],[C-Flex 3000K Eco Part Number]:[C-Flex 4000K Eco Part Number]])=3,FALSE,TRUE)</f>
        <v>0</v>
      </c>
      <c r="S334" t="b">
        <f>IF(COUNTBLANK(Master_Reference[[#This Row],[C-Flex 3000K 3W Part Number]:[C-Flex 4000K 3W Part Number]])=3,FALSE,TRUE)</f>
        <v>0</v>
      </c>
      <c r="T334" t="b">
        <f>IF(COUNTBLANK(Master_Reference[[#This Row],[Lutron 3000K Eco Part Number]:[Lutron 4000K Eco Part Number]])=3,FALSE,TRUE)</f>
        <v>0</v>
      </c>
      <c r="U334" t="b">
        <f>IF(COUNTBLANK(Master_Reference[[#This Row],[Lutron 3000K 3W Part Number]:[Lutron 4000K 3W Part Number]])=3,FALSE,TRUE)</f>
        <v>0</v>
      </c>
      <c r="V334" s="12"/>
      <c r="W334" s="12"/>
      <c r="X334" s="12"/>
      <c r="Y334" t="s">
        <v>2125</v>
      </c>
      <c r="Z334" s="12"/>
      <c r="AA334" s="12"/>
      <c r="AB334" s="12"/>
      <c r="AC334" t="s">
        <v>2125</v>
      </c>
      <c r="AD334" t="str">
        <f>SUBSTITUTE(Master_Reference[[#This Row],[C-Flex 4000K Eco Part Number]],"40-","xx-")</f>
        <v/>
      </c>
      <c r="AE334" t="str">
        <f>SUBSTITUTE(Master_Reference[[#This Row],[C-Flex 4000K 3W Part Number]],"40-","xx-")</f>
        <v/>
      </c>
      <c r="AF334" s="1" t="str">
        <f>_xlfn.IFNA(VLOOKUP(Master_Reference[[#This Row],[C-Flex 3000K Eco Part Number]],Lutron_CFlex_Lookup[],MATCH("Lutron Kit PN",Lutron_CFlex_Lookup[#Headers],0),FALSE),"")</f>
        <v/>
      </c>
      <c r="AG334" s="1" t="str">
        <f>_xlfn.IFNA(VLOOKUP(Master_Reference[[#This Row],[C-Flex 3500K Eco Part Number]],Lutron_CFlex_Lookup[],MATCH("Lutron Kit PN",Lutron_CFlex_Lookup[#Headers],0),FALSE),"")</f>
        <v/>
      </c>
      <c r="AH334" s="1" t="str">
        <f>_xlfn.IFNA(VLOOKUP(Master_Reference[[#This Row],[C-Flex 4000K Eco Part Number]],Lutron_CFlex_Lookup[],MATCH("Lutron Kit PN",Lutron_CFlex_Lookup[#Headers],0),FALSE),"")</f>
        <v/>
      </c>
      <c r="AI334" s="1" t="str">
        <f>_xlfn.IFNA(VLOOKUP(Master_Reference[[#This Row],[C-Flex 5000K Eco Part Number]],Lutron_CFlex_Lookup[],MATCH("Lutron Kit PN",Lutron_CFlex_Lookup[#Headers],0),FALSE),"")</f>
        <v/>
      </c>
      <c r="AJ334" s="1" t="str">
        <f>_xlfn.IFNA(VLOOKUP(Master_Reference[[#This Row],[C-Flex 3000K 3W Part Number]],Lutron_CFlex_Lookup[],MATCH("Lutron Kit PN",Lutron_CFlex_Lookup[#Headers],0),FALSE),"")</f>
        <v/>
      </c>
      <c r="AK334" s="1" t="str">
        <f>_xlfn.IFNA(VLOOKUP(Master_Reference[[#This Row],[C-Flex 3500K 3W Part Number]],Lutron_CFlex_Lookup[],MATCH("Lutron Kit PN",Lutron_CFlex_Lookup[#Headers],0),FALSE),"")</f>
        <v/>
      </c>
      <c r="AL334" s="1" t="str">
        <f>_xlfn.IFNA(VLOOKUP(Master_Reference[[#This Row],[C-Flex 4000K 3W Part Number]],Lutron_CFlex_Lookup[],MATCH("Lutron Kit PN",Lutron_CFlex_Lookup[#Headers],0),FALSE),"")</f>
        <v/>
      </c>
      <c r="AM334" s="1" t="str">
        <f>_xlfn.IFNA(VLOOKUP(Master_Reference[[#This Row],[C-Flex 5000K 3W Part Number]],Lutron_CFlex_Lookup[],MATCH("Lutron Kit PN",Lutron_CFlex_Lookup[#Headers],0),FALSE),"")</f>
        <v/>
      </c>
      <c r="AN334" s="1" t="b">
        <f>NOT(ISNA(VLOOKUP(Master_Reference[[#This Row],[Model Number]],ObsoleteModels[],1,FALSE)))</f>
        <v>1</v>
      </c>
      <c r="AO334" s="1" t="str">
        <f>IF(LEFT(Master_Reference[[#This Row],[Model Number]],1)="U",LEFT(Master_Reference[[#This Row],[Model Number]],4),LEFT(Master_Reference[[#This Row],[Model Number]],3))</f>
        <v>ECO</v>
      </c>
    </row>
    <row r="335" spans="1:41" x14ac:dyDescent="0.25">
      <c r="A335" s="2" t="s">
        <v>611</v>
      </c>
      <c r="B335" s="1"/>
      <c r="C335" s="1" t="b">
        <v>1</v>
      </c>
      <c r="G335" s="1" t="str">
        <f>IF(OR(LEFT(RIGHT(Master_Reference[[#This Row],[Model Number]],3),1)="C",LEFT(RIGHT(Master_Reference[[#This Row],[Model Number]],4),1)="C"),TRUE,"")</f>
        <v/>
      </c>
      <c r="H335" s="1" t="str">
        <f>IF(LEFT(Master_Reference[[#This Row],[Model Number]],1)="U",TRUE,"")</f>
        <v/>
      </c>
      <c r="I335" s="1" t="b">
        <f>IF(Master_Reference[[#This Row],[Lamp Type]]="T4","",IF(Master_Reference[[#This Row],[Case Type]]="M","",TRUE))</f>
        <v>1</v>
      </c>
      <c r="J335" s="1" t="s">
        <v>111</v>
      </c>
      <c r="K335" s="1">
        <v>32</v>
      </c>
      <c r="L335" s="1" t="s">
        <v>118</v>
      </c>
      <c r="M335" s="1">
        <v>3</v>
      </c>
      <c r="N335" s="1">
        <v>120</v>
      </c>
      <c r="O335" s="1" t="s">
        <v>144</v>
      </c>
      <c r="R335" t="b">
        <f>IF(COUNTBLANK(Master_Reference[[#This Row],[C-Flex 3000K Eco Part Number]:[C-Flex 4000K Eco Part Number]])=3,FALSE,TRUE)</f>
        <v>0</v>
      </c>
      <c r="S335" t="b">
        <f>IF(COUNTBLANK(Master_Reference[[#This Row],[C-Flex 3000K 3W Part Number]:[C-Flex 4000K 3W Part Number]])=3,FALSE,TRUE)</f>
        <v>1</v>
      </c>
      <c r="T335" t="b">
        <f>IF(COUNTBLANK(Master_Reference[[#This Row],[Lutron 3000K Eco Part Number]:[Lutron 4000K Eco Part Number]])=3,FALSE,TRUE)</f>
        <v>0</v>
      </c>
      <c r="U335" t="b">
        <f>IF(COUNTBLANK(Master_Reference[[#This Row],[Lutron 3000K 3W Part Number]:[Lutron 4000K 3W Part Number]])=3,FALSE,TRUE)</f>
        <v>1</v>
      </c>
      <c r="V335" s="12"/>
      <c r="W335" s="12"/>
      <c r="X335" s="12"/>
      <c r="Y335" t="s">
        <v>2125</v>
      </c>
      <c r="Z335" s="12" t="s">
        <v>277</v>
      </c>
      <c r="AA335" s="12" t="s">
        <v>278</v>
      </c>
      <c r="AB335" s="12" t="s">
        <v>279</v>
      </c>
      <c r="AC335" t="s">
        <v>1831</v>
      </c>
      <c r="AD335" t="str">
        <f>SUBSTITUTE(Master_Reference[[#This Row],[C-Flex 4000K Eco Part Number]],"40-","xx-")</f>
        <v/>
      </c>
      <c r="AE335" t="str">
        <f>SUBSTITUTE(Master_Reference[[#This Row],[C-Flex 4000K 3W Part Number]],"40-","xx-")</f>
        <v>RP-T8-4FT-3L-8xx-3W-M-G2</v>
      </c>
      <c r="AF335" s="1" t="str">
        <f>_xlfn.IFNA(VLOOKUP(Master_Reference[[#This Row],[C-Flex 3000K Eco Part Number]],Lutron_CFlex_Lookup[],MATCH("Lutron Kit PN",Lutron_CFlex_Lookup[#Headers],0),FALSE),"")</f>
        <v/>
      </c>
      <c r="AG335" s="1" t="str">
        <f>_xlfn.IFNA(VLOOKUP(Master_Reference[[#This Row],[C-Flex 3500K Eco Part Number]],Lutron_CFlex_Lookup[],MATCH("Lutron Kit PN",Lutron_CFlex_Lookup[#Headers],0),FALSE),"")</f>
        <v/>
      </c>
      <c r="AH335" s="1" t="str">
        <f>_xlfn.IFNA(VLOOKUP(Master_Reference[[#This Row],[C-Flex 4000K Eco Part Number]],Lutron_CFlex_Lookup[],MATCH("Lutron Kit PN",Lutron_CFlex_Lookup[#Headers],0),FALSE),"")</f>
        <v/>
      </c>
      <c r="AI335" s="1" t="str">
        <f>_xlfn.IFNA(VLOOKUP(Master_Reference[[#This Row],[C-Flex 5000K Eco Part Number]],Lutron_CFlex_Lookup[],MATCH("Lutron Kit PN",Lutron_CFlex_Lookup[#Headers],0),FALSE),"")</f>
        <v/>
      </c>
      <c r="AJ335" s="1" t="str">
        <f>_xlfn.IFNA(VLOOKUP(Master_Reference[[#This Row],[C-Flex 3000K 3W Part Number]],Lutron_CFlex_Lookup[],MATCH("Lutron Kit PN",Lutron_CFlex_Lookup[#Headers],0),FALSE),"")</f>
        <v>3LD4T8-3M30-q</v>
      </c>
      <c r="AK335" s="1" t="str">
        <f>_xlfn.IFNA(VLOOKUP(Master_Reference[[#This Row],[C-Flex 3500K 3W Part Number]],Lutron_CFlex_Lookup[],MATCH("Lutron Kit PN",Lutron_CFlex_Lookup[#Headers],0),FALSE),"")</f>
        <v>3LD4T8-3M35-q</v>
      </c>
      <c r="AL335" s="1" t="str">
        <f>_xlfn.IFNA(VLOOKUP(Master_Reference[[#This Row],[C-Flex 4000K 3W Part Number]],Lutron_CFlex_Lookup[],MATCH("Lutron Kit PN",Lutron_CFlex_Lookup[#Headers],0),FALSE),"")</f>
        <v>3LD4T8-3M40-q</v>
      </c>
      <c r="AM335" s="1" t="str">
        <f>_xlfn.IFNA(VLOOKUP(Master_Reference[[#This Row],[C-Flex 5000K 3W Part Number]],Lutron_CFlex_Lookup[],MATCH("Lutron Kit PN",Lutron_CFlex_Lookup[#Headers],0),FALSE),"")</f>
        <v>3LD4T8-3M50-q</v>
      </c>
      <c r="AN335" s="1" t="b">
        <f>NOT(ISNA(VLOOKUP(Master_Reference[[#This Row],[Model Number]],ObsoleteModels[],1,FALSE)))</f>
        <v>1</v>
      </c>
      <c r="AO335" s="1" t="str">
        <f>IF(LEFT(Master_Reference[[#This Row],[Model Number]],1)="U",LEFT(Master_Reference[[#This Row],[Model Number]],4),LEFT(Master_Reference[[#This Row],[Model Number]],3))</f>
        <v>ECO</v>
      </c>
    </row>
    <row r="336" spans="1:41" x14ac:dyDescent="0.25">
      <c r="A336" s="2" t="s">
        <v>612</v>
      </c>
      <c r="B336" s="1"/>
      <c r="C336" s="1" t="b">
        <v>1</v>
      </c>
      <c r="G336" s="1" t="str">
        <f>IF(OR(LEFT(RIGHT(Master_Reference[[#This Row],[Model Number]],3),1)="C",LEFT(RIGHT(Master_Reference[[#This Row],[Model Number]],4),1)="C"),TRUE,"")</f>
        <v/>
      </c>
      <c r="H336" s="1" t="str">
        <f>IF(LEFT(Master_Reference[[#This Row],[Model Number]],1)="U",TRUE,"")</f>
        <v/>
      </c>
      <c r="I336" s="1" t="b">
        <f>IF(Master_Reference[[#This Row],[Lamp Type]]="T4","",IF(Master_Reference[[#This Row],[Case Type]]="M","",TRUE))</f>
        <v>1</v>
      </c>
      <c r="J336" s="1" t="s">
        <v>111</v>
      </c>
      <c r="K336" s="1">
        <v>32</v>
      </c>
      <c r="L336" s="1" t="s">
        <v>118</v>
      </c>
      <c r="M336" s="1">
        <v>3</v>
      </c>
      <c r="N336" s="1">
        <v>120</v>
      </c>
      <c r="O336" s="1" t="s">
        <v>144</v>
      </c>
      <c r="Q336" s="1" t="s">
        <v>91</v>
      </c>
      <c r="R336" t="b">
        <f>IF(COUNTBLANK(Master_Reference[[#This Row],[C-Flex 3000K Eco Part Number]:[C-Flex 4000K Eco Part Number]])=3,FALSE,TRUE)</f>
        <v>0</v>
      </c>
      <c r="S336" t="b">
        <f>IF(COUNTBLANK(Master_Reference[[#This Row],[C-Flex 3000K 3W Part Number]:[C-Flex 4000K 3W Part Number]])=3,FALSE,TRUE)</f>
        <v>0</v>
      </c>
      <c r="T336" t="b">
        <f>IF(COUNTBLANK(Master_Reference[[#This Row],[Lutron 3000K Eco Part Number]:[Lutron 4000K Eco Part Number]])=3,FALSE,TRUE)</f>
        <v>0</v>
      </c>
      <c r="U336" t="b">
        <f>IF(COUNTBLANK(Master_Reference[[#This Row],[Lutron 3000K 3W Part Number]:[Lutron 4000K 3W Part Number]])=3,FALSE,TRUE)</f>
        <v>0</v>
      </c>
      <c r="V336" s="12"/>
      <c r="W336" s="12"/>
      <c r="X336" s="12"/>
      <c r="Y336" t="s">
        <v>2125</v>
      </c>
      <c r="Z336" s="12"/>
      <c r="AA336" s="12"/>
      <c r="AB336" s="12"/>
      <c r="AC336" t="s">
        <v>2125</v>
      </c>
      <c r="AD336" t="str">
        <f>SUBSTITUTE(Master_Reference[[#This Row],[C-Flex 4000K Eco Part Number]],"40-","xx-")</f>
        <v/>
      </c>
      <c r="AE336" t="str">
        <f>SUBSTITUTE(Master_Reference[[#This Row],[C-Flex 4000K 3W Part Number]],"40-","xx-")</f>
        <v/>
      </c>
      <c r="AF336" s="1" t="str">
        <f>_xlfn.IFNA(VLOOKUP(Master_Reference[[#This Row],[C-Flex 3000K Eco Part Number]],Lutron_CFlex_Lookup[],MATCH("Lutron Kit PN",Lutron_CFlex_Lookup[#Headers],0),FALSE),"")</f>
        <v/>
      </c>
      <c r="AG336" s="1" t="str">
        <f>_xlfn.IFNA(VLOOKUP(Master_Reference[[#This Row],[C-Flex 3500K Eco Part Number]],Lutron_CFlex_Lookup[],MATCH("Lutron Kit PN",Lutron_CFlex_Lookup[#Headers],0),FALSE),"")</f>
        <v/>
      </c>
      <c r="AH336" s="1" t="str">
        <f>_xlfn.IFNA(VLOOKUP(Master_Reference[[#This Row],[C-Flex 4000K Eco Part Number]],Lutron_CFlex_Lookup[],MATCH("Lutron Kit PN",Lutron_CFlex_Lookup[#Headers],0),FALSE),"")</f>
        <v/>
      </c>
      <c r="AI336" s="1" t="str">
        <f>_xlfn.IFNA(VLOOKUP(Master_Reference[[#This Row],[C-Flex 5000K Eco Part Number]],Lutron_CFlex_Lookup[],MATCH("Lutron Kit PN",Lutron_CFlex_Lookup[#Headers],0),FALSE),"")</f>
        <v/>
      </c>
      <c r="AJ336" s="1" t="str">
        <f>_xlfn.IFNA(VLOOKUP(Master_Reference[[#This Row],[C-Flex 3000K 3W Part Number]],Lutron_CFlex_Lookup[],MATCH("Lutron Kit PN",Lutron_CFlex_Lookup[#Headers],0),FALSE),"")</f>
        <v/>
      </c>
      <c r="AK336" s="1" t="str">
        <f>_xlfn.IFNA(VLOOKUP(Master_Reference[[#This Row],[C-Flex 3500K 3W Part Number]],Lutron_CFlex_Lookup[],MATCH("Lutron Kit PN",Lutron_CFlex_Lookup[#Headers],0),FALSE),"")</f>
        <v/>
      </c>
      <c r="AL336" s="1" t="str">
        <f>_xlfn.IFNA(VLOOKUP(Master_Reference[[#This Row],[C-Flex 4000K 3W Part Number]],Lutron_CFlex_Lookup[],MATCH("Lutron Kit PN",Lutron_CFlex_Lookup[#Headers],0),FALSE),"")</f>
        <v/>
      </c>
      <c r="AM336" s="1" t="str">
        <f>_xlfn.IFNA(VLOOKUP(Master_Reference[[#This Row],[C-Flex 5000K 3W Part Number]],Lutron_CFlex_Lookup[],MATCH("Lutron Kit PN",Lutron_CFlex_Lookup[#Headers],0),FALSE),"")</f>
        <v/>
      </c>
      <c r="AN336" s="1" t="b">
        <f>NOT(ISNA(VLOOKUP(Master_Reference[[#This Row],[Model Number]],ObsoleteModels[],1,FALSE)))</f>
        <v>1</v>
      </c>
      <c r="AO336" s="1" t="str">
        <f>IF(LEFT(Master_Reference[[#This Row],[Model Number]],1)="U",LEFT(Master_Reference[[#This Row],[Model Number]],4),LEFT(Master_Reference[[#This Row],[Model Number]],3))</f>
        <v>ECO</v>
      </c>
    </row>
    <row r="337" spans="1:41" x14ac:dyDescent="0.25">
      <c r="A337" s="2" t="s">
        <v>613</v>
      </c>
      <c r="B337" s="1"/>
      <c r="C337" s="1" t="b">
        <v>1</v>
      </c>
      <c r="G337" s="1" t="str">
        <f>IF(OR(LEFT(RIGHT(Master_Reference[[#This Row],[Model Number]],3),1)="C",LEFT(RIGHT(Master_Reference[[#This Row],[Model Number]],4),1)="C"),TRUE,"")</f>
        <v/>
      </c>
      <c r="H337" s="1" t="str">
        <f>IF(LEFT(Master_Reference[[#This Row],[Model Number]],1)="U",TRUE,"")</f>
        <v/>
      </c>
      <c r="I337" s="1" t="b">
        <f>IF(Master_Reference[[#This Row],[Lamp Type]]="T4","",IF(Master_Reference[[#This Row],[Case Type]]="M","",TRUE))</f>
        <v>1</v>
      </c>
      <c r="J337" s="1" t="s">
        <v>111</v>
      </c>
      <c r="K337" s="1">
        <v>32</v>
      </c>
      <c r="L337" s="1" t="s">
        <v>118</v>
      </c>
      <c r="M337" s="1">
        <v>2</v>
      </c>
      <c r="N337" s="1">
        <v>240</v>
      </c>
      <c r="O337" s="1" t="s">
        <v>144</v>
      </c>
      <c r="Q337" s="1" t="s">
        <v>456</v>
      </c>
      <c r="R337" t="b">
        <f>IF(COUNTBLANK(Master_Reference[[#This Row],[C-Flex 3000K Eco Part Number]:[C-Flex 4000K Eco Part Number]])=3,FALSE,TRUE)</f>
        <v>0</v>
      </c>
      <c r="S337" t="b">
        <f>IF(COUNTBLANK(Master_Reference[[#This Row],[C-Flex 3000K 3W Part Number]:[C-Flex 4000K 3W Part Number]])=3,FALSE,TRUE)</f>
        <v>0</v>
      </c>
      <c r="T337" t="b">
        <f>IF(COUNTBLANK(Master_Reference[[#This Row],[Lutron 3000K Eco Part Number]:[Lutron 4000K Eco Part Number]])=3,FALSE,TRUE)</f>
        <v>0</v>
      </c>
      <c r="U337" t="b">
        <f>IF(COUNTBLANK(Master_Reference[[#This Row],[Lutron 3000K 3W Part Number]:[Lutron 4000K 3W Part Number]])=3,FALSE,TRUE)</f>
        <v>0</v>
      </c>
      <c r="V337" s="12"/>
      <c r="W337" s="12"/>
      <c r="X337" s="12"/>
      <c r="Y337" t="s">
        <v>2125</v>
      </c>
      <c r="Z337" s="12"/>
      <c r="AA337" s="12"/>
      <c r="AB337" s="12"/>
      <c r="AC337" t="s">
        <v>2125</v>
      </c>
      <c r="AD337" t="str">
        <f>SUBSTITUTE(Master_Reference[[#This Row],[C-Flex 4000K Eco Part Number]],"40-","xx-")</f>
        <v/>
      </c>
      <c r="AE337" t="str">
        <f>SUBSTITUTE(Master_Reference[[#This Row],[C-Flex 4000K 3W Part Number]],"40-","xx-")</f>
        <v/>
      </c>
      <c r="AF337" s="1" t="str">
        <f>_xlfn.IFNA(VLOOKUP(Master_Reference[[#This Row],[C-Flex 3000K Eco Part Number]],Lutron_CFlex_Lookup[],MATCH("Lutron Kit PN",Lutron_CFlex_Lookup[#Headers],0),FALSE),"")</f>
        <v/>
      </c>
      <c r="AG337" s="1" t="str">
        <f>_xlfn.IFNA(VLOOKUP(Master_Reference[[#This Row],[C-Flex 3500K Eco Part Number]],Lutron_CFlex_Lookup[],MATCH("Lutron Kit PN",Lutron_CFlex_Lookup[#Headers],0),FALSE),"")</f>
        <v/>
      </c>
      <c r="AH337" s="1" t="str">
        <f>_xlfn.IFNA(VLOOKUP(Master_Reference[[#This Row],[C-Flex 4000K Eco Part Number]],Lutron_CFlex_Lookup[],MATCH("Lutron Kit PN",Lutron_CFlex_Lookup[#Headers],0),FALSE),"")</f>
        <v/>
      </c>
      <c r="AI337" s="1" t="str">
        <f>_xlfn.IFNA(VLOOKUP(Master_Reference[[#This Row],[C-Flex 5000K Eco Part Number]],Lutron_CFlex_Lookup[],MATCH("Lutron Kit PN",Lutron_CFlex_Lookup[#Headers],0),FALSE),"")</f>
        <v/>
      </c>
      <c r="AJ337" s="1" t="str">
        <f>_xlfn.IFNA(VLOOKUP(Master_Reference[[#This Row],[C-Flex 3000K 3W Part Number]],Lutron_CFlex_Lookup[],MATCH("Lutron Kit PN",Lutron_CFlex_Lookup[#Headers],0),FALSE),"")</f>
        <v/>
      </c>
      <c r="AK337" s="1" t="str">
        <f>_xlfn.IFNA(VLOOKUP(Master_Reference[[#This Row],[C-Flex 3500K 3W Part Number]],Lutron_CFlex_Lookup[],MATCH("Lutron Kit PN",Lutron_CFlex_Lookup[#Headers],0),FALSE),"")</f>
        <v/>
      </c>
      <c r="AL337" s="1" t="str">
        <f>_xlfn.IFNA(VLOOKUP(Master_Reference[[#This Row],[C-Flex 4000K 3W Part Number]],Lutron_CFlex_Lookup[],MATCH("Lutron Kit PN",Lutron_CFlex_Lookup[#Headers],0),FALSE),"")</f>
        <v/>
      </c>
      <c r="AM337" s="1" t="str">
        <f>_xlfn.IFNA(VLOOKUP(Master_Reference[[#This Row],[C-Flex 5000K 3W Part Number]],Lutron_CFlex_Lookup[],MATCH("Lutron Kit PN",Lutron_CFlex_Lookup[#Headers],0),FALSE),"")</f>
        <v/>
      </c>
      <c r="AN337" s="1" t="b">
        <f>NOT(ISNA(VLOOKUP(Master_Reference[[#This Row],[Model Number]],ObsoleteModels[],1,FALSE)))</f>
        <v>1</v>
      </c>
      <c r="AO337" s="1" t="str">
        <f>IF(LEFT(Master_Reference[[#This Row],[Model Number]],1)="U",LEFT(Master_Reference[[#This Row],[Model Number]],4),LEFT(Master_Reference[[#This Row],[Model Number]],3))</f>
        <v>ECO</v>
      </c>
    </row>
    <row r="338" spans="1:41" x14ac:dyDescent="0.25">
      <c r="A338" s="2" t="s">
        <v>614</v>
      </c>
      <c r="B338" s="1"/>
      <c r="C338" s="1" t="b">
        <v>1</v>
      </c>
      <c r="G338" s="1" t="str">
        <f>IF(OR(LEFT(RIGHT(Master_Reference[[#This Row],[Model Number]],3),1)="C",LEFT(RIGHT(Master_Reference[[#This Row],[Model Number]],4),1)="C"),TRUE,"")</f>
        <v/>
      </c>
      <c r="H338" s="1" t="str">
        <f>IF(LEFT(Master_Reference[[#This Row],[Model Number]],1)="U",TRUE,"")</f>
        <v/>
      </c>
      <c r="I338" s="1" t="b">
        <f>IF(Master_Reference[[#This Row],[Lamp Type]]="T4","",IF(Master_Reference[[#This Row],[Case Type]]="M","",TRUE))</f>
        <v>1</v>
      </c>
      <c r="J338" s="1" t="s">
        <v>111</v>
      </c>
      <c r="K338" s="1">
        <v>32</v>
      </c>
      <c r="L338" s="1" t="s">
        <v>118</v>
      </c>
      <c r="M338" s="1">
        <v>1</v>
      </c>
      <c r="N338" s="1">
        <v>277</v>
      </c>
      <c r="O338" s="1" t="s">
        <v>144</v>
      </c>
      <c r="R338" t="b">
        <f>IF(COUNTBLANK(Master_Reference[[#This Row],[C-Flex 3000K Eco Part Number]:[C-Flex 4000K Eco Part Number]])=3,FALSE,TRUE)</f>
        <v>0</v>
      </c>
      <c r="S338" t="b">
        <f>IF(COUNTBLANK(Master_Reference[[#This Row],[C-Flex 3000K 3W Part Number]:[C-Flex 4000K 3W Part Number]])=3,FALSE,TRUE)</f>
        <v>1</v>
      </c>
      <c r="T338" t="b">
        <f>IF(COUNTBLANK(Master_Reference[[#This Row],[Lutron 3000K Eco Part Number]:[Lutron 4000K Eco Part Number]])=3,FALSE,TRUE)</f>
        <v>0</v>
      </c>
      <c r="U338" t="b">
        <f>IF(COUNTBLANK(Master_Reference[[#This Row],[Lutron 3000K 3W Part Number]:[Lutron 4000K 3W Part Number]])=3,FALSE,TRUE)</f>
        <v>1</v>
      </c>
      <c r="V338" s="12"/>
      <c r="W338" s="12"/>
      <c r="X338" s="12"/>
      <c r="Y338" t="s">
        <v>2125</v>
      </c>
      <c r="Z338" s="12" t="s">
        <v>264</v>
      </c>
      <c r="AA338" s="12" t="s">
        <v>265</v>
      </c>
      <c r="AB338" s="12" t="s">
        <v>266</v>
      </c>
      <c r="AC338" t="s">
        <v>1829</v>
      </c>
      <c r="AD338" t="str">
        <f>SUBSTITUTE(Master_Reference[[#This Row],[C-Flex 4000K Eco Part Number]],"40-","xx-")</f>
        <v/>
      </c>
      <c r="AE338" t="str">
        <f>SUBSTITUTE(Master_Reference[[#This Row],[C-Flex 4000K 3W Part Number]],"40-","xx-")</f>
        <v>RP-T8-4FT-1L-8xx-3W-M-G2</v>
      </c>
      <c r="AF338" s="1" t="str">
        <f>_xlfn.IFNA(VLOOKUP(Master_Reference[[#This Row],[C-Flex 3000K Eco Part Number]],Lutron_CFlex_Lookup[],MATCH("Lutron Kit PN",Lutron_CFlex_Lookup[#Headers],0),FALSE),"")</f>
        <v/>
      </c>
      <c r="AG338" s="1" t="str">
        <f>_xlfn.IFNA(VLOOKUP(Master_Reference[[#This Row],[C-Flex 3500K Eco Part Number]],Lutron_CFlex_Lookup[],MATCH("Lutron Kit PN",Lutron_CFlex_Lookup[#Headers],0),FALSE),"")</f>
        <v/>
      </c>
      <c r="AH338" s="1" t="str">
        <f>_xlfn.IFNA(VLOOKUP(Master_Reference[[#This Row],[C-Flex 4000K Eco Part Number]],Lutron_CFlex_Lookup[],MATCH("Lutron Kit PN",Lutron_CFlex_Lookup[#Headers],0),FALSE),"")</f>
        <v/>
      </c>
      <c r="AI338" s="1" t="str">
        <f>_xlfn.IFNA(VLOOKUP(Master_Reference[[#This Row],[C-Flex 5000K Eco Part Number]],Lutron_CFlex_Lookup[],MATCH("Lutron Kit PN",Lutron_CFlex_Lookup[#Headers],0),FALSE),"")</f>
        <v/>
      </c>
      <c r="AJ338" s="1" t="str">
        <f>_xlfn.IFNA(VLOOKUP(Master_Reference[[#This Row],[C-Flex 3000K 3W Part Number]],Lutron_CFlex_Lookup[],MATCH("Lutron Kit PN",Lutron_CFlex_Lookup[#Headers],0),FALSE),"")</f>
        <v>3LD4T8-1M30-q</v>
      </c>
      <c r="AK338" s="1" t="str">
        <f>_xlfn.IFNA(VLOOKUP(Master_Reference[[#This Row],[C-Flex 3500K 3W Part Number]],Lutron_CFlex_Lookup[],MATCH("Lutron Kit PN",Lutron_CFlex_Lookup[#Headers],0),FALSE),"")</f>
        <v>3LD4T8-1M35-q</v>
      </c>
      <c r="AL338" s="1" t="str">
        <f>_xlfn.IFNA(VLOOKUP(Master_Reference[[#This Row],[C-Flex 4000K 3W Part Number]],Lutron_CFlex_Lookup[],MATCH("Lutron Kit PN",Lutron_CFlex_Lookup[#Headers],0),FALSE),"")</f>
        <v>3LD4T8-1M40-q</v>
      </c>
      <c r="AM338" s="1" t="str">
        <f>_xlfn.IFNA(VLOOKUP(Master_Reference[[#This Row],[C-Flex 5000K 3W Part Number]],Lutron_CFlex_Lookup[],MATCH("Lutron Kit PN",Lutron_CFlex_Lookup[#Headers],0),FALSE),"")</f>
        <v>3LD4T8-1M50-q</v>
      </c>
      <c r="AN338" s="1" t="b">
        <f>NOT(ISNA(VLOOKUP(Master_Reference[[#This Row],[Model Number]],ObsoleteModels[],1,FALSE)))</f>
        <v>1</v>
      </c>
      <c r="AO338" s="1" t="str">
        <f>IF(LEFT(Master_Reference[[#This Row],[Model Number]],1)="U",LEFT(Master_Reference[[#This Row],[Model Number]],4),LEFT(Master_Reference[[#This Row],[Model Number]],3))</f>
        <v>ECO</v>
      </c>
    </row>
    <row r="339" spans="1:41" x14ac:dyDescent="0.25">
      <c r="A339" s="2" t="s">
        <v>615</v>
      </c>
      <c r="B339" s="1"/>
      <c r="C339" s="1" t="b">
        <v>1</v>
      </c>
      <c r="G339" s="1" t="str">
        <f>IF(OR(LEFT(RIGHT(Master_Reference[[#This Row],[Model Number]],3),1)="C",LEFT(RIGHT(Master_Reference[[#This Row],[Model Number]],4),1)="C"),TRUE,"")</f>
        <v/>
      </c>
      <c r="H339" s="1" t="str">
        <f>IF(LEFT(Master_Reference[[#This Row],[Model Number]],1)="U",TRUE,"")</f>
        <v/>
      </c>
      <c r="I339" s="1" t="b">
        <f>IF(Master_Reference[[#This Row],[Lamp Type]]="T4","",IF(Master_Reference[[#This Row],[Case Type]]="M","",TRUE))</f>
        <v>1</v>
      </c>
      <c r="J339" s="1" t="s">
        <v>111</v>
      </c>
      <c r="K339" s="1">
        <v>32</v>
      </c>
      <c r="L339" s="1" t="s">
        <v>118</v>
      </c>
      <c r="M339" s="1">
        <v>1</v>
      </c>
      <c r="N339" s="1">
        <v>277</v>
      </c>
      <c r="O339" s="1" t="s">
        <v>602</v>
      </c>
      <c r="R339" t="b">
        <f>IF(COUNTBLANK(Master_Reference[[#This Row],[C-Flex 3000K Eco Part Number]:[C-Flex 4000K Eco Part Number]])=3,FALSE,TRUE)</f>
        <v>0</v>
      </c>
      <c r="S339" t="b">
        <f>IF(COUNTBLANK(Master_Reference[[#This Row],[C-Flex 3000K 3W Part Number]:[C-Flex 4000K 3W Part Number]])=3,FALSE,TRUE)</f>
        <v>1</v>
      </c>
      <c r="T339" t="b">
        <f>IF(COUNTBLANK(Master_Reference[[#This Row],[Lutron 3000K Eco Part Number]:[Lutron 4000K Eco Part Number]])=3,FALSE,TRUE)</f>
        <v>0</v>
      </c>
      <c r="U339" t="b">
        <f>IF(COUNTBLANK(Master_Reference[[#This Row],[Lutron 3000K 3W Part Number]:[Lutron 4000K 3W Part Number]])=3,FALSE,TRUE)</f>
        <v>1</v>
      </c>
      <c r="V339" s="12"/>
      <c r="W339" s="12"/>
      <c r="X339" s="12"/>
      <c r="Y339" t="s">
        <v>2125</v>
      </c>
      <c r="Z339" s="12" t="s">
        <v>264</v>
      </c>
      <c r="AA339" s="12" t="s">
        <v>265</v>
      </c>
      <c r="AB339" s="12" t="s">
        <v>266</v>
      </c>
      <c r="AC339" t="s">
        <v>1829</v>
      </c>
      <c r="AD339" t="str">
        <f>SUBSTITUTE(Master_Reference[[#This Row],[C-Flex 4000K Eco Part Number]],"40-","xx-")</f>
        <v/>
      </c>
      <c r="AE339" t="str">
        <f>SUBSTITUTE(Master_Reference[[#This Row],[C-Flex 4000K 3W Part Number]],"40-","xx-")</f>
        <v>RP-T8-4FT-1L-8xx-3W-M-G2</v>
      </c>
      <c r="AF339" s="1" t="str">
        <f>_xlfn.IFNA(VLOOKUP(Master_Reference[[#This Row],[C-Flex 3000K Eco Part Number]],Lutron_CFlex_Lookup[],MATCH("Lutron Kit PN",Lutron_CFlex_Lookup[#Headers],0),FALSE),"")</f>
        <v/>
      </c>
      <c r="AG339" s="1" t="str">
        <f>_xlfn.IFNA(VLOOKUP(Master_Reference[[#This Row],[C-Flex 3500K Eco Part Number]],Lutron_CFlex_Lookup[],MATCH("Lutron Kit PN",Lutron_CFlex_Lookup[#Headers],0),FALSE),"")</f>
        <v/>
      </c>
      <c r="AH339" s="1" t="str">
        <f>_xlfn.IFNA(VLOOKUP(Master_Reference[[#This Row],[C-Flex 4000K Eco Part Number]],Lutron_CFlex_Lookup[],MATCH("Lutron Kit PN",Lutron_CFlex_Lookup[#Headers],0),FALSE),"")</f>
        <v/>
      </c>
      <c r="AI339" s="1" t="str">
        <f>_xlfn.IFNA(VLOOKUP(Master_Reference[[#This Row],[C-Flex 5000K Eco Part Number]],Lutron_CFlex_Lookup[],MATCH("Lutron Kit PN",Lutron_CFlex_Lookup[#Headers],0),FALSE),"")</f>
        <v/>
      </c>
      <c r="AJ339" s="1" t="str">
        <f>_xlfn.IFNA(VLOOKUP(Master_Reference[[#This Row],[C-Flex 3000K 3W Part Number]],Lutron_CFlex_Lookup[],MATCH("Lutron Kit PN",Lutron_CFlex_Lookup[#Headers],0),FALSE),"")</f>
        <v>3LD4T8-1M30-q</v>
      </c>
      <c r="AK339" s="1" t="str">
        <f>_xlfn.IFNA(VLOOKUP(Master_Reference[[#This Row],[C-Flex 3500K 3W Part Number]],Lutron_CFlex_Lookup[],MATCH("Lutron Kit PN",Lutron_CFlex_Lookup[#Headers],0),FALSE),"")</f>
        <v>3LD4T8-1M35-q</v>
      </c>
      <c r="AL339" s="1" t="str">
        <f>_xlfn.IFNA(VLOOKUP(Master_Reference[[#This Row],[C-Flex 4000K 3W Part Number]],Lutron_CFlex_Lookup[],MATCH("Lutron Kit PN",Lutron_CFlex_Lookup[#Headers],0),FALSE),"")</f>
        <v>3LD4T8-1M40-q</v>
      </c>
      <c r="AM339" s="1" t="str">
        <f>_xlfn.IFNA(VLOOKUP(Master_Reference[[#This Row],[C-Flex 5000K 3W Part Number]],Lutron_CFlex_Lookup[],MATCH("Lutron Kit PN",Lutron_CFlex_Lookup[#Headers],0),FALSE),"")</f>
        <v>3LD4T8-1M50-q</v>
      </c>
      <c r="AN339" s="1" t="b">
        <f>NOT(ISNA(VLOOKUP(Master_Reference[[#This Row],[Model Number]],ObsoleteModels[],1,FALSE)))</f>
        <v>1</v>
      </c>
      <c r="AO339" s="1" t="str">
        <f>IF(LEFT(Master_Reference[[#This Row],[Model Number]],1)="U",LEFT(Master_Reference[[#This Row],[Model Number]],4),LEFT(Master_Reference[[#This Row],[Model Number]],3))</f>
        <v>ECO</v>
      </c>
    </row>
    <row r="340" spans="1:41" x14ac:dyDescent="0.25">
      <c r="A340" s="2" t="s">
        <v>616</v>
      </c>
      <c r="B340" s="1"/>
      <c r="C340" s="1" t="b">
        <v>1</v>
      </c>
      <c r="G340" s="1" t="str">
        <f>IF(OR(LEFT(RIGHT(Master_Reference[[#This Row],[Model Number]],3),1)="C",LEFT(RIGHT(Master_Reference[[#This Row],[Model Number]],4),1)="C"),TRUE,"")</f>
        <v/>
      </c>
      <c r="H340" s="1" t="str">
        <f>IF(LEFT(Master_Reference[[#This Row],[Model Number]],1)="U",TRUE,"")</f>
        <v/>
      </c>
      <c r="I340" s="1" t="b">
        <f>IF(Master_Reference[[#This Row],[Lamp Type]]="T4","",IF(Master_Reference[[#This Row],[Case Type]]="M","",TRUE))</f>
        <v>1</v>
      </c>
      <c r="J340" s="1" t="s">
        <v>111</v>
      </c>
      <c r="K340" s="1">
        <v>32</v>
      </c>
      <c r="L340" s="1" t="s">
        <v>118</v>
      </c>
      <c r="M340" s="1">
        <v>1</v>
      </c>
      <c r="N340" s="1">
        <v>277</v>
      </c>
      <c r="O340" s="1" t="s">
        <v>602</v>
      </c>
      <c r="Q340" s="1" t="s">
        <v>91</v>
      </c>
      <c r="R340" t="b">
        <f>IF(COUNTBLANK(Master_Reference[[#This Row],[C-Flex 3000K Eco Part Number]:[C-Flex 4000K Eco Part Number]])=3,FALSE,TRUE)</f>
        <v>0</v>
      </c>
      <c r="S340" t="b">
        <f>IF(COUNTBLANK(Master_Reference[[#This Row],[C-Flex 3000K 3W Part Number]:[C-Flex 4000K 3W Part Number]])=3,FALSE,TRUE)</f>
        <v>0</v>
      </c>
      <c r="T340" t="b">
        <f>IF(COUNTBLANK(Master_Reference[[#This Row],[Lutron 3000K Eco Part Number]:[Lutron 4000K Eco Part Number]])=3,FALSE,TRUE)</f>
        <v>0</v>
      </c>
      <c r="U340" t="b">
        <f>IF(COUNTBLANK(Master_Reference[[#This Row],[Lutron 3000K 3W Part Number]:[Lutron 4000K 3W Part Number]])=3,FALSE,TRUE)</f>
        <v>0</v>
      </c>
      <c r="V340" s="12"/>
      <c r="W340" s="12"/>
      <c r="X340" s="12"/>
      <c r="Y340" t="s">
        <v>2125</v>
      </c>
      <c r="Z340" s="12"/>
      <c r="AA340" s="12"/>
      <c r="AB340" s="12"/>
      <c r="AC340" t="s">
        <v>2125</v>
      </c>
      <c r="AD340" t="str">
        <f>SUBSTITUTE(Master_Reference[[#This Row],[C-Flex 4000K Eco Part Number]],"40-","xx-")</f>
        <v/>
      </c>
      <c r="AE340" t="str">
        <f>SUBSTITUTE(Master_Reference[[#This Row],[C-Flex 4000K 3W Part Number]],"40-","xx-")</f>
        <v/>
      </c>
      <c r="AF340" s="1" t="str">
        <f>_xlfn.IFNA(VLOOKUP(Master_Reference[[#This Row],[C-Flex 3000K Eco Part Number]],Lutron_CFlex_Lookup[],MATCH("Lutron Kit PN",Lutron_CFlex_Lookup[#Headers],0),FALSE),"")</f>
        <v/>
      </c>
      <c r="AG340" s="1" t="str">
        <f>_xlfn.IFNA(VLOOKUP(Master_Reference[[#This Row],[C-Flex 3500K Eco Part Number]],Lutron_CFlex_Lookup[],MATCH("Lutron Kit PN",Lutron_CFlex_Lookup[#Headers],0),FALSE),"")</f>
        <v/>
      </c>
      <c r="AH340" s="1" t="str">
        <f>_xlfn.IFNA(VLOOKUP(Master_Reference[[#This Row],[C-Flex 4000K Eco Part Number]],Lutron_CFlex_Lookup[],MATCH("Lutron Kit PN",Lutron_CFlex_Lookup[#Headers],0),FALSE),"")</f>
        <v/>
      </c>
      <c r="AI340" s="1" t="str">
        <f>_xlfn.IFNA(VLOOKUP(Master_Reference[[#This Row],[C-Flex 5000K Eco Part Number]],Lutron_CFlex_Lookup[],MATCH("Lutron Kit PN",Lutron_CFlex_Lookup[#Headers],0),FALSE),"")</f>
        <v/>
      </c>
      <c r="AJ340" s="1" t="str">
        <f>_xlfn.IFNA(VLOOKUP(Master_Reference[[#This Row],[C-Flex 3000K 3W Part Number]],Lutron_CFlex_Lookup[],MATCH("Lutron Kit PN",Lutron_CFlex_Lookup[#Headers],0),FALSE),"")</f>
        <v/>
      </c>
      <c r="AK340" s="1" t="str">
        <f>_xlfn.IFNA(VLOOKUP(Master_Reference[[#This Row],[C-Flex 3500K 3W Part Number]],Lutron_CFlex_Lookup[],MATCH("Lutron Kit PN",Lutron_CFlex_Lookup[#Headers],0),FALSE),"")</f>
        <v/>
      </c>
      <c r="AL340" s="1" t="str">
        <f>_xlfn.IFNA(VLOOKUP(Master_Reference[[#This Row],[C-Flex 4000K 3W Part Number]],Lutron_CFlex_Lookup[],MATCH("Lutron Kit PN",Lutron_CFlex_Lookup[#Headers],0),FALSE),"")</f>
        <v/>
      </c>
      <c r="AM340" s="1" t="str">
        <f>_xlfn.IFNA(VLOOKUP(Master_Reference[[#This Row],[C-Flex 5000K 3W Part Number]],Lutron_CFlex_Lookup[],MATCH("Lutron Kit PN",Lutron_CFlex_Lookup[#Headers],0),FALSE),"")</f>
        <v/>
      </c>
      <c r="AN340" s="1" t="b">
        <f>NOT(ISNA(VLOOKUP(Master_Reference[[#This Row],[Model Number]],ObsoleteModels[],1,FALSE)))</f>
        <v>1</v>
      </c>
      <c r="AO340" s="1" t="str">
        <f>IF(LEFT(Master_Reference[[#This Row],[Model Number]],1)="U",LEFT(Master_Reference[[#This Row],[Model Number]],4),LEFT(Master_Reference[[#This Row],[Model Number]],3))</f>
        <v>ECO</v>
      </c>
    </row>
    <row r="341" spans="1:41" x14ac:dyDescent="0.25">
      <c r="A341" s="2" t="s">
        <v>617</v>
      </c>
      <c r="B341" s="1"/>
      <c r="C341" s="1" t="b">
        <v>1</v>
      </c>
      <c r="G341" s="1" t="str">
        <f>IF(OR(LEFT(RIGHT(Master_Reference[[#This Row],[Model Number]],3),1)="C",LEFT(RIGHT(Master_Reference[[#This Row],[Model Number]],4),1)="C"),TRUE,"")</f>
        <v/>
      </c>
      <c r="H341" s="1" t="str">
        <f>IF(LEFT(Master_Reference[[#This Row],[Model Number]],1)="U",TRUE,"")</f>
        <v/>
      </c>
      <c r="I341" s="1" t="b">
        <f>IF(Master_Reference[[#This Row],[Lamp Type]]="T4","",IF(Master_Reference[[#This Row],[Case Type]]="M","",TRUE))</f>
        <v>1</v>
      </c>
      <c r="J341" s="1" t="s">
        <v>111</v>
      </c>
      <c r="K341" s="1">
        <v>32</v>
      </c>
      <c r="L341" s="1" t="s">
        <v>118</v>
      </c>
      <c r="M341" s="1">
        <v>1</v>
      </c>
      <c r="N341" s="1">
        <v>277</v>
      </c>
      <c r="O341" s="1" t="s">
        <v>602</v>
      </c>
      <c r="R341" t="b">
        <f>IF(COUNTBLANK(Master_Reference[[#This Row],[C-Flex 3000K Eco Part Number]:[C-Flex 4000K Eco Part Number]])=3,FALSE,TRUE)</f>
        <v>0</v>
      </c>
      <c r="S341" t="b">
        <f>IF(COUNTBLANK(Master_Reference[[#This Row],[C-Flex 3000K 3W Part Number]:[C-Flex 4000K 3W Part Number]])=3,FALSE,TRUE)</f>
        <v>1</v>
      </c>
      <c r="T341" t="b">
        <f>IF(COUNTBLANK(Master_Reference[[#This Row],[Lutron 3000K Eco Part Number]:[Lutron 4000K Eco Part Number]])=3,FALSE,TRUE)</f>
        <v>0</v>
      </c>
      <c r="U341" t="b">
        <f>IF(COUNTBLANK(Master_Reference[[#This Row],[Lutron 3000K 3W Part Number]:[Lutron 4000K 3W Part Number]])=3,FALSE,TRUE)</f>
        <v>1</v>
      </c>
      <c r="V341" s="12"/>
      <c r="W341" s="12"/>
      <c r="X341" s="12"/>
      <c r="Y341" t="s">
        <v>2125</v>
      </c>
      <c r="Z341" s="12" t="s">
        <v>264</v>
      </c>
      <c r="AA341" s="12" t="s">
        <v>265</v>
      </c>
      <c r="AB341" s="12" t="s">
        <v>266</v>
      </c>
      <c r="AC341" t="s">
        <v>1829</v>
      </c>
      <c r="AD341" t="str">
        <f>SUBSTITUTE(Master_Reference[[#This Row],[C-Flex 4000K Eco Part Number]],"40-","xx-")</f>
        <v/>
      </c>
      <c r="AE341" t="str">
        <f>SUBSTITUTE(Master_Reference[[#This Row],[C-Flex 4000K 3W Part Number]],"40-","xx-")</f>
        <v>RP-T8-4FT-1L-8xx-3W-M-G2</v>
      </c>
      <c r="AF341" s="1" t="str">
        <f>_xlfn.IFNA(VLOOKUP(Master_Reference[[#This Row],[C-Flex 3000K Eco Part Number]],Lutron_CFlex_Lookup[],MATCH("Lutron Kit PN",Lutron_CFlex_Lookup[#Headers],0),FALSE),"")</f>
        <v/>
      </c>
      <c r="AG341" s="1" t="str">
        <f>_xlfn.IFNA(VLOOKUP(Master_Reference[[#This Row],[C-Flex 3500K Eco Part Number]],Lutron_CFlex_Lookup[],MATCH("Lutron Kit PN",Lutron_CFlex_Lookup[#Headers],0),FALSE),"")</f>
        <v/>
      </c>
      <c r="AH341" s="1" t="str">
        <f>_xlfn.IFNA(VLOOKUP(Master_Reference[[#This Row],[C-Flex 4000K Eco Part Number]],Lutron_CFlex_Lookup[],MATCH("Lutron Kit PN",Lutron_CFlex_Lookup[#Headers],0),FALSE),"")</f>
        <v/>
      </c>
      <c r="AI341" s="1" t="str">
        <f>_xlfn.IFNA(VLOOKUP(Master_Reference[[#This Row],[C-Flex 5000K Eco Part Number]],Lutron_CFlex_Lookup[],MATCH("Lutron Kit PN",Lutron_CFlex_Lookup[#Headers],0),FALSE),"")</f>
        <v/>
      </c>
      <c r="AJ341" s="1" t="str">
        <f>_xlfn.IFNA(VLOOKUP(Master_Reference[[#This Row],[C-Flex 3000K 3W Part Number]],Lutron_CFlex_Lookup[],MATCH("Lutron Kit PN",Lutron_CFlex_Lookup[#Headers],0),FALSE),"")</f>
        <v>3LD4T8-1M30-q</v>
      </c>
      <c r="AK341" s="1" t="str">
        <f>_xlfn.IFNA(VLOOKUP(Master_Reference[[#This Row],[C-Flex 3500K 3W Part Number]],Lutron_CFlex_Lookup[],MATCH("Lutron Kit PN",Lutron_CFlex_Lookup[#Headers],0),FALSE),"")</f>
        <v>3LD4T8-1M35-q</v>
      </c>
      <c r="AL341" s="1" t="str">
        <f>_xlfn.IFNA(VLOOKUP(Master_Reference[[#This Row],[C-Flex 4000K 3W Part Number]],Lutron_CFlex_Lookup[],MATCH("Lutron Kit PN",Lutron_CFlex_Lookup[#Headers],0),FALSE),"")</f>
        <v>3LD4T8-1M40-q</v>
      </c>
      <c r="AM341" s="1" t="str">
        <f>_xlfn.IFNA(VLOOKUP(Master_Reference[[#This Row],[C-Flex 5000K 3W Part Number]],Lutron_CFlex_Lookup[],MATCH("Lutron Kit PN",Lutron_CFlex_Lookup[#Headers],0),FALSE),"")</f>
        <v>3LD4T8-1M50-q</v>
      </c>
      <c r="AN341" s="1" t="b">
        <f>NOT(ISNA(VLOOKUP(Master_Reference[[#This Row],[Model Number]],ObsoleteModels[],1,FALSE)))</f>
        <v>1</v>
      </c>
      <c r="AO341" s="1" t="str">
        <f>IF(LEFT(Master_Reference[[#This Row],[Model Number]],1)="U",LEFT(Master_Reference[[#This Row],[Model Number]],4),LEFT(Master_Reference[[#This Row],[Model Number]],3))</f>
        <v>ECO</v>
      </c>
    </row>
    <row r="342" spans="1:41" x14ac:dyDescent="0.25">
      <c r="A342" s="2" t="s">
        <v>618</v>
      </c>
      <c r="B342" s="1"/>
      <c r="C342" s="1" t="b">
        <v>1</v>
      </c>
      <c r="G342" s="1" t="str">
        <f>IF(OR(LEFT(RIGHT(Master_Reference[[#This Row],[Model Number]],3),1)="C",LEFT(RIGHT(Master_Reference[[#This Row],[Model Number]],4),1)="C"),TRUE,"")</f>
        <v/>
      </c>
      <c r="H342" s="1" t="str">
        <f>IF(LEFT(Master_Reference[[#This Row],[Model Number]],1)="U",TRUE,"")</f>
        <v/>
      </c>
      <c r="I342" s="1" t="b">
        <f>IF(Master_Reference[[#This Row],[Lamp Type]]="T4","",IF(Master_Reference[[#This Row],[Case Type]]="M","",TRUE))</f>
        <v>1</v>
      </c>
      <c r="J342" s="1" t="s">
        <v>111</v>
      </c>
      <c r="K342" s="1">
        <v>17</v>
      </c>
      <c r="L342" s="1" t="s">
        <v>112</v>
      </c>
      <c r="M342" s="1">
        <v>1</v>
      </c>
      <c r="N342" s="1">
        <v>277</v>
      </c>
      <c r="O342" s="1" t="s">
        <v>144</v>
      </c>
      <c r="Q342" s="1" t="s">
        <v>91</v>
      </c>
      <c r="R342" t="b">
        <f>IF(COUNTBLANK(Master_Reference[[#This Row],[C-Flex 3000K Eco Part Number]:[C-Flex 4000K Eco Part Number]])=3,FALSE,TRUE)</f>
        <v>0</v>
      </c>
      <c r="S342" t="b">
        <f>IF(COUNTBLANK(Master_Reference[[#This Row],[C-Flex 3000K 3W Part Number]:[C-Flex 4000K 3W Part Number]])=3,FALSE,TRUE)</f>
        <v>0</v>
      </c>
      <c r="T342" s="1" t="b">
        <f>IF(COUNTBLANK(Master_Reference[[#This Row],[Lutron 3000K Eco Part Number]:[Lutron 4000K Eco Part Number]])=3,FALSE,TRUE)</f>
        <v>0</v>
      </c>
      <c r="U342" s="1" t="b">
        <f>IF(COUNTBLANK(Master_Reference[[#This Row],[Lutron 3000K 3W Part Number]:[Lutron 4000K 3W Part Number]])=3,FALSE,TRUE)</f>
        <v>0</v>
      </c>
      <c r="V342" s="13"/>
      <c r="W342" s="13"/>
      <c r="X342" s="12"/>
      <c r="Y342" t="s">
        <v>2125</v>
      </c>
      <c r="Z342" s="12"/>
      <c r="AA342" s="12"/>
      <c r="AB342" s="12"/>
      <c r="AC342" t="s">
        <v>2125</v>
      </c>
      <c r="AD342" t="str">
        <f>SUBSTITUTE(Master_Reference[[#This Row],[C-Flex 4000K Eco Part Number]],"40-","xx-")</f>
        <v/>
      </c>
      <c r="AE342" t="str">
        <f>SUBSTITUTE(Master_Reference[[#This Row],[C-Flex 4000K 3W Part Number]],"40-","xx-")</f>
        <v/>
      </c>
      <c r="AF342" s="1" t="str">
        <f>_xlfn.IFNA(VLOOKUP(Master_Reference[[#This Row],[C-Flex 3000K Eco Part Number]],Lutron_CFlex_Lookup[],MATCH("Lutron Kit PN",Lutron_CFlex_Lookup[#Headers],0),FALSE),"")</f>
        <v/>
      </c>
      <c r="AG342" s="1" t="str">
        <f>_xlfn.IFNA(VLOOKUP(Master_Reference[[#This Row],[C-Flex 3500K Eco Part Number]],Lutron_CFlex_Lookup[],MATCH("Lutron Kit PN",Lutron_CFlex_Lookup[#Headers],0),FALSE),"")</f>
        <v/>
      </c>
      <c r="AH342" s="1" t="str">
        <f>_xlfn.IFNA(VLOOKUP(Master_Reference[[#This Row],[C-Flex 4000K Eco Part Number]],Lutron_CFlex_Lookup[],MATCH("Lutron Kit PN",Lutron_CFlex_Lookup[#Headers],0),FALSE),"")</f>
        <v/>
      </c>
      <c r="AI342" s="1" t="str">
        <f>_xlfn.IFNA(VLOOKUP(Master_Reference[[#This Row],[C-Flex 5000K Eco Part Number]],Lutron_CFlex_Lookup[],MATCH("Lutron Kit PN",Lutron_CFlex_Lookup[#Headers],0),FALSE),"")</f>
        <v/>
      </c>
      <c r="AJ342" s="1" t="str">
        <f>_xlfn.IFNA(VLOOKUP(Master_Reference[[#This Row],[C-Flex 3000K 3W Part Number]],Lutron_CFlex_Lookup[],MATCH("Lutron Kit PN",Lutron_CFlex_Lookup[#Headers],0),FALSE),"")</f>
        <v/>
      </c>
      <c r="AK342" s="1" t="str">
        <f>_xlfn.IFNA(VLOOKUP(Master_Reference[[#This Row],[C-Flex 3500K 3W Part Number]],Lutron_CFlex_Lookup[],MATCH("Lutron Kit PN",Lutron_CFlex_Lookup[#Headers],0),FALSE),"")</f>
        <v/>
      </c>
      <c r="AL342" s="1" t="str">
        <f>_xlfn.IFNA(VLOOKUP(Master_Reference[[#This Row],[C-Flex 4000K 3W Part Number]],Lutron_CFlex_Lookup[],MATCH("Lutron Kit PN",Lutron_CFlex_Lookup[#Headers],0),FALSE),"")</f>
        <v/>
      </c>
      <c r="AM342" s="1" t="str">
        <f>_xlfn.IFNA(VLOOKUP(Master_Reference[[#This Row],[C-Flex 5000K 3W Part Number]],Lutron_CFlex_Lookup[],MATCH("Lutron Kit PN",Lutron_CFlex_Lookup[#Headers],0),FALSE),"")</f>
        <v/>
      </c>
      <c r="AN342" s="1" t="b">
        <f>NOT(ISNA(VLOOKUP(Master_Reference[[#This Row],[Model Number]],ObsoleteModels[],1,FALSE)))</f>
        <v>1</v>
      </c>
      <c r="AO342" s="1" t="str">
        <f>IF(LEFT(Master_Reference[[#This Row],[Model Number]],1)="U",LEFT(Master_Reference[[#This Row],[Model Number]],4),LEFT(Master_Reference[[#This Row],[Model Number]],3))</f>
        <v>ECO</v>
      </c>
    </row>
    <row r="343" spans="1:41" x14ac:dyDescent="0.25">
      <c r="A343" s="2" t="s">
        <v>619</v>
      </c>
      <c r="B343" s="1"/>
      <c r="C343" s="1" t="b">
        <v>1</v>
      </c>
      <c r="G343" s="1" t="str">
        <f>IF(OR(LEFT(RIGHT(Master_Reference[[#This Row],[Model Number]],3),1)="C",LEFT(RIGHT(Master_Reference[[#This Row],[Model Number]],4),1)="C"),TRUE,"")</f>
        <v/>
      </c>
      <c r="H343" s="1" t="str">
        <f>IF(LEFT(Master_Reference[[#This Row],[Model Number]],1)="U",TRUE,"")</f>
        <v/>
      </c>
      <c r="I343" s="1" t="b">
        <f>IF(Master_Reference[[#This Row],[Lamp Type]]="T4","",IF(Master_Reference[[#This Row],[Case Type]]="M","",TRUE))</f>
        <v>1</v>
      </c>
      <c r="J343" s="1" t="s">
        <v>111</v>
      </c>
      <c r="K343" s="1">
        <v>32</v>
      </c>
      <c r="L343" s="1" t="s">
        <v>118</v>
      </c>
      <c r="M343" s="1">
        <v>2</v>
      </c>
      <c r="N343" s="1">
        <v>277</v>
      </c>
      <c r="O343" s="1" t="s">
        <v>144</v>
      </c>
      <c r="R343" t="b">
        <f>IF(COUNTBLANK(Master_Reference[[#This Row],[C-Flex 3000K Eco Part Number]:[C-Flex 4000K Eco Part Number]])=3,FALSE,TRUE)</f>
        <v>0</v>
      </c>
      <c r="S343" t="b">
        <f>IF(COUNTBLANK(Master_Reference[[#This Row],[C-Flex 3000K 3W Part Number]:[C-Flex 4000K 3W Part Number]])=3,FALSE,TRUE)</f>
        <v>1</v>
      </c>
      <c r="T343" t="b">
        <f>IF(COUNTBLANK(Master_Reference[[#This Row],[Lutron 3000K Eco Part Number]:[Lutron 4000K Eco Part Number]])=3,FALSE,TRUE)</f>
        <v>0</v>
      </c>
      <c r="U343" t="b">
        <f>IF(COUNTBLANK(Master_Reference[[#This Row],[Lutron 3000K 3W Part Number]:[Lutron 4000K 3W Part Number]])=3,FALSE,TRUE)</f>
        <v>1</v>
      </c>
      <c r="V343" s="12"/>
      <c r="W343" s="12"/>
      <c r="X343" s="12"/>
      <c r="Y343" t="s">
        <v>2125</v>
      </c>
      <c r="Z343" s="12" t="s">
        <v>145</v>
      </c>
      <c r="AA343" s="12" t="s">
        <v>146</v>
      </c>
      <c r="AB343" s="12" t="s">
        <v>147</v>
      </c>
      <c r="AC343" t="s">
        <v>1830</v>
      </c>
      <c r="AD343" t="str">
        <f>SUBSTITUTE(Master_Reference[[#This Row],[C-Flex 4000K Eco Part Number]],"40-","xx-")</f>
        <v/>
      </c>
      <c r="AE343" t="str">
        <f>SUBSTITUTE(Master_Reference[[#This Row],[C-Flex 4000K 3W Part Number]],"40-","xx-")</f>
        <v>RP-T8-4FT-2L-8xx-3W-M-G2</v>
      </c>
      <c r="AF343" s="1" t="str">
        <f>_xlfn.IFNA(VLOOKUP(Master_Reference[[#This Row],[C-Flex 3000K Eco Part Number]],Lutron_CFlex_Lookup[],MATCH("Lutron Kit PN",Lutron_CFlex_Lookup[#Headers],0),FALSE),"")</f>
        <v/>
      </c>
      <c r="AG343" s="1" t="str">
        <f>_xlfn.IFNA(VLOOKUP(Master_Reference[[#This Row],[C-Flex 3500K Eco Part Number]],Lutron_CFlex_Lookup[],MATCH("Lutron Kit PN",Lutron_CFlex_Lookup[#Headers],0),FALSE),"")</f>
        <v/>
      </c>
      <c r="AH343" s="1" t="str">
        <f>_xlfn.IFNA(VLOOKUP(Master_Reference[[#This Row],[C-Flex 4000K Eco Part Number]],Lutron_CFlex_Lookup[],MATCH("Lutron Kit PN",Lutron_CFlex_Lookup[#Headers],0),FALSE),"")</f>
        <v/>
      </c>
      <c r="AI343" s="1" t="str">
        <f>_xlfn.IFNA(VLOOKUP(Master_Reference[[#This Row],[C-Flex 5000K Eco Part Number]],Lutron_CFlex_Lookup[],MATCH("Lutron Kit PN",Lutron_CFlex_Lookup[#Headers],0),FALSE),"")</f>
        <v/>
      </c>
      <c r="AJ343" s="1" t="str">
        <f>_xlfn.IFNA(VLOOKUP(Master_Reference[[#This Row],[C-Flex 3000K 3W Part Number]],Lutron_CFlex_Lookup[],MATCH("Lutron Kit PN",Lutron_CFlex_Lookup[#Headers],0),FALSE),"")</f>
        <v>3LD4T8-2M30-q</v>
      </c>
      <c r="AK343" s="1" t="str">
        <f>_xlfn.IFNA(VLOOKUP(Master_Reference[[#This Row],[C-Flex 3500K 3W Part Number]],Lutron_CFlex_Lookup[],MATCH("Lutron Kit PN",Lutron_CFlex_Lookup[#Headers],0),FALSE),"")</f>
        <v>3LD4T8-2M35-q</v>
      </c>
      <c r="AL343" s="1" t="str">
        <f>_xlfn.IFNA(VLOOKUP(Master_Reference[[#This Row],[C-Flex 4000K 3W Part Number]],Lutron_CFlex_Lookup[],MATCH("Lutron Kit PN",Lutron_CFlex_Lookup[#Headers],0),FALSE),"")</f>
        <v>3LD4T8-2M40-q</v>
      </c>
      <c r="AM343" s="1" t="str">
        <f>_xlfn.IFNA(VLOOKUP(Master_Reference[[#This Row],[C-Flex 5000K 3W Part Number]],Lutron_CFlex_Lookup[],MATCH("Lutron Kit PN",Lutron_CFlex_Lookup[#Headers],0),FALSE),"")</f>
        <v>3LD4T8-2M50-q</v>
      </c>
      <c r="AN343" s="1" t="b">
        <f>NOT(ISNA(VLOOKUP(Master_Reference[[#This Row],[Model Number]],ObsoleteModels[],1,FALSE)))</f>
        <v>1</v>
      </c>
      <c r="AO343" s="1" t="str">
        <f>IF(LEFT(Master_Reference[[#This Row],[Model Number]],1)="U",LEFT(Master_Reference[[#This Row],[Model Number]],4),LEFT(Master_Reference[[#This Row],[Model Number]],3))</f>
        <v>ECO</v>
      </c>
    </row>
    <row r="344" spans="1:41" x14ac:dyDescent="0.25">
      <c r="A344" s="2" t="s">
        <v>620</v>
      </c>
      <c r="B344" s="1"/>
      <c r="C344" s="1" t="b">
        <v>1</v>
      </c>
      <c r="G344" s="1" t="str">
        <f>IF(OR(LEFT(RIGHT(Master_Reference[[#This Row],[Model Number]],3),1)="C",LEFT(RIGHT(Master_Reference[[#This Row],[Model Number]],4),1)="C"),TRUE,"")</f>
        <v/>
      </c>
      <c r="H344" s="1" t="str">
        <f>IF(LEFT(Master_Reference[[#This Row],[Model Number]],1)="U",TRUE,"")</f>
        <v/>
      </c>
      <c r="I344" s="1" t="b">
        <f>IF(Master_Reference[[#This Row],[Lamp Type]]="T4","",IF(Master_Reference[[#This Row],[Case Type]]="M","",TRUE))</f>
        <v>1</v>
      </c>
      <c r="J344" s="1" t="s">
        <v>111</v>
      </c>
      <c r="K344" s="1">
        <v>32</v>
      </c>
      <c r="L344" s="1" t="s">
        <v>118</v>
      </c>
      <c r="M344" s="1">
        <v>2</v>
      </c>
      <c r="N344" s="1">
        <v>277</v>
      </c>
      <c r="O344" s="1" t="s">
        <v>602</v>
      </c>
      <c r="R344" t="b">
        <f>IF(COUNTBLANK(Master_Reference[[#This Row],[C-Flex 3000K Eco Part Number]:[C-Flex 4000K Eco Part Number]])=3,FALSE,TRUE)</f>
        <v>0</v>
      </c>
      <c r="S344" t="b">
        <f>IF(COUNTBLANK(Master_Reference[[#This Row],[C-Flex 3000K 3W Part Number]:[C-Flex 4000K 3W Part Number]])=3,FALSE,TRUE)</f>
        <v>1</v>
      </c>
      <c r="T344" t="b">
        <f>IF(COUNTBLANK(Master_Reference[[#This Row],[Lutron 3000K Eco Part Number]:[Lutron 4000K Eco Part Number]])=3,FALSE,TRUE)</f>
        <v>0</v>
      </c>
      <c r="U344" t="b">
        <f>IF(COUNTBLANK(Master_Reference[[#This Row],[Lutron 3000K 3W Part Number]:[Lutron 4000K 3W Part Number]])=3,FALSE,TRUE)</f>
        <v>1</v>
      </c>
      <c r="V344" s="12"/>
      <c r="W344" s="12"/>
      <c r="X344" s="12"/>
      <c r="Y344" t="s">
        <v>2125</v>
      </c>
      <c r="Z344" s="12" t="s">
        <v>145</v>
      </c>
      <c r="AA344" s="12" t="s">
        <v>146</v>
      </c>
      <c r="AB344" s="12" t="s">
        <v>147</v>
      </c>
      <c r="AC344" t="s">
        <v>1830</v>
      </c>
      <c r="AD344" t="str">
        <f>SUBSTITUTE(Master_Reference[[#This Row],[C-Flex 4000K Eco Part Number]],"40-","xx-")</f>
        <v/>
      </c>
      <c r="AE344" t="str">
        <f>SUBSTITUTE(Master_Reference[[#This Row],[C-Flex 4000K 3W Part Number]],"40-","xx-")</f>
        <v>RP-T8-4FT-2L-8xx-3W-M-G2</v>
      </c>
      <c r="AF344" s="1" t="str">
        <f>_xlfn.IFNA(VLOOKUP(Master_Reference[[#This Row],[C-Flex 3000K Eco Part Number]],Lutron_CFlex_Lookup[],MATCH("Lutron Kit PN",Lutron_CFlex_Lookup[#Headers],0),FALSE),"")</f>
        <v/>
      </c>
      <c r="AG344" s="1" t="str">
        <f>_xlfn.IFNA(VLOOKUP(Master_Reference[[#This Row],[C-Flex 3500K Eco Part Number]],Lutron_CFlex_Lookup[],MATCH("Lutron Kit PN",Lutron_CFlex_Lookup[#Headers],0),FALSE),"")</f>
        <v/>
      </c>
      <c r="AH344" s="1" t="str">
        <f>_xlfn.IFNA(VLOOKUP(Master_Reference[[#This Row],[C-Flex 4000K Eco Part Number]],Lutron_CFlex_Lookup[],MATCH("Lutron Kit PN",Lutron_CFlex_Lookup[#Headers],0),FALSE),"")</f>
        <v/>
      </c>
      <c r="AI344" s="1" t="str">
        <f>_xlfn.IFNA(VLOOKUP(Master_Reference[[#This Row],[C-Flex 5000K Eco Part Number]],Lutron_CFlex_Lookup[],MATCH("Lutron Kit PN",Lutron_CFlex_Lookup[#Headers],0),FALSE),"")</f>
        <v/>
      </c>
      <c r="AJ344" s="1" t="str">
        <f>_xlfn.IFNA(VLOOKUP(Master_Reference[[#This Row],[C-Flex 3000K 3W Part Number]],Lutron_CFlex_Lookup[],MATCH("Lutron Kit PN",Lutron_CFlex_Lookup[#Headers],0),FALSE),"")</f>
        <v>3LD4T8-2M30-q</v>
      </c>
      <c r="AK344" s="1" t="str">
        <f>_xlfn.IFNA(VLOOKUP(Master_Reference[[#This Row],[C-Flex 3500K 3W Part Number]],Lutron_CFlex_Lookup[],MATCH("Lutron Kit PN",Lutron_CFlex_Lookup[#Headers],0),FALSE),"")</f>
        <v>3LD4T8-2M35-q</v>
      </c>
      <c r="AL344" s="1" t="str">
        <f>_xlfn.IFNA(VLOOKUP(Master_Reference[[#This Row],[C-Flex 4000K 3W Part Number]],Lutron_CFlex_Lookup[],MATCH("Lutron Kit PN",Lutron_CFlex_Lookup[#Headers],0),FALSE),"")</f>
        <v>3LD4T8-2M40-q</v>
      </c>
      <c r="AM344" s="1" t="str">
        <f>_xlfn.IFNA(VLOOKUP(Master_Reference[[#This Row],[C-Flex 5000K 3W Part Number]],Lutron_CFlex_Lookup[],MATCH("Lutron Kit PN",Lutron_CFlex_Lookup[#Headers],0),FALSE),"")</f>
        <v>3LD4T8-2M50-q</v>
      </c>
      <c r="AN344" s="1" t="b">
        <f>NOT(ISNA(VLOOKUP(Master_Reference[[#This Row],[Model Number]],ObsoleteModels[],1,FALSE)))</f>
        <v>1</v>
      </c>
      <c r="AO344" s="1" t="str">
        <f>IF(LEFT(Master_Reference[[#This Row],[Model Number]],1)="U",LEFT(Master_Reference[[#This Row],[Model Number]],4),LEFT(Master_Reference[[#This Row],[Model Number]],3))</f>
        <v>ECO</v>
      </c>
    </row>
    <row r="345" spans="1:41" x14ac:dyDescent="0.25">
      <c r="A345" s="2" t="s">
        <v>621</v>
      </c>
      <c r="B345" s="1"/>
      <c r="C345" s="1" t="b">
        <v>1</v>
      </c>
      <c r="G345" s="1" t="str">
        <f>IF(OR(LEFT(RIGHT(Master_Reference[[#This Row],[Model Number]],3),1)="C",LEFT(RIGHT(Master_Reference[[#This Row],[Model Number]],4),1)="C"),TRUE,"")</f>
        <v/>
      </c>
      <c r="H345" s="1" t="str">
        <f>IF(LEFT(Master_Reference[[#This Row],[Model Number]],1)="U",TRUE,"")</f>
        <v/>
      </c>
      <c r="I345" s="1" t="b">
        <f>IF(Master_Reference[[#This Row],[Lamp Type]]="T4","",IF(Master_Reference[[#This Row],[Case Type]]="M","",TRUE))</f>
        <v>1</v>
      </c>
      <c r="J345" s="1" t="s">
        <v>111</v>
      </c>
      <c r="K345" s="1">
        <v>32</v>
      </c>
      <c r="L345" s="1" t="s">
        <v>118</v>
      </c>
      <c r="M345" s="1">
        <v>2</v>
      </c>
      <c r="N345" s="1">
        <v>277</v>
      </c>
      <c r="O345" s="1" t="s">
        <v>602</v>
      </c>
      <c r="Q345" s="1" t="s">
        <v>91</v>
      </c>
      <c r="R345" t="b">
        <f>IF(COUNTBLANK(Master_Reference[[#This Row],[C-Flex 3000K Eco Part Number]:[C-Flex 4000K Eco Part Number]])=3,FALSE,TRUE)</f>
        <v>0</v>
      </c>
      <c r="S345" t="b">
        <f>IF(COUNTBLANK(Master_Reference[[#This Row],[C-Flex 3000K 3W Part Number]:[C-Flex 4000K 3W Part Number]])=3,FALSE,TRUE)</f>
        <v>0</v>
      </c>
      <c r="T345" t="b">
        <f>IF(COUNTBLANK(Master_Reference[[#This Row],[Lutron 3000K Eco Part Number]:[Lutron 4000K Eco Part Number]])=3,FALSE,TRUE)</f>
        <v>0</v>
      </c>
      <c r="U345" t="b">
        <f>IF(COUNTBLANK(Master_Reference[[#This Row],[Lutron 3000K 3W Part Number]:[Lutron 4000K 3W Part Number]])=3,FALSE,TRUE)</f>
        <v>0</v>
      </c>
      <c r="V345" s="12"/>
      <c r="W345" s="12"/>
      <c r="X345" s="12"/>
      <c r="Y345" t="s">
        <v>2125</v>
      </c>
      <c r="Z345" s="12"/>
      <c r="AA345" s="12"/>
      <c r="AB345" s="12"/>
      <c r="AC345" t="s">
        <v>2125</v>
      </c>
      <c r="AD345" t="str">
        <f>SUBSTITUTE(Master_Reference[[#This Row],[C-Flex 4000K Eco Part Number]],"40-","xx-")</f>
        <v/>
      </c>
      <c r="AE345" t="str">
        <f>SUBSTITUTE(Master_Reference[[#This Row],[C-Flex 4000K 3W Part Number]],"40-","xx-")</f>
        <v/>
      </c>
      <c r="AF345" s="1" t="str">
        <f>_xlfn.IFNA(VLOOKUP(Master_Reference[[#This Row],[C-Flex 3000K Eco Part Number]],Lutron_CFlex_Lookup[],MATCH("Lutron Kit PN",Lutron_CFlex_Lookup[#Headers],0),FALSE),"")</f>
        <v/>
      </c>
      <c r="AG345" s="1" t="str">
        <f>_xlfn.IFNA(VLOOKUP(Master_Reference[[#This Row],[C-Flex 3500K Eco Part Number]],Lutron_CFlex_Lookup[],MATCH("Lutron Kit PN",Lutron_CFlex_Lookup[#Headers],0),FALSE),"")</f>
        <v/>
      </c>
      <c r="AH345" s="1" t="str">
        <f>_xlfn.IFNA(VLOOKUP(Master_Reference[[#This Row],[C-Flex 4000K Eco Part Number]],Lutron_CFlex_Lookup[],MATCH("Lutron Kit PN",Lutron_CFlex_Lookup[#Headers],0),FALSE),"")</f>
        <v/>
      </c>
      <c r="AI345" s="1" t="str">
        <f>_xlfn.IFNA(VLOOKUP(Master_Reference[[#This Row],[C-Flex 5000K Eco Part Number]],Lutron_CFlex_Lookup[],MATCH("Lutron Kit PN",Lutron_CFlex_Lookup[#Headers],0),FALSE),"")</f>
        <v/>
      </c>
      <c r="AJ345" s="1" t="str">
        <f>_xlfn.IFNA(VLOOKUP(Master_Reference[[#This Row],[C-Flex 3000K 3W Part Number]],Lutron_CFlex_Lookup[],MATCH("Lutron Kit PN",Lutron_CFlex_Lookup[#Headers],0),FALSE),"")</f>
        <v/>
      </c>
      <c r="AK345" s="1" t="str">
        <f>_xlfn.IFNA(VLOOKUP(Master_Reference[[#This Row],[C-Flex 3500K 3W Part Number]],Lutron_CFlex_Lookup[],MATCH("Lutron Kit PN",Lutron_CFlex_Lookup[#Headers],0),FALSE),"")</f>
        <v/>
      </c>
      <c r="AL345" s="1" t="str">
        <f>_xlfn.IFNA(VLOOKUP(Master_Reference[[#This Row],[C-Flex 4000K 3W Part Number]],Lutron_CFlex_Lookup[],MATCH("Lutron Kit PN",Lutron_CFlex_Lookup[#Headers],0),FALSE),"")</f>
        <v/>
      </c>
      <c r="AM345" s="1" t="str">
        <f>_xlfn.IFNA(VLOOKUP(Master_Reference[[#This Row],[C-Flex 5000K 3W Part Number]],Lutron_CFlex_Lookup[],MATCH("Lutron Kit PN",Lutron_CFlex_Lookup[#Headers],0),FALSE),"")</f>
        <v/>
      </c>
      <c r="AN345" s="1" t="b">
        <f>NOT(ISNA(VLOOKUP(Master_Reference[[#This Row],[Model Number]],ObsoleteModels[],1,FALSE)))</f>
        <v>1</v>
      </c>
      <c r="AO345" s="1" t="str">
        <f>IF(LEFT(Master_Reference[[#This Row],[Model Number]],1)="U",LEFT(Master_Reference[[#This Row],[Model Number]],4),LEFT(Master_Reference[[#This Row],[Model Number]],3))</f>
        <v>ECO</v>
      </c>
    </row>
    <row r="346" spans="1:41" x14ac:dyDescent="0.25">
      <c r="A346" s="2" t="s">
        <v>622</v>
      </c>
      <c r="B346" s="1"/>
      <c r="C346" s="1" t="b">
        <v>1</v>
      </c>
      <c r="G346" s="1" t="str">
        <f>IF(OR(LEFT(RIGHT(Master_Reference[[#This Row],[Model Number]],3),1)="C",LEFT(RIGHT(Master_Reference[[#This Row],[Model Number]],4),1)="C"),TRUE,"")</f>
        <v/>
      </c>
      <c r="H346" s="1" t="str">
        <f>IF(LEFT(Master_Reference[[#This Row],[Model Number]],1)="U",TRUE,"")</f>
        <v/>
      </c>
      <c r="I346" s="1" t="b">
        <f>IF(Master_Reference[[#This Row],[Lamp Type]]="T4","",IF(Master_Reference[[#This Row],[Case Type]]="M","",TRUE))</f>
        <v>1</v>
      </c>
      <c r="J346" s="1" t="s">
        <v>111</v>
      </c>
      <c r="K346" s="1">
        <v>32</v>
      </c>
      <c r="L346" s="1" t="s">
        <v>118</v>
      </c>
      <c r="M346" s="1">
        <v>2</v>
      </c>
      <c r="N346" s="1">
        <v>277</v>
      </c>
      <c r="O346" s="1" t="s">
        <v>144</v>
      </c>
      <c r="Q346" s="1" t="s">
        <v>91</v>
      </c>
      <c r="R346" t="b">
        <f>IF(COUNTBLANK(Master_Reference[[#This Row],[C-Flex 3000K Eco Part Number]:[C-Flex 4000K Eco Part Number]])=3,FALSE,TRUE)</f>
        <v>0</v>
      </c>
      <c r="S346" t="b">
        <f>IF(COUNTBLANK(Master_Reference[[#This Row],[C-Flex 3000K 3W Part Number]:[C-Flex 4000K 3W Part Number]])=3,FALSE,TRUE)</f>
        <v>0</v>
      </c>
      <c r="T346" t="b">
        <f>IF(COUNTBLANK(Master_Reference[[#This Row],[Lutron 3000K Eco Part Number]:[Lutron 4000K Eco Part Number]])=3,FALSE,TRUE)</f>
        <v>0</v>
      </c>
      <c r="U346" t="b">
        <f>IF(COUNTBLANK(Master_Reference[[#This Row],[Lutron 3000K 3W Part Number]:[Lutron 4000K 3W Part Number]])=3,FALSE,TRUE)</f>
        <v>0</v>
      </c>
      <c r="V346" s="12"/>
      <c r="W346" s="12"/>
      <c r="X346" s="12"/>
      <c r="Y346" t="s">
        <v>2125</v>
      </c>
      <c r="Z346" s="12"/>
      <c r="AA346" s="12"/>
      <c r="AB346" s="12"/>
      <c r="AC346" t="s">
        <v>2125</v>
      </c>
      <c r="AD346" t="str">
        <f>SUBSTITUTE(Master_Reference[[#This Row],[C-Flex 4000K Eco Part Number]],"40-","xx-")</f>
        <v/>
      </c>
      <c r="AE346" t="str">
        <f>SUBSTITUTE(Master_Reference[[#This Row],[C-Flex 4000K 3W Part Number]],"40-","xx-")</f>
        <v/>
      </c>
      <c r="AF346" s="1" t="str">
        <f>_xlfn.IFNA(VLOOKUP(Master_Reference[[#This Row],[C-Flex 3000K Eco Part Number]],Lutron_CFlex_Lookup[],MATCH("Lutron Kit PN",Lutron_CFlex_Lookup[#Headers],0),FALSE),"")</f>
        <v/>
      </c>
      <c r="AG346" s="1" t="str">
        <f>_xlfn.IFNA(VLOOKUP(Master_Reference[[#This Row],[C-Flex 3500K Eco Part Number]],Lutron_CFlex_Lookup[],MATCH("Lutron Kit PN",Lutron_CFlex_Lookup[#Headers],0),FALSE),"")</f>
        <v/>
      </c>
      <c r="AH346" s="1" t="str">
        <f>_xlfn.IFNA(VLOOKUP(Master_Reference[[#This Row],[C-Flex 4000K Eco Part Number]],Lutron_CFlex_Lookup[],MATCH("Lutron Kit PN",Lutron_CFlex_Lookup[#Headers],0),FALSE),"")</f>
        <v/>
      </c>
      <c r="AI346" s="1" t="str">
        <f>_xlfn.IFNA(VLOOKUP(Master_Reference[[#This Row],[C-Flex 5000K Eco Part Number]],Lutron_CFlex_Lookup[],MATCH("Lutron Kit PN",Lutron_CFlex_Lookup[#Headers],0),FALSE),"")</f>
        <v/>
      </c>
      <c r="AJ346" s="1" t="str">
        <f>_xlfn.IFNA(VLOOKUP(Master_Reference[[#This Row],[C-Flex 3000K 3W Part Number]],Lutron_CFlex_Lookup[],MATCH("Lutron Kit PN",Lutron_CFlex_Lookup[#Headers],0),FALSE),"")</f>
        <v/>
      </c>
      <c r="AK346" s="1" t="str">
        <f>_xlfn.IFNA(VLOOKUP(Master_Reference[[#This Row],[C-Flex 3500K 3W Part Number]],Lutron_CFlex_Lookup[],MATCH("Lutron Kit PN",Lutron_CFlex_Lookup[#Headers],0),FALSE),"")</f>
        <v/>
      </c>
      <c r="AL346" s="1" t="str">
        <f>_xlfn.IFNA(VLOOKUP(Master_Reference[[#This Row],[C-Flex 4000K 3W Part Number]],Lutron_CFlex_Lookup[],MATCH("Lutron Kit PN",Lutron_CFlex_Lookup[#Headers],0),FALSE),"")</f>
        <v/>
      </c>
      <c r="AM346" s="1" t="str">
        <f>_xlfn.IFNA(VLOOKUP(Master_Reference[[#This Row],[C-Flex 5000K 3W Part Number]],Lutron_CFlex_Lookup[],MATCH("Lutron Kit PN",Lutron_CFlex_Lookup[#Headers],0),FALSE),"")</f>
        <v/>
      </c>
      <c r="AN346" s="1" t="b">
        <f>NOT(ISNA(VLOOKUP(Master_Reference[[#This Row],[Model Number]],ObsoleteModels[],1,FALSE)))</f>
        <v>1</v>
      </c>
      <c r="AO346" s="1" t="str">
        <f>IF(LEFT(Master_Reference[[#This Row],[Model Number]],1)="U",LEFT(Master_Reference[[#This Row],[Model Number]],4),LEFT(Master_Reference[[#This Row],[Model Number]],3))</f>
        <v>ECO</v>
      </c>
    </row>
    <row r="347" spans="1:41" x14ac:dyDescent="0.25">
      <c r="A347" s="2" t="s">
        <v>623</v>
      </c>
      <c r="B347" s="1"/>
      <c r="C347" s="1" t="b">
        <v>1</v>
      </c>
      <c r="G347" s="1" t="str">
        <f>IF(OR(LEFT(RIGHT(Master_Reference[[#This Row],[Model Number]],3),1)="C",LEFT(RIGHT(Master_Reference[[#This Row],[Model Number]],4),1)="C"),TRUE,"")</f>
        <v/>
      </c>
      <c r="H347" s="1" t="str">
        <f>IF(LEFT(Master_Reference[[#This Row],[Model Number]],1)="U",TRUE,"")</f>
        <v/>
      </c>
      <c r="I347" s="1" t="b">
        <f>IF(Master_Reference[[#This Row],[Lamp Type]]="T4","",IF(Master_Reference[[#This Row],[Case Type]]="M","",TRUE))</f>
        <v>1</v>
      </c>
      <c r="J347" s="1" t="s">
        <v>111</v>
      </c>
      <c r="K347" s="1">
        <v>32</v>
      </c>
      <c r="L347" s="1" t="s">
        <v>118</v>
      </c>
      <c r="M347" s="1">
        <v>2</v>
      </c>
      <c r="N347" s="1">
        <v>277</v>
      </c>
      <c r="O347" s="1" t="s">
        <v>602</v>
      </c>
      <c r="R347" t="b">
        <f>IF(COUNTBLANK(Master_Reference[[#This Row],[C-Flex 3000K Eco Part Number]:[C-Flex 4000K Eco Part Number]])=3,FALSE,TRUE)</f>
        <v>0</v>
      </c>
      <c r="S347" t="b">
        <f>IF(COUNTBLANK(Master_Reference[[#This Row],[C-Flex 3000K 3W Part Number]:[C-Flex 4000K 3W Part Number]])=3,FALSE,TRUE)</f>
        <v>1</v>
      </c>
      <c r="T347" t="b">
        <f>IF(COUNTBLANK(Master_Reference[[#This Row],[Lutron 3000K Eco Part Number]:[Lutron 4000K Eco Part Number]])=3,FALSE,TRUE)</f>
        <v>0</v>
      </c>
      <c r="U347" t="b">
        <f>IF(COUNTBLANK(Master_Reference[[#This Row],[Lutron 3000K 3W Part Number]:[Lutron 4000K 3W Part Number]])=3,FALSE,TRUE)</f>
        <v>1</v>
      </c>
      <c r="V347" s="12"/>
      <c r="W347" s="12"/>
      <c r="X347" s="12"/>
      <c r="Y347" t="s">
        <v>2125</v>
      </c>
      <c r="Z347" s="12" t="s">
        <v>145</v>
      </c>
      <c r="AA347" s="12" t="s">
        <v>146</v>
      </c>
      <c r="AB347" s="12" t="s">
        <v>147</v>
      </c>
      <c r="AC347" t="s">
        <v>1830</v>
      </c>
      <c r="AD347" t="str">
        <f>SUBSTITUTE(Master_Reference[[#This Row],[C-Flex 4000K Eco Part Number]],"40-","xx-")</f>
        <v/>
      </c>
      <c r="AE347" t="str">
        <f>SUBSTITUTE(Master_Reference[[#This Row],[C-Flex 4000K 3W Part Number]],"40-","xx-")</f>
        <v>RP-T8-4FT-2L-8xx-3W-M-G2</v>
      </c>
      <c r="AF347" s="1" t="str">
        <f>_xlfn.IFNA(VLOOKUP(Master_Reference[[#This Row],[C-Flex 3000K Eco Part Number]],Lutron_CFlex_Lookup[],MATCH("Lutron Kit PN",Lutron_CFlex_Lookup[#Headers],0),FALSE),"")</f>
        <v/>
      </c>
      <c r="AG347" s="1" t="str">
        <f>_xlfn.IFNA(VLOOKUP(Master_Reference[[#This Row],[C-Flex 3500K Eco Part Number]],Lutron_CFlex_Lookup[],MATCH("Lutron Kit PN",Lutron_CFlex_Lookup[#Headers],0),FALSE),"")</f>
        <v/>
      </c>
      <c r="AH347" s="1" t="str">
        <f>_xlfn.IFNA(VLOOKUP(Master_Reference[[#This Row],[C-Flex 4000K Eco Part Number]],Lutron_CFlex_Lookup[],MATCH("Lutron Kit PN",Lutron_CFlex_Lookup[#Headers],0),FALSE),"")</f>
        <v/>
      </c>
      <c r="AI347" s="1" t="str">
        <f>_xlfn.IFNA(VLOOKUP(Master_Reference[[#This Row],[C-Flex 5000K Eco Part Number]],Lutron_CFlex_Lookup[],MATCH("Lutron Kit PN",Lutron_CFlex_Lookup[#Headers],0),FALSE),"")</f>
        <v/>
      </c>
      <c r="AJ347" s="1" t="str">
        <f>_xlfn.IFNA(VLOOKUP(Master_Reference[[#This Row],[C-Flex 3000K 3W Part Number]],Lutron_CFlex_Lookup[],MATCH("Lutron Kit PN",Lutron_CFlex_Lookup[#Headers],0),FALSE),"")</f>
        <v>3LD4T8-2M30-q</v>
      </c>
      <c r="AK347" s="1" t="str">
        <f>_xlfn.IFNA(VLOOKUP(Master_Reference[[#This Row],[C-Flex 3500K 3W Part Number]],Lutron_CFlex_Lookup[],MATCH("Lutron Kit PN",Lutron_CFlex_Lookup[#Headers],0),FALSE),"")</f>
        <v>3LD4T8-2M35-q</v>
      </c>
      <c r="AL347" s="1" t="str">
        <f>_xlfn.IFNA(VLOOKUP(Master_Reference[[#This Row],[C-Flex 4000K 3W Part Number]],Lutron_CFlex_Lookup[],MATCH("Lutron Kit PN",Lutron_CFlex_Lookup[#Headers],0),FALSE),"")</f>
        <v>3LD4T8-2M40-q</v>
      </c>
      <c r="AM347" s="1" t="str">
        <f>_xlfn.IFNA(VLOOKUP(Master_Reference[[#This Row],[C-Flex 5000K 3W Part Number]],Lutron_CFlex_Lookup[],MATCH("Lutron Kit PN",Lutron_CFlex_Lookup[#Headers],0),FALSE),"")</f>
        <v>3LD4T8-2M50-q</v>
      </c>
      <c r="AN347" s="1" t="b">
        <f>NOT(ISNA(VLOOKUP(Master_Reference[[#This Row],[Model Number]],ObsoleteModels[],1,FALSE)))</f>
        <v>1</v>
      </c>
      <c r="AO347" s="1" t="str">
        <f>IF(LEFT(Master_Reference[[#This Row],[Model Number]],1)="U",LEFT(Master_Reference[[#This Row],[Model Number]],4),LEFT(Master_Reference[[#This Row],[Model Number]],3))</f>
        <v>ECO</v>
      </c>
    </row>
    <row r="348" spans="1:41" x14ac:dyDescent="0.25">
      <c r="A348" s="2" t="s">
        <v>624</v>
      </c>
      <c r="B348" s="1"/>
      <c r="C348" s="1" t="b">
        <v>1</v>
      </c>
      <c r="G348" s="1" t="str">
        <f>IF(OR(LEFT(RIGHT(Master_Reference[[#This Row],[Model Number]],3),1)="C",LEFT(RIGHT(Master_Reference[[#This Row],[Model Number]],4),1)="C"),TRUE,"")</f>
        <v/>
      </c>
      <c r="H348" s="1" t="str">
        <f>IF(LEFT(Master_Reference[[#This Row],[Model Number]],1)="U",TRUE,"")</f>
        <v/>
      </c>
      <c r="I348" s="1" t="b">
        <f>IF(Master_Reference[[#This Row],[Lamp Type]]="T4","",IF(Master_Reference[[#This Row],[Case Type]]="M","",TRUE))</f>
        <v>1</v>
      </c>
      <c r="J348" s="1" t="s">
        <v>111</v>
      </c>
      <c r="K348" s="1">
        <v>32</v>
      </c>
      <c r="L348" s="1" t="s">
        <v>118</v>
      </c>
      <c r="M348" s="1">
        <v>2</v>
      </c>
      <c r="N348" s="1">
        <v>277</v>
      </c>
      <c r="O348" s="1" t="s">
        <v>602</v>
      </c>
      <c r="Q348" s="1" t="s">
        <v>91</v>
      </c>
      <c r="R348" t="b">
        <f>IF(COUNTBLANK(Master_Reference[[#This Row],[C-Flex 3000K Eco Part Number]:[C-Flex 4000K Eco Part Number]])=3,FALSE,TRUE)</f>
        <v>0</v>
      </c>
      <c r="S348" t="b">
        <f>IF(COUNTBLANK(Master_Reference[[#This Row],[C-Flex 3000K 3W Part Number]:[C-Flex 4000K 3W Part Number]])=3,FALSE,TRUE)</f>
        <v>0</v>
      </c>
      <c r="T348" t="b">
        <f>IF(COUNTBLANK(Master_Reference[[#This Row],[Lutron 3000K Eco Part Number]:[Lutron 4000K Eco Part Number]])=3,FALSE,TRUE)</f>
        <v>0</v>
      </c>
      <c r="U348" t="b">
        <f>IF(COUNTBLANK(Master_Reference[[#This Row],[Lutron 3000K 3W Part Number]:[Lutron 4000K 3W Part Number]])=3,FALSE,TRUE)</f>
        <v>0</v>
      </c>
      <c r="V348" s="12"/>
      <c r="W348" s="12"/>
      <c r="X348" s="12"/>
      <c r="Y348" t="s">
        <v>2125</v>
      </c>
      <c r="Z348" s="12"/>
      <c r="AA348" s="12"/>
      <c r="AB348" s="12"/>
      <c r="AC348" t="s">
        <v>2125</v>
      </c>
      <c r="AD348" t="str">
        <f>SUBSTITUTE(Master_Reference[[#This Row],[C-Flex 4000K Eco Part Number]],"40-","xx-")</f>
        <v/>
      </c>
      <c r="AE348" t="str">
        <f>SUBSTITUTE(Master_Reference[[#This Row],[C-Flex 4000K 3W Part Number]],"40-","xx-")</f>
        <v/>
      </c>
      <c r="AF348" s="1" t="str">
        <f>_xlfn.IFNA(VLOOKUP(Master_Reference[[#This Row],[C-Flex 3000K Eco Part Number]],Lutron_CFlex_Lookup[],MATCH("Lutron Kit PN",Lutron_CFlex_Lookup[#Headers],0),FALSE),"")</f>
        <v/>
      </c>
      <c r="AG348" s="1" t="str">
        <f>_xlfn.IFNA(VLOOKUP(Master_Reference[[#This Row],[C-Flex 3500K Eco Part Number]],Lutron_CFlex_Lookup[],MATCH("Lutron Kit PN",Lutron_CFlex_Lookup[#Headers],0),FALSE),"")</f>
        <v/>
      </c>
      <c r="AH348" s="1" t="str">
        <f>_xlfn.IFNA(VLOOKUP(Master_Reference[[#This Row],[C-Flex 4000K Eco Part Number]],Lutron_CFlex_Lookup[],MATCH("Lutron Kit PN",Lutron_CFlex_Lookup[#Headers],0),FALSE),"")</f>
        <v/>
      </c>
      <c r="AI348" s="1" t="str">
        <f>_xlfn.IFNA(VLOOKUP(Master_Reference[[#This Row],[C-Flex 5000K Eco Part Number]],Lutron_CFlex_Lookup[],MATCH("Lutron Kit PN",Lutron_CFlex_Lookup[#Headers],0),FALSE),"")</f>
        <v/>
      </c>
      <c r="AJ348" s="1" t="str">
        <f>_xlfn.IFNA(VLOOKUP(Master_Reference[[#This Row],[C-Flex 3000K 3W Part Number]],Lutron_CFlex_Lookup[],MATCH("Lutron Kit PN",Lutron_CFlex_Lookup[#Headers],0),FALSE),"")</f>
        <v/>
      </c>
      <c r="AK348" s="1" t="str">
        <f>_xlfn.IFNA(VLOOKUP(Master_Reference[[#This Row],[C-Flex 3500K 3W Part Number]],Lutron_CFlex_Lookup[],MATCH("Lutron Kit PN",Lutron_CFlex_Lookup[#Headers],0),FALSE),"")</f>
        <v/>
      </c>
      <c r="AL348" s="1" t="str">
        <f>_xlfn.IFNA(VLOOKUP(Master_Reference[[#This Row],[C-Flex 4000K 3W Part Number]],Lutron_CFlex_Lookup[],MATCH("Lutron Kit PN",Lutron_CFlex_Lookup[#Headers],0),FALSE),"")</f>
        <v/>
      </c>
      <c r="AM348" s="1" t="str">
        <f>_xlfn.IFNA(VLOOKUP(Master_Reference[[#This Row],[C-Flex 5000K 3W Part Number]],Lutron_CFlex_Lookup[],MATCH("Lutron Kit PN",Lutron_CFlex_Lookup[#Headers],0),FALSE),"")</f>
        <v/>
      </c>
      <c r="AN348" s="1" t="b">
        <f>NOT(ISNA(VLOOKUP(Master_Reference[[#This Row],[Model Number]],ObsoleteModels[],1,FALSE)))</f>
        <v>1</v>
      </c>
      <c r="AO348" s="1" t="str">
        <f>IF(LEFT(Master_Reference[[#This Row],[Model Number]],1)="U",LEFT(Master_Reference[[#This Row],[Model Number]],4),LEFT(Master_Reference[[#This Row],[Model Number]],3))</f>
        <v>ECO</v>
      </c>
    </row>
    <row r="349" spans="1:41" x14ac:dyDescent="0.25">
      <c r="A349" s="2" t="s">
        <v>625</v>
      </c>
      <c r="B349" s="1"/>
      <c r="C349" s="1" t="b">
        <v>1</v>
      </c>
      <c r="G349" s="1" t="str">
        <f>IF(OR(LEFT(RIGHT(Master_Reference[[#This Row],[Model Number]],3),1)="C",LEFT(RIGHT(Master_Reference[[#This Row],[Model Number]],4),1)="C"),TRUE,"")</f>
        <v/>
      </c>
      <c r="H349" s="1" t="str">
        <f>IF(LEFT(Master_Reference[[#This Row],[Model Number]],1)="U",TRUE,"")</f>
        <v/>
      </c>
      <c r="I349" s="1" t="b">
        <f>IF(Master_Reference[[#This Row],[Lamp Type]]="T4","",IF(Master_Reference[[#This Row],[Case Type]]="M","",TRUE))</f>
        <v>1</v>
      </c>
      <c r="J349" s="1" t="s">
        <v>111</v>
      </c>
      <c r="K349" s="1">
        <v>32</v>
      </c>
      <c r="L349" s="1" t="s">
        <v>118</v>
      </c>
      <c r="M349" s="1">
        <v>3</v>
      </c>
      <c r="N349" s="1">
        <v>277</v>
      </c>
      <c r="O349" s="1" t="s">
        <v>144</v>
      </c>
      <c r="R349" t="b">
        <f>IF(COUNTBLANK(Master_Reference[[#This Row],[C-Flex 3000K Eco Part Number]:[C-Flex 4000K Eco Part Number]])=3,FALSE,TRUE)</f>
        <v>0</v>
      </c>
      <c r="S349" t="b">
        <f>IF(COUNTBLANK(Master_Reference[[#This Row],[C-Flex 3000K 3W Part Number]:[C-Flex 4000K 3W Part Number]])=3,FALSE,TRUE)</f>
        <v>1</v>
      </c>
      <c r="T349" t="b">
        <f>IF(COUNTBLANK(Master_Reference[[#This Row],[Lutron 3000K Eco Part Number]:[Lutron 4000K Eco Part Number]])=3,FALSE,TRUE)</f>
        <v>0</v>
      </c>
      <c r="U349" t="b">
        <f>IF(COUNTBLANK(Master_Reference[[#This Row],[Lutron 3000K 3W Part Number]:[Lutron 4000K 3W Part Number]])=3,FALSE,TRUE)</f>
        <v>1</v>
      </c>
      <c r="V349" s="12"/>
      <c r="W349" s="12"/>
      <c r="X349" s="12"/>
      <c r="Y349" t="s">
        <v>2125</v>
      </c>
      <c r="Z349" s="12" t="s">
        <v>277</v>
      </c>
      <c r="AA349" s="12" t="s">
        <v>278</v>
      </c>
      <c r="AB349" s="12" t="s">
        <v>279</v>
      </c>
      <c r="AC349" t="s">
        <v>1831</v>
      </c>
      <c r="AD349" t="str">
        <f>SUBSTITUTE(Master_Reference[[#This Row],[C-Flex 4000K Eco Part Number]],"40-","xx-")</f>
        <v/>
      </c>
      <c r="AE349" t="str">
        <f>SUBSTITUTE(Master_Reference[[#This Row],[C-Flex 4000K 3W Part Number]],"40-","xx-")</f>
        <v>RP-T8-4FT-3L-8xx-3W-M-G2</v>
      </c>
      <c r="AF349" s="1" t="str">
        <f>_xlfn.IFNA(VLOOKUP(Master_Reference[[#This Row],[C-Flex 3000K Eco Part Number]],Lutron_CFlex_Lookup[],MATCH("Lutron Kit PN",Lutron_CFlex_Lookup[#Headers],0),FALSE),"")</f>
        <v/>
      </c>
      <c r="AG349" s="1" t="str">
        <f>_xlfn.IFNA(VLOOKUP(Master_Reference[[#This Row],[C-Flex 3500K Eco Part Number]],Lutron_CFlex_Lookup[],MATCH("Lutron Kit PN",Lutron_CFlex_Lookup[#Headers],0),FALSE),"")</f>
        <v/>
      </c>
      <c r="AH349" s="1" t="str">
        <f>_xlfn.IFNA(VLOOKUP(Master_Reference[[#This Row],[C-Flex 4000K Eco Part Number]],Lutron_CFlex_Lookup[],MATCH("Lutron Kit PN",Lutron_CFlex_Lookup[#Headers],0),FALSE),"")</f>
        <v/>
      </c>
      <c r="AI349" s="1" t="str">
        <f>_xlfn.IFNA(VLOOKUP(Master_Reference[[#This Row],[C-Flex 5000K Eco Part Number]],Lutron_CFlex_Lookup[],MATCH("Lutron Kit PN",Lutron_CFlex_Lookup[#Headers],0),FALSE),"")</f>
        <v/>
      </c>
      <c r="AJ349" s="1" t="str">
        <f>_xlfn.IFNA(VLOOKUP(Master_Reference[[#This Row],[C-Flex 3000K 3W Part Number]],Lutron_CFlex_Lookup[],MATCH("Lutron Kit PN",Lutron_CFlex_Lookup[#Headers],0),FALSE),"")</f>
        <v>3LD4T8-3M30-q</v>
      </c>
      <c r="AK349" s="1" t="str">
        <f>_xlfn.IFNA(VLOOKUP(Master_Reference[[#This Row],[C-Flex 3500K 3W Part Number]],Lutron_CFlex_Lookup[],MATCH("Lutron Kit PN",Lutron_CFlex_Lookup[#Headers],0),FALSE),"")</f>
        <v>3LD4T8-3M35-q</v>
      </c>
      <c r="AL349" s="1" t="str">
        <f>_xlfn.IFNA(VLOOKUP(Master_Reference[[#This Row],[C-Flex 4000K 3W Part Number]],Lutron_CFlex_Lookup[],MATCH("Lutron Kit PN",Lutron_CFlex_Lookup[#Headers],0),FALSE),"")</f>
        <v>3LD4T8-3M40-q</v>
      </c>
      <c r="AM349" s="1" t="str">
        <f>_xlfn.IFNA(VLOOKUP(Master_Reference[[#This Row],[C-Flex 5000K 3W Part Number]],Lutron_CFlex_Lookup[],MATCH("Lutron Kit PN",Lutron_CFlex_Lookup[#Headers],0),FALSE),"")</f>
        <v>3LD4T8-3M50-q</v>
      </c>
      <c r="AN349" s="1" t="b">
        <f>NOT(ISNA(VLOOKUP(Master_Reference[[#This Row],[Model Number]],ObsoleteModels[],1,FALSE)))</f>
        <v>1</v>
      </c>
      <c r="AO349" s="1" t="str">
        <f>IF(LEFT(Master_Reference[[#This Row],[Model Number]],1)="U",LEFT(Master_Reference[[#This Row],[Model Number]],4),LEFT(Master_Reference[[#This Row],[Model Number]],3))</f>
        <v>ECO</v>
      </c>
    </row>
    <row r="350" spans="1:41" x14ac:dyDescent="0.25">
      <c r="A350" s="2" t="s">
        <v>626</v>
      </c>
      <c r="B350" s="1"/>
      <c r="C350" s="1" t="b">
        <v>1</v>
      </c>
      <c r="G350" s="1" t="str">
        <f>IF(OR(LEFT(RIGHT(Master_Reference[[#This Row],[Model Number]],3),1)="C",LEFT(RIGHT(Master_Reference[[#This Row],[Model Number]],4),1)="C"),TRUE,"")</f>
        <v/>
      </c>
      <c r="H350" s="1" t="str">
        <f>IF(LEFT(Master_Reference[[#This Row],[Model Number]],1)="U",TRUE,"")</f>
        <v/>
      </c>
      <c r="I350" s="1" t="b">
        <f>IF(Master_Reference[[#This Row],[Lamp Type]]="T4","",IF(Master_Reference[[#This Row],[Case Type]]="M","",TRUE))</f>
        <v>1</v>
      </c>
      <c r="J350" s="1" t="s">
        <v>111</v>
      </c>
      <c r="K350" s="1">
        <v>36</v>
      </c>
      <c r="L350" s="1" t="s">
        <v>118</v>
      </c>
      <c r="M350" s="1">
        <v>1</v>
      </c>
      <c r="N350" s="1">
        <v>240</v>
      </c>
      <c r="O350" s="1" t="s">
        <v>144</v>
      </c>
      <c r="Q350" s="1" t="s">
        <v>456</v>
      </c>
      <c r="R350" t="b">
        <f>IF(COUNTBLANK(Master_Reference[[#This Row],[C-Flex 3000K Eco Part Number]:[C-Flex 4000K Eco Part Number]])=3,FALSE,TRUE)</f>
        <v>0</v>
      </c>
      <c r="S350" t="b">
        <f>IF(COUNTBLANK(Master_Reference[[#This Row],[C-Flex 3000K 3W Part Number]:[C-Flex 4000K 3W Part Number]])=3,FALSE,TRUE)</f>
        <v>0</v>
      </c>
      <c r="T350" t="b">
        <f>IF(COUNTBLANK(Master_Reference[[#This Row],[Lutron 3000K Eco Part Number]:[Lutron 4000K Eco Part Number]])=3,FALSE,TRUE)</f>
        <v>0</v>
      </c>
      <c r="U350" t="b">
        <f>IF(COUNTBLANK(Master_Reference[[#This Row],[Lutron 3000K 3W Part Number]:[Lutron 4000K 3W Part Number]])=3,FALSE,TRUE)</f>
        <v>0</v>
      </c>
      <c r="V350" s="12"/>
      <c r="W350" s="12"/>
      <c r="X350" s="12"/>
      <c r="Y350" t="s">
        <v>2125</v>
      </c>
      <c r="Z350" s="12"/>
      <c r="AA350" s="12"/>
      <c r="AB350" s="12"/>
      <c r="AC350" t="s">
        <v>2125</v>
      </c>
      <c r="AD350" t="str">
        <f>SUBSTITUTE(Master_Reference[[#This Row],[C-Flex 4000K Eco Part Number]],"40-","xx-")</f>
        <v/>
      </c>
      <c r="AE350" t="str">
        <f>SUBSTITUTE(Master_Reference[[#This Row],[C-Flex 4000K 3W Part Number]],"40-","xx-")</f>
        <v/>
      </c>
      <c r="AF350" s="1" t="str">
        <f>_xlfn.IFNA(VLOOKUP(Master_Reference[[#This Row],[C-Flex 3000K Eco Part Number]],Lutron_CFlex_Lookup[],MATCH("Lutron Kit PN",Lutron_CFlex_Lookup[#Headers],0),FALSE),"")</f>
        <v/>
      </c>
      <c r="AG350" s="1" t="str">
        <f>_xlfn.IFNA(VLOOKUP(Master_Reference[[#This Row],[C-Flex 3500K Eco Part Number]],Lutron_CFlex_Lookup[],MATCH("Lutron Kit PN",Lutron_CFlex_Lookup[#Headers],0),FALSE),"")</f>
        <v/>
      </c>
      <c r="AH350" s="1" t="str">
        <f>_xlfn.IFNA(VLOOKUP(Master_Reference[[#This Row],[C-Flex 4000K Eco Part Number]],Lutron_CFlex_Lookup[],MATCH("Lutron Kit PN",Lutron_CFlex_Lookup[#Headers],0),FALSE),"")</f>
        <v/>
      </c>
      <c r="AI350" s="1" t="str">
        <f>_xlfn.IFNA(VLOOKUP(Master_Reference[[#This Row],[C-Flex 5000K Eco Part Number]],Lutron_CFlex_Lookup[],MATCH("Lutron Kit PN",Lutron_CFlex_Lookup[#Headers],0),FALSE),"")</f>
        <v/>
      </c>
      <c r="AJ350" s="1" t="str">
        <f>_xlfn.IFNA(VLOOKUP(Master_Reference[[#This Row],[C-Flex 3000K 3W Part Number]],Lutron_CFlex_Lookup[],MATCH("Lutron Kit PN",Lutron_CFlex_Lookup[#Headers],0),FALSE),"")</f>
        <v/>
      </c>
      <c r="AK350" s="1" t="str">
        <f>_xlfn.IFNA(VLOOKUP(Master_Reference[[#This Row],[C-Flex 3500K 3W Part Number]],Lutron_CFlex_Lookup[],MATCH("Lutron Kit PN",Lutron_CFlex_Lookup[#Headers],0),FALSE),"")</f>
        <v/>
      </c>
      <c r="AL350" s="1" t="str">
        <f>_xlfn.IFNA(VLOOKUP(Master_Reference[[#This Row],[C-Flex 4000K 3W Part Number]],Lutron_CFlex_Lookup[],MATCH("Lutron Kit PN",Lutron_CFlex_Lookup[#Headers],0),FALSE),"")</f>
        <v/>
      </c>
      <c r="AM350" s="1" t="str">
        <f>_xlfn.IFNA(VLOOKUP(Master_Reference[[#This Row],[C-Flex 5000K 3W Part Number]],Lutron_CFlex_Lookup[],MATCH("Lutron Kit PN",Lutron_CFlex_Lookup[#Headers],0),FALSE),"")</f>
        <v/>
      </c>
      <c r="AN350" s="1" t="b">
        <f>NOT(ISNA(VLOOKUP(Master_Reference[[#This Row],[Model Number]],ObsoleteModels[],1,FALSE)))</f>
        <v>1</v>
      </c>
      <c r="AO350" s="1" t="str">
        <f>IF(LEFT(Master_Reference[[#This Row],[Model Number]],1)="U",LEFT(Master_Reference[[#This Row],[Model Number]],4),LEFT(Master_Reference[[#This Row],[Model Number]],3))</f>
        <v>ECO</v>
      </c>
    </row>
    <row r="351" spans="1:41" x14ac:dyDescent="0.25">
      <c r="A351" s="2" t="s">
        <v>627</v>
      </c>
      <c r="B351" s="1"/>
      <c r="C351" s="1" t="b">
        <v>1</v>
      </c>
      <c r="G351" s="1" t="str">
        <f>IF(OR(LEFT(RIGHT(Master_Reference[[#This Row],[Model Number]],3),1)="C",LEFT(RIGHT(Master_Reference[[#This Row],[Model Number]],4),1)="C"),TRUE,"")</f>
        <v/>
      </c>
      <c r="H351" s="1" t="str">
        <f>IF(LEFT(Master_Reference[[#This Row],[Model Number]],1)="U",TRUE,"")</f>
        <v/>
      </c>
      <c r="I351" s="1" t="b">
        <f>IF(Master_Reference[[#This Row],[Lamp Type]]="T4","",IF(Master_Reference[[#This Row],[Case Type]]="M","",TRUE))</f>
        <v>1</v>
      </c>
      <c r="J351" s="1" t="s">
        <v>111</v>
      </c>
      <c r="K351" s="1">
        <v>36</v>
      </c>
      <c r="L351" s="1" t="s">
        <v>118</v>
      </c>
      <c r="M351" s="1">
        <v>2</v>
      </c>
      <c r="N351" s="1">
        <v>240</v>
      </c>
      <c r="O351" s="1" t="s">
        <v>144</v>
      </c>
      <c r="Q351" s="1" t="s">
        <v>456</v>
      </c>
      <c r="R351" t="b">
        <f>IF(COUNTBLANK(Master_Reference[[#This Row],[C-Flex 3000K Eco Part Number]:[C-Flex 4000K Eco Part Number]])=3,FALSE,TRUE)</f>
        <v>0</v>
      </c>
      <c r="S351" t="b">
        <f>IF(COUNTBLANK(Master_Reference[[#This Row],[C-Flex 3000K 3W Part Number]:[C-Flex 4000K 3W Part Number]])=3,FALSE,TRUE)</f>
        <v>0</v>
      </c>
      <c r="T351" t="b">
        <f>IF(COUNTBLANK(Master_Reference[[#This Row],[Lutron 3000K Eco Part Number]:[Lutron 4000K Eco Part Number]])=3,FALSE,TRUE)</f>
        <v>0</v>
      </c>
      <c r="U351" t="b">
        <f>IF(COUNTBLANK(Master_Reference[[#This Row],[Lutron 3000K 3W Part Number]:[Lutron 4000K 3W Part Number]])=3,FALSE,TRUE)</f>
        <v>0</v>
      </c>
      <c r="V351" s="12"/>
      <c r="W351" s="12"/>
      <c r="X351" s="12"/>
      <c r="Y351" t="s">
        <v>2125</v>
      </c>
      <c r="Z351" s="12"/>
      <c r="AA351" s="12"/>
      <c r="AB351" s="12"/>
      <c r="AC351" t="s">
        <v>2125</v>
      </c>
      <c r="AD351" t="str">
        <f>SUBSTITUTE(Master_Reference[[#This Row],[C-Flex 4000K Eco Part Number]],"40-","xx-")</f>
        <v/>
      </c>
      <c r="AE351" t="str">
        <f>SUBSTITUTE(Master_Reference[[#This Row],[C-Flex 4000K 3W Part Number]],"40-","xx-")</f>
        <v/>
      </c>
      <c r="AF351" s="1" t="str">
        <f>_xlfn.IFNA(VLOOKUP(Master_Reference[[#This Row],[C-Flex 3000K Eco Part Number]],Lutron_CFlex_Lookup[],MATCH("Lutron Kit PN",Lutron_CFlex_Lookup[#Headers],0),FALSE),"")</f>
        <v/>
      </c>
      <c r="AG351" s="1" t="str">
        <f>_xlfn.IFNA(VLOOKUP(Master_Reference[[#This Row],[C-Flex 3500K Eco Part Number]],Lutron_CFlex_Lookup[],MATCH("Lutron Kit PN",Lutron_CFlex_Lookup[#Headers],0),FALSE),"")</f>
        <v/>
      </c>
      <c r="AH351" s="1" t="str">
        <f>_xlfn.IFNA(VLOOKUP(Master_Reference[[#This Row],[C-Flex 4000K Eco Part Number]],Lutron_CFlex_Lookup[],MATCH("Lutron Kit PN",Lutron_CFlex_Lookup[#Headers],0),FALSE),"")</f>
        <v/>
      </c>
      <c r="AI351" s="1" t="str">
        <f>_xlfn.IFNA(VLOOKUP(Master_Reference[[#This Row],[C-Flex 5000K Eco Part Number]],Lutron_CFlex_Lookup[],MATCH("Lutron Kit PN",Lutron_CFlex_Lookup[#Headers],0),FALSE),"")</f>
        <v/>
      </c>
      <c r="AJ351" s="1" t="str">
        <f>_xlfn.IFNA(VLOOKUP(Master_Reference[[#This Row],[C-Flex 3000K 3W Part Number]],Lutron_CFlex_Lookup[],MATCH("Lutron Kit PN",Lutron_CFlex_Lookup[#Headers],0),FALSE),"")</f>
        <v/>
      </c>
      <c r="AK351" s="1" t="str">
        <f>_xlfn.IFNA(VLOOKUP(Master_Reference[[#This Row],[C-Flex 3500K 3W Part Number]],Lutron_CFlex_Lookup[],MATCH("Lutron Kit PN",Lutron_CFlex_Lookup[#Headers],0),FALSE),"")</f>
        <v/>
      </c>
      <c r="AL351" s="1" t="str">
        <f>_xlfn.IFNA(VLOOKUP(Master_Reference[[#This Row],[C-Flex 4000K 3W Part Number]],Lutron_CFlex_Lookup[],MATCH("Lutron Kit PN",Lutron_CFlex_Lookup[#Headers],0),FALSE),"")</f>
        <v/>
      </c>
      <c r="AM351" s="1" t="str">
        <f>_xlfn.IFNA(VLOOKUP(Master_Reference[[#This Row],[C-Flex 5000K 3W Part Number]],Lutron_CFlex_Lookup[],MATCH("Lutron Kit PN",Lutron_CFlex_Lookup[#Headers],0),FALSE),"")</f>
        <v/>
      </c>
      <c r="AN351" s="1" t="b">
        <f>NOT(ISNA(VLOOKUP(Master_Reference[[#This Row],[Model Number]],ObsoleteModels[],1,FALSE)))</f>
        <v>1</v>
      </c>
      <c r="AO351" s="1" t="str">
        <f>IF(LEFT(Master_Reference[[#This Row],[Model Number]],1)="U",LEFT(Master_Reference[[#This Row],[Model Number]],4),LEFT(Master_Reference[[#This Row],[Model Number]],3))</f>
        <v>ECO</v>
      </c>
    </row>
    <row r="352" spans="1:41" x14ac:dyDescent="0.25">
      <c r="A352" s="2" t="s">
        <v>628</v>
      </c>
      <c r="B352" s="1"/>
      <c r="C352" s="1" t="b">
        <v>1</v>
      </c>
      <c r="G352" s="1" t="str">
        <f>IF(OR(LEFT(RIGHT(Master_Reference[[#This Row],[Model Number]],3),1)="C",LEFT(RIGHT(Master_Reference[[#This Row],[Model Number]],4),1)="C"),TRUE,"")</f>
        <v/>
      </c>
      <c r="H352" s="1" t="str">
        <f>IF(LEFT(Master_Reference[[#This Row],[Model Number]],1)="U",TRUE,"")</f>
        <v/>
      </c>
      <c r="I352" s="1" t="b">
        <f>IF(Master_Reference[[#This Row],[Lamp Type]]="T4","",IF(Master_Reference[[#This Row],[Case Type]]="M","",TRUE))</f>
        <v>1</v>
      </c>
      <c r="J352" s="1" t="s">
        <v>111</v>
      </c>
      <c r="K352" s="1">
        <v>58</v>
      </c>
      <c r="L352" s="1" t="s">
        <v>220</v>
      </c>
      <c r="M352" s="1">
        <v>1</v>
      </c>
      <c r="N352" s="1">
        <v>240</v>
      </c>
      <c r="O352" s="1" t="s">
        <v>144</v>
      </c>
      <c r="Q352" s="1" t="s">
        <v>456</v>
      </c>
      <c r="R352" t="b">
        <f>IF(COUNTBLANK(Master_Reference[[#This Row],[C-Flex 3000K Eco Part Number]:[C-Flex 4000K Eco Part Number]])=3,FALSE,TRUE)</f>
        <v>0</v>
      </c>
      <c r="S352" t="b">
        <f>IF(COUNTBLANK(Master_Reference[[#This Row],[C-Flex 3000K 3W Part Number]:[C-Flex 4000K 3W Part Number]])=3,FALSE,TRUE)</f>
        <v>0</v>
      </c>
      <c r="T352" t="b">
        <f>IF(COUNTBLANK(Master_Reference[[#This Row],[Lutron 3000K Eco Part Number]:[Lutron 4000K Eco Part Number]])=3,FALSE,TRUE)</f>
        <v>0</v>
      </c>
      <c r="U352" t="b">
        <f>IF(COUNTBLANK(Master_Reference[[#This Row],[Lutron 3000K 3W Part Number]:[Lutron 4000K 3W Part Number]])=3,FALSE,TRUE)</f>
        <v>0</v>
      </c>
      <c r="V352" s="12"/>
      <c r="W352" s="12"/>
      <c r="X352" s="12"/>
      <c r="Y352" t="s">
        <v>2125</v>
      </c>
      <c r="Z352" s="12"/>
      <c r="AA352" s="12"/>
      <c r="AB352" s="12"/>
      <c r="AC352" t="s">
        <v>2125</v>
      </c>
      <c r="AD352" t="str">
        <f>SUBSTITUTE(Master_Reference[[#This Row],[C-Flex 4000K Eco Part Number]],"40-","xx-")</f>
        <v/>
      </c>
      <c r="AE352" t="str">
        <f>SUBSTITUTE(Master_Reference[[#This Row],[C-Flex 4000K 3W Part Number]],"40-","xx-")</f>
        <v/>
      </c>
      <c r="AF352" s="1" t="str">
        <f>_xlfn.IFNA(VLOOKUP(Master_Reference[[#This Row],[C-Flex 3000K Eco Part Number]],Lutron_CFlex_Lookup[],MATCH("Lutron Kit PN",Lutron_CFlex_Lookup[#Headers],0),FALSE),"")</f>
        <v/>
      </c>
      <c r="AG352" s="1" t="str">
        <f>_xlfn.IFNA(VLOOKUP(Master_Reference[[#This Row],[C-Flex 3500K Eco Part Number]],Lutron_CFlex_Lookup[],MATCH("Lutron Kit PN",Lutron_CFlex_Lookup[#Headers],0),FALSE),"")</f>
        <v/>
      </c>
      <c r="AH352" s="1" t="str">
        <f>_xlfn.IFNA(VLOOKUP(Master_Reference[[#This Row],[C-Flex 4000K Eco Part Number]],Lutron_CFlex_Lookup[],MATCH("Lutron Kit PN",Lutron_CFlex_Lookup[#Headers],0),FALSE),"")</f>
        <v/>
      </c>
      <c r="AI352" s="1" t="str">
        <f>_xlfn.IFNA(VLOOKUP(Master_Reference[[#This Row],[C-Flex 5000K Eco Part Number]],Lutron_CFlex_Lookup[],MATCH("Lutron Kit PN",Lutron_CFlex_Lookup[#Headers],0),FALSE),"")</f>
        <v/>
      </c>
      <c r="AJ352" s="1" t="str">
        <f>_xlfn.IFNA(VLOOKUP(Master_Reference[[#This Row],[C-Flex 3000K 3W Part Number]],Lutron_CFlex_Lookup[],MATCH("Lutron Kit PN",Lutron_CFlex_Lookup[#Headers],0),FALSE),"")</f>
        <v/>
      </c>
      <c r="AK352" s="1" t="str">
        <f>_xlfn.IFNA(VLOOKUP(Master_Reference[[#This Row],[C-Flex 3500K 3W Part Number]],Lutron_CFlex_Lookup[],MATCH("Lutron Kit PN",Lutron_CFlex_Lookup[#Headers],0),FALSE),"")</f>
        <v/>
      </c>
      <c r="AL352" s="1" t="str">
        <f>_xlfn.IFNA(VLOOKUP(Master_Reference[[#This Row],[C-Flex 4000K 3W Part Number]],Lutron_CFlex_Lookup[],MATCH("Lutron Kit PN",Lutron_CFlex_Lookup[#Headers],0),FALSE),"")</f>
        <v/>
      </c>
      <c r="AM352" s="1" t="str">
        <f>_xlfn.IFNA(VLOOKUP(Master_Reference[[#This Row],[C-Flex 5000K 3W Part Number]],Lutron_CFlex_Lookup[],MATCH("Lutron Kit PN",Lutron_CFlex_Lookup[#Headers],0),FALSE),"")</f>
        <v/>
      </c>
      <c r="AN352" s="1" t="b">
        <f>NOT(ISNA(VLOOKUP(Master_Reference[[#This Row],[Model Number]],ObsoleteModels[],1,FALSE)))</f>
        <v>1</v>
      </c>
      <c r="AO352" s="1" t="str">
        <f>IF(LEFT(Master_Reference[[#This Row],[Model Number]],1)="U",LEFT(Master_Reference[[#This Row],[Model Number]],4),LEFT(Master_Reference[[#This Row],[Model Number]],3))</f>
        <v>ECO</v>
      </c>
    </row>
    <row r="353" spans="1:41" x14ac:dyDescent="0.25">
      <c r="A353" s="2" t="s">
        <v>629</v>
      </c>
      <c r="B353" s="1"/>
      <c r="C353" s="1" t="b">
        <v>1</v>
      </c>
      <c r="G353" s="1" t="str">
        <f>IF(OR(LEFT(RIGHT(Master_Reference[[#This Row],[Model Number]],3),1)="C",LEFT(RIGHT(Master_Reference[[#This Row],[Model Number]],4),1)="C"),TRUE,"")</f>
        <v/>
      </c>
      <c r="H353" s="1" t="str">
        <f>IF(LEFT(Master_Reference[[#This Row],[Model Number]],1)="U",TRUE,"")</f>
        <v/>
      </c>
      <c r="I353" s="1" t="b">
        <f>IF(Master_Reference[[#This Row],[Lamp Type]]="T4","",IF(Master_Reference[[#This Row],[Case Type]]="M","",TRUE))</f>
        <v>1</v>
      </c>
      <c r="J353" s="1" t="s">
        <v>111</v>
      </c>
      <c r="K353" s="1">
        <v>58</v>
      </c>
      <c r="L353" s="1" t="s">
        <v>220</v>
      </c>
      <c r="M353" s="1">
        <v>2</v>
      </c>
      <c r="N353" s="1">
        <v>240</v>
      </c>
      <c r="O353" s="1" t="s">
        <v>144</v>
      </c>
      <c r="Q353" s="1" t="s">
        <v>456</v>
      </c>
      <c r="R353" t="b">
        <f>IF(COUNTBLANK(Master_Reference[[#This Row],[C-Flex 3000K Eco Part Number]:[C-Flex 4000K Eco Part Number]])=3,FALSE,TRUE)</f>
        <v>0</v>
      </c>
      <c r="S353" t="b">
        <f>IF(COUNTBLANK(Master_Reference[[#This Row],[C-Flex 3000K 3W Part Number]:[C-Flex 4000K 3W Part Number]])=3,FALSE,TRUE)</f>
        <v>0</v>
      </c>
      <c r="T353" t="b">
        <f>IF(COUNTBLANK(Master_Reference[[#This Row],[Lutron 3000K Eco Part Number]:[Lutron 4000K Eco Part Number]])=3,FALSE,TRUE)</f>
        <v>0</v>
      </c>
      <c r="U353" t="b">
        <f>IF(COUNTBLANK(Master_Reference[[#This Row],[Lutron 3000K 3W Part Number]:[Lutron 4000K 3W Part Number]])=3,FALSE,TRUE)</f>
        <v>0</v>
      </c>
      <c r="V353" s="12"/>
      <c r="W353" s="12"/>
      <c r="X353" s="12"/>
      <c r="Y353" t="s">
        <v>2125</v>
      </c>
      <c r="Z353" s="12"/>
      <c r="AA353" s="12"/>
      <c r="AB353" s="12"/>
      <c r="AC353" t="s">
        <v>2125</v>
      </c>
      <c r="AD353" t="str">
        <f>SUBSTITUTE(Master_Reference[[#This Row],[C-Flex 4000K Eco Part Number]],"40-","xx-")</f>
        <v/>
      </c>
      <c r="AE353" t="str">
        <f>SUBSTITUTE(Master_Reference[[#This Row],[C-Flex 4000K 3W Part Number]],"40-","xx-")</f>
        <v/>
      </c>
      <c r="AF353" s="1" t="str">
        <f>_xlfn.IFNA(VLOOKUP(Master_Reference[[#This Row],[C-Flex 3000K Eco Part Number]],Lutron_CFlex_Lookup[],MATCH("Lutron Kit PN",Lutron_CFlex_Lookup[#Headers],0),FALSE),"")</f>
        <v/>
      </c>
      <c r="AG353" s="1" t="str">
        <f>_xlfn.IFNA(VLOOKUP(Master_Reference[[#This Row],[C-Flex 3500K Eco Part Number]],Lutron_CFlex_Lookup[],MATCH("Lutron Kit PN",Lutron_CFlex_Lookup[#Headers],0),FALSE),"")</f>
        <v/>
      </c>
      <c r="AH353" s="1" t="str">
        <f>_xlfn.IFNA(VLOOKUP(Master_Reference[[#This Row],[C-Flex 4000K Eco Part Number]],Lutron_CFlex_Lookup[],MATCH("Lutron Kit PN",Lutron_CFlex_Lookup[#Headers],0),FALSE),"")</f>
        <v/>
      </c>
      <c r="AI353" s="1" t="str">
        <f>_xlfn.IFNA(VLOOKUP(Master_Reference[[#This Row],[C-Flex 5000K Eco Part Number]],Lutron_CFlex_Lookup[],MATCH("Lutron Kit PN",Lutron_CFlex_Lookup[#Headers],0),FALSE),"")</f>
        <v/>
      </c>
      <c r="AJ353" s="1" t="str">
        <f>_xlfn.IFNA(VLOOKUP(Master_Reference[[#This Row],[C-Flex 3000K 3W Part Number]],Lutron_CFlex_Lookup[],MATCH("Lutron Kit PN",Lutron_CFlex_Lookup[#Headers],0),FALSE),"")</f>
        <v/>
      </c>
      <c r="AK353" s="1" t="str">
        <f>_xlfn.IFNA(VLOOKUP(Master_Reference[[#This Row],[C-Flex 3500K 3W Part Number]],Lutron_CFlex_Lookup[],MATCH("Lutron Kit PN",Lutron_CFlex_Lookup[#Headers],0),FALSE),"")</f>
        <v/>
      </c>
      <c r="AL353" s="1" t="str">
        <f>_xlfn.IFNA(VLOOKUP(Master_Reference[[#This Row],[C-Flex 4000K 3W Part Number]],Lutron_CFlex_Lookup[],MATCH("Lutron Kit PN",Lutron_CFlex_Lookup[#Headers],0),FALSE),"")</f>
        <v/>
      </c>
      <c r="AM353" s="1" t="str">
        <f>_xlfn.IFNA(VLOOKUP(Master_Reference[[#This Row],[C-Flex 5000K 3W Part Number]],Lutron_CFlex_Lookup[],MATCH("Lutron Kit PN",Lutron_CFlex_Lookup[#Headers],0),FALSE),"")</f>
        <v/>
      </c>
      <c r="AN353" s="1" t="b">
        <f>NOT(ISNA(VLOOKUP(Master_Reference[[#This Row],[Model Number]],ObsoleteModels[],1,FALSE)))</f>
        <v>1</v>
      </c>
      <c r="AO353" s="1" t="str">
        <f>IF(LEFT(Master_Reference[[#This Row],[Model Number]],1)="U",LEFT(Master_Reference[[#This Row],[Model Number]],4),LEFT(Master_Reference[[#This Row],[Model Number]],3))</f>
        <v>ECO</v>
      </c>
    </row>
    <row r="354" spans="1:41" x14ac:dyDescent="0.25">
      <c r="A354" s="2" t="s">
        <v>630</v>
      </c>
      <c r="B354" s="1" t="b">
        <v>1</v>
      </c>
      <c r="G354" s="1" t="str">
        <f>IF(OR(LEFT(RIGHT(Master_Reference[[#This Row],[Model Number]],3),1)="C",LEFT(RIGHT(Master_Reference[[#This Row],[Model Number]],4),1)="C"),TRUE,"")</f>
        <v/>
      </c>
      <c r="H354" s="1" t="str">
        <f>IF(LEFT(Master_Reference[[#This Row],[Model Number]],1)="U",TRUE,"")</f>
        <v/>
      </c>
      <c r="I354" s="1" t="str">
        <f>IF(Master_Reference[[#This Row],[Lamp Type]]="T4","",IF(Master_Reference[[#This Row],[Case Type]]="M","",TRUE))</f>
        <v/>
      </c>
      <c r="J354" s="1" t="str">
        <f t="shared" ref="J354:J385" si="6">RIGHT(LEFT(A354,5),2)</f>
        <v>T5</v>
      </c>
      <c r="K354" s="1">
        <v>13</v>
      </c>
      <c r="L354" s="1" t="s">
        <v>112</v>
      </c>
      <c r="M354" s="1">
        <v>1</v>
      </c>
      <c r="N354" s="1" t="s">
        <v>631</v>
      </c>
      <c r="O354" s="1" t="s">
        <v>632</v>
      </c>
      <c r="Q354" s="1" t="s">
        <v>456</v>
      </c>
      <c r="R354" t="b">
        <f>IF(COUNTBLANK(Master_Reference[[#This Row],[C-Flex 3000K Eco Part Number]:[C-Flex 4000K Eco Part Number]])=3,FALSE,TRUE)</f>
        <v>0</v>
      </c>
      <c r="S354" t="b">
        <f>IF(COUNTBLANK(Master_Reference[[#This Row],[C-Flex 3000K 3W Part Number]:[C-Flex 4000K 3W Part Number]])=3,FALSE,TRUE)</f>
        <v>0</v>
      </c>
      <c r="T354" t="b">
        <f>IF(COUNTBLANK(Master_Reference[[#This Row],[Lutron 3000K Eco Part Number]:[Lutron 4000K Eco Part Number]])=3,FALSE,TRUE)</f>
        <v>0</v>
      </c>
      <c r="U354" t="b">
        <f>IF(COUNTBLANK(Master_Reference[[#This Row],[Lutron 3000K 3W Part Number]:[Lutron 4000K 3W Part Number]])=3,FALSE,TRUE)</f>
        <v>0</v>
      </c>
      <c r="V354" s="12"/>
      <c r="W354" s="12"/>
      <c r="X354" s="12"/>
      <c r="Y354" t="s">
        <v>2125</v>
      </c>
      <c r="Z354" s="12"/>
      <c r="AA354" s="12"/>
      <c r="AB354" s="12"/>
      <c r="AC354" t="s">
        <v>2125</v>
      </c>
      <c r="AD354" t="str">
        <f>SUBSTITUTE(Master_Reference[[#This Row],[C-Flex 4000K Eco Part Number]],"40-","xx-")</f>
        <v/>
      </c>
      <c r="AE354" t="str">
        <f>SUBSTITUTE(Master_Reference[[#This Row],[C-Flex 4000K 3W Part Number]],"40-","xx-")</f>
        <v/>
      </c>
      <c r="AF354" s="1" t="str">
        <f>_xlfn.IFNA(VLOOKUP(Master_Reference[[#This Row],[C-Flex 3000K Eco Part Number]],Lutron_CFlex_Lookup[],MATCH("Lutron Kit PN",Lutron_CFlex_Lookup[#Headers],0),FALSE),"")</f>
        <v/>
      </c>
      <c r="AG354" s="1" t="str">
        <f>_xlfn.IFNA(VLOOKUP(Master_Reference[[#This Row],[C-Flex 3500K Eco Part Number]],Lutron_CFlex_Lookup[],MATCH("Lutron Kit PN",Lutron_CFlex_Lookup[#Headers],0),FALSE),"")</f>
        <v/>
      </c>
      <c r="AH354" s="1" t="str">
        <f>_xlfn.IFNA(VLOOKUP(Master_Reference[[#This Row],[C-Flex 4000K Eco Part Number]],Lutron_CFlex_Lookup[],MATCH("Lutron Kit PN",Lutron_CFlex_Lookup[#Headers],0),FALSE),"")</f>
        <v/>
      </c>
      <c r="AI354" s="1" t="str">
        <f>_xlfn.IFNA(VLOOKUP(Master_Reference[[#This Row],[C-Flex 5000K Eco Part Number]],Lutron_CFlex_Lookup[],MATCH("Lutron Kit PN",Lutron_CFlex_Lookup[#Headers],0),FALSE),"")</f>
        <v/>
      </c>
      <c r="AJ354" s="1" t="str">
        <f>_xlfn.IFNA(VLOOKUP(Master_Reference[[#This Row],[C-Flex 3000K 3W Part Number]],Lutron_CFlex_Lookup[],MATCH("Lutron Kit PN",Lutron_CFlex_Lookup[#Headers],0),FALSE),"")</f>
        <v/>
      </c>
      <c r="AK354" s="1" t="str">
        <f>_xlfn.IFNA(VLOOKUP(Master_Reference[[#This Row],[C-Flex 3500K 3W Part Number]],Lutron_CFlex_Lookup[],MATCH("Lutron Kit PN",Lutron_CFlex_Lookup[#Headers],0),FALSE),"")</f>
        <v/>
      </c>
      <c r="AL354" s="1" t="str">
        <f>_xlfn.IFNA(VLOOKUP(Master_Reference[[#This Row],[C-Flex 4000K 3W Part Number]],Lutron_CFlex_Lookup[],MATCH("Lutron Kit PN",Lutron_CFlex_Lookup[#Headers],0),FALSE),"")</f>
        <v/>
      </c>
      <c r="AM354" s="1" t="str">
        <f>_xlfn.IFNA(VLOOKUP(Master_Reference[[#This Row],[C-Flex 5000K 3W Part Number]],Lutron_CFlex_Lookup[],MATCH("Lutron Kit PN",Lutron_CFlex_Lookup[#Headers],0),FALSE),"")</f>
        <v/>
      </c>
      <c r="AN354" s="1" t="b">
        <f>NOT(ISNA(VLOOKUP(Master_Reference[[#This Row],[Model Number]],ObsoleteModels[],1,FALSE)))</f>
        <v>1</v>
      </c>
      <c r="AO354" s="1" t="str">
        <f>IF(LEFT(Master_Reference[[#This Row],[Model Number]],1)="U",LEFT(Master_Reference[[#This Row],[Model Number]],4),LEFT(Master_Reference[[#This Row],[Model Number]],3))</f>
        <v>EHD</v>
      </c>
    </row>
    <row r="355" spans="1:41" x14ac:dyDescent="0.25">
      <c r="A355" s="2" t="s">
        <v>633</v>
      </c>
      <c r="B355" s="1" t="b">
        <v>1</v>
      </c>
      <c r="G355" s="1" t="b">
        <v>1</v>
      </c>
      <c r="H355" s="1" t="str">
        <f>IF(LEFT(Master_Reference[[#This Row],[Model Number]],1)="U",TRUE,"")</f>
        <v/>
      </c>
      <c r="I355" s="1" t="str">
        <f>IF(Master_Reference[[#This Row],[Lamp Type]]="T4","",IF(Master_Reference[[#This Row],[Case Type]]="M","",TRUE))</f>
        <v/>
      </c>
      <c r="J355" s="1" t="str">
        <f t="shared" si="6"/>
        <v>T5</v>
      </c>
      <c r="K355" s="1">
        <v>13</v>
      </c>
      <c r="L355" s="1" t="s">
        <v>112</v>
      </c>
      <c r="M355" s="1">
        <v>1</v>
      </c>
      <c r="N355" s="1" t="s">
        <v>631</v>
      </c>
      <c r="O355" s="1" t="s">
        <v>632</v>
      </c>
      <c r="Q355" s="1" t="s">
        <v>456</v>
      </c>
      <c r="R355" t="b">
        <f>IF(COUNTBLANK(Master_Reference[[#This Row],[C-Flex 3000K Eco Part Number]:[C-Flex 4000K Eco Part Number]])=3,FALSE,TRUE)</f>
        <v>0</v>
      </c>
      <c r="S355" t="b">
        <f>IF(COUNTBLANK(Master_Reference[[#This Row],[C-Flex 3000K 3W Part Number]:[C-Flex 4000K 3W Part Number]])=3,FALSE,TRUE)</f>
        <v>0</v>
      </c>
      <c r="T355" t="b">
        <f>IF(COUNTBLANK(Master_Reference[[#This Row],[Lutron 3000K Eco Part Number]:[Lutron 4000K Eco Part Number]])=3,FALSE,TRUE)</f>
        <v>0</v>
      </c>
      <c r="U355" t="b">
        <f>IF(COUNTBLANK(Master_Reference[[#This Row],[Lutron 3000K 3W Part Number]:[Lutron 4000K 3W Part Number]])=3,FALSE,TRUE)</f>
        <v>0</v>
      </c>
      <c r="V355" s="12"/>
      <c r="W355" s="12"/>
      <c r="X355" s="12"/>
      <c r="Y355" t="s">
        <v>2125</v>
      </c>
      <c r="Z355" s="12"/>
      <c r="AA355" s="12"/>
      <c r="AB355" s="12"/>
      <c r="AC355" t="s">
        <v>2125</v>
      </c>
      <c r="AD355" t="str">
        <f>SUBSTITUTE(Master_Reference[[#This Row],[C-Flex 4000K Eco Part Number]],"40-","xx-")</f>
        <v/>
      </c>
      <c r="AE355" t="str">
        <f>SUBSTITUTE(Master_Reference[[#This Row],[C-Flex 4000K 3W Part Number]],"40-","xx-")</f>
        <v/>
      </c>
      <c r="AF355" s="1" t="str">
        <f>_xlfn.IFNA(VLOOKUP(Master_Reference[[#This Row],[C-Flex 3000K Eco Part Number]],Lutron_CFlex_Lookup[],MATCH("Lutron Kit PN",Lutron_CFlex_Lookup[#Headers],0),FALSE),"")</f>
        <v/>
      </c>
      <c r="AG355" s="1" t="str">
        <f>_xlfn.IFNA(VLOOKUP(Master_Reference[[#This Row],[C-Flex 3500K Eco Part Number]],Lutron_CFlex_Lookup[],MATCH("Lutron Kit PN",Lutron_CFlex_Lookup[#Headers],0),FALSE),"")</f>
        <v/>
      </c>
      <c r="AH355" s="1" t="str">
        <f>_xlfn.IFNA(VLOOKUP(Master_Reference[[#This Row],[C-Flex 4000K Eco Part Number]],Lutron_CFlex_Lookup[],MATCH("Lutron Kit PN",Lutron_CFlex_Lookup[#Headers],0),FALSE),"")</f>
        <v/>
      </c>
      <c r="AI355" s="1" t="str">
        <f>_xlfn.IFNA(VLOOKUP(Master_Reference[[#This Row],[C-Flex 5000K Eco Part Number]],Lutron_CFlex_Lookup[],MATCH("Lutron Kit PN",Lutron_CFlex_Lookup[#Headers],0),FALSE),"")</f>
        <v/>
      </c>
      <c r="AJ355" s="1" t="str">
        <f>_xlfn.IFNA(VLOOKUP(Master_Reference[[#This Row],[C-Flex 3000K 3W Part Number]],Lutron_CFlex_Lookup[],MATCH("Lutron Kit PN",Lutron_CFlex_Lookup[#Headers],0),FALSE),"")</f>
        <v/>
      </c>
      <c r="AK355" s="1" t="str">
        <f>_xlfn.IFNA(VLOOKUP(Master_Reference[[#This Row],[C-Flex 3500K 3W Part Number]],Lutron_CFlex_Lookup[],MATCH("Lutron Kit PN",Lutron_CFlex_Lookup[#Headers],0),FALSE),"")</f>
        <v/>
      </c>
      <c r="AL355" s="1" t="str">
        <f>_xlfn.IFNA(VLOOKUP(Master_Reference[[#This Row],[C-Flex 4000K 3W Part Number]],Lutron_CFlex_Lookup[],MATCH("Lutron Kit PN",Lutron_CFlex_Lookup[#Headers],0),FALSE),"")</f>
        <v/>
      </c>
      <c r="AM355" s="1" t="str">
        <f>_xlfn.IFNA(VLOOKUP(Master_Reference[[#This Row],[C-Flex 5000K 3W Part Number]],Lutron_CFlex_Lookup[],MATCH("Lutron Kit PN",Lutron_CFlex_Lookup[#Headers],0),FALSE),"")</f>
        <v/>
      </c>
      <c r="AN355" s="1" t="b">
        <f>NOT(ISNA(VLOOKUP(Master_Reference[[#This Row],[Model Number]],ObsoleteModels[],1,FALSE)))</f>
        <v>1</v>
      </c>
      <c r="AO355" s="1" t="str">
        <f>IF(LEFT(Master_Reference[[#This Row],[Model Number]],1)="U",LEFT(Master_Reference[[#This Row],[Model Number]],4),LEFT(Master_Reference[[#This Row],[Model Number]],3))</f>
        <v>EHD</v>
      </c>
    </row>
    <row r="356" spans="1:41" x14ac:dyDescent="0.25">
      <c r="A356" s="2" t="s">
        <v>634</v>
      </c>
      <c r="B356" s="1" t="b">
        <v>1</v>
      </c>
      <c r="G356" s="1" t="str">
        <f>IF(OR(LEFT(RIGHT(Master_Reference[[#This Row],[Model Number]],3),1)="C",LEFT(RIGHT(Master_Reference[[#This Row],[Model Number]],4),1)="C"),TRUE,"")</f>
        <v/>
      </c>
      <c r="H356" s="1" t="str">
        <f>IF(LEFT(Master_Reference[[#This Row],[Model Number]],1)="U",TRUE,"")</f>
        <v/>
      </c>
      <c r="I356" s="1" t="str">
        <f>IF(Master_Reference[[#This Row],[Lamp Type]]="T4","",IF(Master_Reference[[#This Row],[Case Type]]="M","",TRUE))</f>
        <v/>
      </c>
      <c r="J356" s="1" t="str">
        <f t="shared" si="6"/>
        <v>T5</v>
      </c>
      <c r="K356" s="1">
        <v>13</v>
      </c>
      <c r="L356" s="1" t="s">
        <v>112</v>
      </c>
      <c r="M356" s="1">
        <v>2</v>
      </c>
      <c r="N356" s="1" t="s">
        <v>631</v>
      </c>
      <c r="O356" s="1" t="s">
        <v>632</v>
      </c>
      <c r="Q356" s="1" t="s">
        <v>456</v>
      </c>
      <c r="R356" t="b">
        <f>IF(COUNTBLANK(Master_Reference[[#This Row],[C-Flex 3000K Eco Part Number]:[C-Flex 4000K Eco Part Number]])=3,FALSE,TRUE)</f>
        <v>0</v>
      </c>
      <c r="S356" t="b">
        <f>IF(COUNTBLANK(Master_Reference[[#This Row],[C-Flex 3000K 3W Part Number]:[C-Flex 4000K 3W Part Number]])=3,FALSE,TRUE)</f>
        <v>0</v>
      </c>
      <c r="T356" t="b">
        <f>IF(COUNTBLANK(Master_Reference[[#This Row],[Lutron 3000K Eco Part Number]:[Lutron 4000K Eco Part Number]])=3,FALSE,TRUE)</f>
        <v>0</v>
      </c>
      <c r="U356" t="b">
        <f>IF(COUNTBLANK(Master_Reference[[#This Row],[Lutron 3000K 3W Part Number]:[Lutron 4000K 3W Part Number]])=3,FALSE,TRUE)</f>
        <v>0</v>
      </c>
      <c r="V356" s="12"/>
      <c r="W356" s="12"/>
      <c r="X356" s="12"/>
      <c r="Y356" t="s">
        <v>2125</v>
      </c>
      <c r="Z356" s="12"/>
      <c r="AA356" s="12"/>
      <c r="AB356" s="12"/>
      <c r="AC356" t="s">
        <v>2125</v>
      </c>
      <c r="AD356" t="str">
        <f>SUBSTITUTE(Master_Reference[[#This Row],[C-Flex 4000K Eco Part Number]],"40-","xx-")</f>
        <v/>
      </c>
      <c r="AE356" t="str">
        <f>SUBSTITUTE(Master_Reference[[#This Row],[C-Flex 4000K 3W Part Number]],"40-","xx-")</f>
        <v/>
      </c>
      <c r="AF356" s="1" t="str">
        <f>_xlfn.IFNA(VLOOKUP(Master_Reference[[#This Row],[C-Flex 3000K Eco Part Number]],Lutron_CFlex_Lookup[],MATCH("Lutron Kit PN",Lutron_CFlex_Lookup[#Headers],0),FALSE),"")</f>
        <v/>
      </c>
      <c r="AG356" s="1" t="str">
        <f>_xlfn.IFNA(VLOOKUP(Master_Reference[[#This Row],[C-Flex 3500K Eco Part Number]],Lutron_CFlex_Lookup[],MATCH("Lutron Kit PN",Lutron_CFlex_Lookup[#Headers],0),FALSE),"")</f>
        <v/>
      </c>
      <c r="AH356" s="1" t="str">
        <f>_xlfn.IFNA(VLOOKUP(Master_Reference[[#This Row],[C-Flex 4000K Eco Part Number]],Lutron_CFlex_Lookup[],MATCH("Lutron Kit PN",Lutron_CFlex_Lookup[#Headers],0),FALSE),"")</f>
        <v/>
      </c>
      <c r="AI356" s="1" t="str">
        <f>_xlfn.IFNA(VLOOKUP(Master_Reference[[#This Row],[C-Flex 5000K Eco Part Number]],Lutron_CFlex_Lookup[],MATCH("Lutron Kit PN",Lutron_CFlex_Lookup[#Headers],0),FALSE),"")</f>
        <v/>
      </c>
      <c r="AJ356" s="1" t="str">
        <f>_xlfn.IFNA(VLOOKUP(Master_Reference[[#This Row],[C-Flex 3000K 3W Part Number]],Lutron_CFlex_Lookup[],MATCH("Lutron Kit PN",Lutron_CFlex_Lookup[#Headers],0),FALSE),"")</f>
        <v/>
      </c>
      <c r="AK356" s="1" t="str">
        <f>_xlfn.IFNA(VLOOKUP(Master_Reference[[#This Row],[C-Flex 3500K 3W Part Number]],Lutron_CFlex_Lookup[],MATCH("Lutron Kit PN",Lutron_CFlex_Lookup[#Headers],0),FALSE),"")</f>
        <v/>
      </c>
      <c r="AL356" s="1" t="str">
        <f>_xlfn.IFNA(VLOOKUP(Master_Reference[[#This Row],[C-Flex 4000K 3W Part Number]],Lutron_CFlex_Lookup[],MATCH("Lutron Kit PN",Lutron_CFlex_Lookup[#Headers],0),FALSE),"")</f>
        <v/>
      </c>
      <c r="AM356" s="1" t="str">
        <f>_xlfn.IFNA(VLOOKUP(Master_Reference[[#This Row],[C-Flex 5000K 3W Part Number]],Lutron_CFlex_Lookup[],MATCH("Lutron Kit PN",Lutron_CFlex_Lookup[#Headers],0),FALSE),"")</f>
        <v/>
      </c>
      <c r="AN356" s="1" t="b">
        <f>NOT(ISNA(VLOOKUP(Master_Reference[[#This Row],[Model Number]],ObsoleteModels[],1,FALSE)))</f>
        <v>1</v>
      </c>
      <c r="AO356" s="1" t="str">
        <f>IF(LEFT(Master_Reference[[#This Row],[Model Number]],1)="U",LEFT(Master_Reference[[#This Row],[Model Number]],4),LEFT(Master_Reference[[#This Row],[Model Number]],3))</f>
        <v>EHD</v>
      </c>
    </row>
    <row r="357" spans="1:41" x14ac:dyDescent="0.25">
      <c r="A357" s="2" t="s">
        <v>635</v>
      </c>
      <c r="B357" s="1" t="b">
        <v>1</v>
      </c>
      <c r="G357" s="1" t="b">
        <v>1</v>
      </c>
      <c r="H357" s="1" t="str">
        <f>IF(LEFT(Master_Reference[[#This Row],[Model Number]],1)="U",TRUE,"")</f>
        <v/>
      </c>
      <c r="I357" s="1" t="str">
        <f>IF(Master_Reference[[#This Row],[Lamp Type]]="T4","",IF(Master_Reference[[#This Row],[Case Type]]="M","",TRUE))</f>
        <v/>
      </c>
      <c r="J357" s="1" t="str">
        <f t="shared" si="6"/>
        <v>T5</v>
      </c>
      <c r="K357" s="1">
        <v>13</v>
      </c>
      <c r="L357" s="1" t="s">
        <v>112</v>
      </c>
      <c r="M357" s="1">
        <v>2</v>
      </c>
      <c r="N357" s="1" t="s">
        <v>631</v>
      </c>
      <c r="O357" s="1" t="s">
        <v>632</v>
      </c>
      <c r="Q357" s="1" t="s">
        <v>456</v>
      </c>
      <c r="R357" t="b">
        <f>IF(COUNTBLANK(Master_Reference[[#This Row],[C-Flex 3000K Eco Part Number]:[C-Flex 4000K Eco Part Number]])=3,FALSE,TRUE)</f>
        <v>0</v>
      </c>
      <c r="S357" t="b">
        <f>IF(COUNTBLANK(Master_Reference[[#This Row],[C-Flex 3000K 3W Part Number]:[C-Flex 4000K 3W Part Number]])=3,FALSE,TRUE)</f>
        <v>0</v>
      </c>
      <c r="T357" t="b">
        <f>IF(COUNTBLANK(Master_Reference[[#This Row],[Lutron 3000K Eco Part Number]:[Lutron 4000K Eco Part Number]])=3,FALSE,TRUE)</f>
        <v>0</v>
      </c>
      <c r="U357" t="b">
        <f>IF(COUNTBLANK(Master_Reference[[#This Row],[Lutron 3000K 3W Part Number]:[Lutron 4000K 3W Part Number]])=3,FALSE,TRUE)</f>
        <v>0</v>
      </c>
      <c r="V357" s="12"/>
      <c r="W357" s="12"/>
      <c r="X357" s="12"/>
      <c r="Y357" t="s">
        <v>2125</v>
      </c>
      <c r="Z357" s="12"/>
      <c r="AA357" s="12"/>
      <c r="AB357" s="12"/>
      <c r="AC357" t="s">
        <v>2125</v>
      </c>
      <c r="AD357" t="str">
        <f>SUBSTITUTE(Master_Reference[[#This Row],[C-Flex 4000K Eco Part Number]],"40-","xx-")</f>
        <v/>
      </c>
      <c r="AE357" t="str">
        <f>SUBSTITUTE(Master_Reference[[#This Row],[C-Flex 4000K 3W Part Number]],"40-","xx-")</f>
        <v/>
      </c>
      <c r="AF357" s="1" t="str">
        <f>_xlfn.IFNA(VLOOKUP(Master_Reference[[#This Row],[C-Flex 3000K Eco Part Number]],Lutron_CFlex_Lookup[],MATCH("Lutron Kit PN",Lutron_CFlex_Lookup[#Headers],0),FALSE),"")</f>
        <v/>
      </c>
      <c r="AG357" s="1" t="str">
        <f>_xlfn.IFNA(VLOOKUP(Master_Reference[[#This Row],[C-Flex 3500K Eco Part Number]],Lutron_CFlex_Lookup[],MATCH("Lutron Kit PN",Lutron_CFlex_Lookup[#Headers],0),FALSE),"")</f>
        <v/>
      </c>
      <c r="AH357" s="1" t="str">
        <f>_xlfn.IFNA(VLOOKUP(Master_Reference[[#This Row],[C-Flex 4000K Eco Part Number]],Lutron_CFlex_Lookup[],MATCH("Lutron Kit PN",Lutron_CFlex_Lookup[#Headers],0),FALSE),"")</f>
        <v/>
      </c>
      <c r="AI357" s="1" t="str">
        <f>_xlfn.IFNA(VLOOKUP(Master_Reference[[#This Row],[C-Flex 5000K Eco Part Number]],Lutron_CFlex_Lookup[],MATCH("Lutron Kit PN",Lutron_CFlex_Lookup[#Headers],0),FALSE),"")</f>
        <v/>
      </c>
      <c r="AJ357" s="1" t="str">
        <f>_xlfn.IFNA(VLOOKUP(Master_Reference[[#This Row],[C-Flex 3000K 3W Part Number]],Lutron_CFlex_Lookup[],MATCH("Lutron Kit PN",Lutron_CFlex_Lookup[#Headers],0),FALSE),"")</f>
        <v/>
      </c>
      <c r="AK357" s="1" t="str">
        <f>_xlfn.IFNA(VLOOKUP(Master_Reference[[#This Row],[C-Flex 3500K 3W Part Number]],Lutron_CFlex_Lookup[],MATCH("Lutron Kit PN",Lutron_CFlex_Lookup[#Headers],0),FALSE),"")</f>
        <v/>
      </c>
      <c r="AL357" s="1" t="str">
        <f>_xlfn.IFNA(VLOOKUP(Master_Reference[[#This Row],[C-Flex 4000K 3W Part Number]],Lutron_CFlex_Lookup[],MATCH("Lutron Kit PN",Lutron_CFlex_Lookup[#Headers],0),FALSE),"")</f>
        <v/>
      </c>
      <c r="AM357" s="1" t="str">
        <f>_xlfn.IFNA(VLOOKUP(Master_Reference[[#This Row],[C-Flex 5000K 3W Part Number]],Lutron_CFlex_Lookup[],MATCH("Lutron Kit PN",Lutron_CFlex_Lookup[#Headers],0),FALSE),"")</f>
        <v/>
      </c>
      <c r="AN357" s="1" t="b">
        <f>NOT(ISNA(VLOOKUP(Master_Reference[[#This Row],[Model Number]],ObsoleteModels[],1,FALSE)))</f>
        <v>1</v>
      </c>
      <c r="AO357" s="1" t="str">
        <f>IF(LEFT(Master_Reference[[#This Row],[Model Number]],1)="U",LEFT(Master_Reference[[#This Row],[Model Number]],4),LEFT(Master_Reference[[#This Row],[Model Number]],3))</f>
        <v>EHD</v>
      </c>
    </row>
    <row r="358" spans="1:41" x14ac:dyDescent="0.25">
      <c r="A358" s="2" t="s">
        <v>636</v>
      </c>
      <c r="B358" s="1" t="b">
        <v>1</v>
      </c>
      <c r="G358" s="1" t="b">
        <v>1</v>
      </c>
      <c r="H358" s="1" t="str">
        <f>IF(LEFT(Master_Reference[[#This Row],[Model Number]],1)="U",TRUE,"")</f>
        <v/>
      </c>
      <c r="I358" s="1" t="str">
        <f>IF(Master_Reference[[#This Row],[Lamp Type]]="T4","",IF(Master_Reference[[#This Row],[Case Type]]="M","",TRUE))</f>
        <v/>
      </c>
      <c r="J358" s="1" t="str">
        <f t="shared" si="6"/>
        <v>T5</v>
      </c>
      <c r="K358" s="1">
        <v>13</v>
      </c>
      <c r="L358" s="1" t="s">
        <v>112</v>
      </c>
      <c r="M358" s="1">
        <v>2</v>
      </c>
      <c r="N358" s="1" t="s">
        <v>149</v>
      </c>
      <c r="O358" s="1" t="s">
        <v>632</v>
      </c>
      <c r="R358" t="b">
        <f>IF(COUNTBLANK(Master_Reference[[#This Row],[C-Flex 3000K Eco Part Number]:[C-Flex 4000K Eco Part Number]])=3,FALSE,TRUE)</f>
        <v>1</v>
      </c>
      <c r="S358" t="b">
        <f>IF(COUNTBLANK(Master_Reference[[#This Row],[C-Flex 3000K 3W Part Number]:[C-Flex 4000K 3W Part Number]])=3,FALSE,TRUE)</f>
        <v>0</v>
      </c>
      <c r="T358" t="b">
        <f>IF(COUNTBLANK(Master_Reference[[#This Row],[Lutron 3000K Eco Part Number]:[Lutron 4000K Eco Part Number]])=3,FALSE,TRUE)</f>
        <v>1</v>
      </c>
      <c r="U358" t="b">
        <f>IF(COUNTBLANK(Master_Reference[[#This Row],[Lutron 3000K 3W Part Number]:[Lutron 4000K 3W Part Number]])=3,FALSE,TRUE)</f>
        <v>0</v>
      </c>
      <c r="V358" s="12" t="s">
        <v>325</v>
      </c>
      <c r="W358" s="12" t="s">
        <v>326</v>
      </c>
      <c r="X358" s="12" t="s">
        <v>327</v>
      </c>
      <c r="Y358" t="s">
        <v>1716</v>
      </c>
      <c r="Z358" s="12"/>
      <c r="AA358" s="12"/>
      <c r="AB358" s="12"/>
      <c r="AC358" t="s">
        <v>2125</v>
      </c>
      <c r="AD358" t="str">
        <f>SUBSTITUTE(Master_Reference[[#This Row],[C-Flex 4000K Eco Part Number]],"40-","xx-")</f>
        <v>RP-T5-2FT-2L-8xx-E1-M-G2</v>
      </c>
      <c r="AE358" t="str">
        <f>SUBSTITUTE(Master_Reference[[#This Row],[C-Flex 4000K 3W Part Number]],"40-","xx-")</f>
        <v/>
      </c>
      <c r="AF358" s="1" t="str">
        <f>_xlfn.IFNA(VLOOKUP(Master_Reference[[#This Row],[C-Flex 3000K Eco Part Number]],Lutron_CFlex_Lookup[],MATCH("Lutron Kit PN",Lutron_CFlex_Lookup[#Headers],0),FALSE),"")</f>
        <v>ELD2T5-2M30-q</v>
      </c>
      <c r="AG358" s="1" t="str">
        <f>_xlfn.IFNA(VLOOKUP(Master_Reference[[#This Row],[C-Flex 3500K Eco Part Number]],Lutron_CFlex_Lookup[],MATCH("Lutron Kit PN",Lutron_CFlex_Lookup[#Headers],0),FALSE),"")</f>
        <v>ELD2T5-2M35-q</v>
      </c>
      <c r="AH358" s="1" t="str">
        <f>_xlfn.IFNA(VLOOKUP(Master_Reference[[#This Row],[C-Flex 4000K Eco Part Number]],Lutron_CFlex_Lookup[],MATCH("Lutron Kit PN",Lutron_CFlex_Lookup[#Headers],0),FALSE),"")</f>
        <v>ELD2T5-2M40-q</v>
      </c>
      <c r="AI358" s="1" t="str">
        <f>_xlfn.IFNA(VLOOKUP(Master_Reference[[#This Row],[C-Flex 5000K Eco Part Number]],Lutron_CFlex_Lookup[],MATCH("Lutron Kit PN",Lutron_CFlex_Lookup[#Headers],0),FALSE),"")</f>
        <v>ELD2T5-2M50-q</v>
      </c>
      <c r="AJ358" s="1" t="str">
        <f>_xlfn.IFNA(VLOOKUP(Master_Reference[[#This Row],[C-Flex 3000K 3W Part Number]],Lutron_CFlex_Lookup[],MATCH("Lutron Kit PN",Lutron_CFlex_Lookup[#Headers],0),FALSE),"")</f>
        <v/>
      </c>
      <c r="AK358" s="1" t="str">
        <f>_xlfn.IFNA(VLOOKUP(Master_Reference[[#This Row],[C-Flex 3500K 3W Part Number]],Lutron_CFlex_Lookup[],MATCH("Lutron Kit PN",Lutron_CFlex_Lookup[#Headers],0),FALSE),"")</f>
        <v/>
      </c>
      <c r="AL358" s="1" t="str">
        <f>_xlfn.IFNA(VLOOKUP(Master_Reference[[#This Row],[C-Flex 4000K 3W Part Number]],Lutron_CFlex_Lookup[],MATCH("Lutron Kit PN",Lutron_CFlex_Lookup[#Headers],0),FALSE),"")</f>
        <v/>
      </c>
      <c r="AM358" s="1" t="str">
        <f>_xlfn.IFNA(VLOOKUP(Master_Reference[[#This Row],[C-Flex 5000K 3W Part Number]],Lutron_CFlex_Lookup[],MATCH("Lutron Kit PN",Lutron_CFlex_Lookup[#Headers],0),FALSE),"")</f>
        <v/>
      </c>
      <c r="AN358" s="1" t="b">
        <f>NOT(ISNA(VLOOKUP(Master_Reference[[#This Row],[Model Number]],ObsoleteModels[],1,FALSE)))</f>
        <v>1</v>
      </c>
      <c r="AO358" s="1" t="str">
        <f>IF(LEFT(Master_Reference[[#This Row],[Model Number]],1)="U",LEFT(Master_Reference[[#This Row],[Model Number]],4),LEFT(Master_Reference[[#This Row],[Model Number]],3))</f>
        <v>EHD</v>
      </c>
    </row>
    <row r="359" spans="1:41" x14ac:dyDescent="0.25">
      <c r="A359" s="2" t="s">
        <v>637</v>
      </c>
      <c r="B359" s="1" t="b">
        <v>1</v>
      </c>
      <c r="G359" s="1" t="str">
        <f>IF(OR(LEFT(RIGHT(Master_Reference[[#This Row],[Model Number]],3),1)="C",LEFT(RIGHT(Master_Reference[[#This Row],[Model Number]],4),1)="C"),TRUE,"")</f>
        <v/>
      </c>
      <c r="H359" s="1" t="str">
        <f>IF(LEFT(Master_Reference[[#This Row],[Model Number]],1)="U",TRUE,"")</f>
        <v/>
      </c>
      <c r="I359" s="1" t="str">
        <f>IF(Master_Reference[[#This Row],[Lamp Type]]="T4","",IF(Master_Reference[[#This Row],[Case Type]]="M","",TRUE))</f>
        <v/>
      </c>
      <c r="J359" s="1" t="str">
        <f t="shared" si="6"/>
        <v>T5</v>
      </c>
      <c r="K359" s="1">
        <v>14</v>
      </c>
      <c r="L359" s="1" t="s">
        <v>112</v>
      </c>
      <c r="M359" s="1">
        <v>1</v>
      </c>
      <c r="N359" s="1" t="s">
        <v>631</v>
      </c>
      <c r="O359" s="1" t="s">
        <v>632</v>
      </c>
      <c r="Q359" s="1" t="s">
        <v>456</v>
      </c>
      <c r="R359" t="b">
        <f>IF(COUNTBLANK(Master_Reference[[#This Row],[C-Flex 3000K Eco Part Number]:[C-Flex 4000K Eco Part Number]])=3,FALSE,TRUE)</f>
        <v>0</v>
      </c>
      <c r="S359" t="b">
        <f>IF(COUNTBLANK(Master_Reference[[#This Row],[C-Flex 3000K 3W Part Number]:[C-Flex 4000K 3W Part Number]])=3,FALSE,TRUE)</f>
        <v>0</v>
      </c>
      <c r="T359" t="b">
        <f>IF(COUNTBLANK(Master_Reference[[#This Row],[Lutron 3000K Eco Part Number]:[Lutron 4000K Eco Part Number]])=3,FALSE,TRUE)</f>
        <v>0</v>
      </c>
      <c r="U359" t="b">
        <f>IF(COUNTBLANK(Master_Reference[[#This Row],[Lutron 3000K 3W Part Number]:[Lutron 4000K 3W Part Number]])=3,FALSE,TRUE)</f>
        <v>0</v>
      </c>
      <c r="V359" s="12"/>
      <c r="W359" s="12"/>
      <c r="X359" s="12"/>
      <c r="Y359" t="s">
        <v>2125</v>
      </c>
      <c r="Z359" s="12"/>
      <c r="AA359" s="12"/>
      <c r="AB359" s="12"/>
      <c r="AC359" t="s">
        <v>2125</v>
      </c>
      <c r="AD359" t="str">
        <f>SUBSTITUTE(Master_Reference[[#This Row],[C-Flex 4000K Eco Part Number]],"40-","xx-")</f>
        <v/>
      </c>
      <c r="AE359" t="str">
        <f>SUBSTITUTE(Master_Reference[[#This Row],[C-Flex 4000K 3W Part Number]],"40-","xx-")</f>
        <v/>
      </c>
      <c r="AF359" s="1" t="str">
        <f>_xlfn.IFNA(VLOOKUP(Master_Reference[[#This Row],[C-Flex 3000K Eco Part Number]],Lutron_CFlex_Lookup[],MATCH("Lutron Kit PN",Lutron_CFlex_Lookup[#Headers],0),FALSE),"")</f>
        <v/>
      </c>
      <c r="AG359" s="1" t="str">
        <f>_xlfn.IFNA(VLOOKUP(Master_Reference[[#This Row],[C-Flex 3500K Eco Part Number]],Lutron_CFlex_Lookup[],MATCH("Lutron Kit PN",Lutron_CFlex_Lookup[#Headers],0),FALSE),"")</f>
        <v/>
      </c>
      <c r="AH359" s="1" t="str">
        <f>_xlfn.IFNA(VLOOKUP(Master_Reference[[#This Row],[C-Flex 4000K Eco Part Number]],Lutron_CFlex_Lookup[],MATCH("Lutron Kit PN",Lutron_CFlex_Lookup[#Headers],0),FALSE),"")</f>
        <v/>
      </c>
      <c r="AI359" s="1" t="str">
        <f>_xlfn.IFNA(VLOOKUP(Master_Reference[[#This Row],[C-Flex 5000K Eco Part Number]],Lutron_CFlex_Lookup[],MATCH("Lutron Kit PN",Lutron_CFlex_Lookup[#Headers],0),FALSE),"")</f>
        <v/>
      </c>
      <c r="AJ359" s="1" t="str">
        <f>_xlfn.IFNA(VLOOKUP(Master_Reference[[#This Row],[C-Flex 3000K 3W Part Number]],Lutron_CFlex_Lookup[],MATCH("Lutron Kit PN",Lutron_CFlex_Lookup[#Headers],0),FALSE),"")</f>
        <v/>
      </c>
      <c r="AK359" s="1" t="str">
        <f>_xlfn.IFNA(VLOOKUP(Master_Reference[[#This Row],[C-Flex 3500K 3W Part Number]],Lutron_CFlex_Lookup[],MATCH("Lutron Kit PN",Lutron_CFlex_Lookup[#Headers],0),FALSE),"")</f>
        <v/>
      </c>
      <c r="AL359" s="1" t="str">
        <f>_xlfn.IFNA(VLOOKUP(Master_Reference[[#This Row],[C-Flex 4000K 3W Part Number]],Lutron_CFlex_Lookup[],MATCH("Lutron Kit PN",Lutron_CFlex_Lookup[#Headers],0),FALSE),"")</f>
        <v/>
      </c>
      <c r="AM359" s="1" t="str">
        <f>_xlfn.IFNA(VLOOKUP(Master_Reference[[#This Row],[C-Flex 5000K 3W Part Number]],Lutron_CFlex_Lookup[],MATCH("Lutron Kit PN",Lutron_CFlex_Lookup[#Headers],0),FALSE),"")</f>
        <v/>
      </c>
      <c r="AN359" s="1" t="b">
        <f>NOT(ISNA(VLOOKUP(Master_Reference[[#This Row],[Model Number]],ObsoleteModels[],1,FALSE)))</f>
        <v>1</v>
      </c>
      <c r="AO359" s="1" t="str">
        <f>IF(LEFT(Master_Reference[[#This Row],[Model Number]],1)="U",LEFT(Master_Reference[[#This Row],[Model Number]],4),LEFT(Master_Reference[[#This Row],[Model Number]],3))</f>
        <v>EHD</v>
      </c>
    </row>
    <row r="360" spans="1:41" x14ac:dyDescent="0.25">
      <c r="A360" s="2" t="s">
        <v>638</v>
      </c>
      <c r="B360" s="1" t="b">
        <v>1</v>
      </c>
      <c r="G360" s="1" t="str">
        <f>IF(OR(LEFT(RIGHT(Master_Reference[[#This Row],[Model Number]],3),1)="C",LEFT(RIGHT(Master_Reference[[#This Row],[Model Number]],4),1)="C"),TRUE,"")</f>
        <v/>
      </c>
      <c r="H360" s="1" t="str">
        <f>IF(LEFT(Master_Reference[[#This Row],[Model Number]],1)="U",TRUE,"")</f>
        <v/>
      </c>
      <c r="I360" s="1" t="str">
        <f>IF(Master_Reference[[#This Row],[Lamp Type]]="T4","",IF(Master_Reference[[#This Row],[Case Type]]="M","",TRUE))</f>
        <v/>
      </c>
      <c r="J360" s="1" t="str">
        <f t="shared" si="6"/>
        <v>T5</v>
      </c>
      <c r="K360" s="1">
        <v>14</v>
      </c>
      <c r="L360" s="1" t="s">
        <v>112</v>
      </c>
      <c r="M360" s="1">
        <v>1</v>
      </c>
      <c r="N360" s="1" t="s">
        <v>631</v>
      </c>
      <c r="O360" s="1" t="s">
        <v>632</v>
      </c>
      <c r="Q360" s="1" t="s">
        <v>456</v>
      </c>
      <c r="R360" t="b">
        <f>IF(COUNTBLANK(Master_Reference[[#This Row],[C-Flex 3000K Eco Part Number]:[C-Flex 4000K Eco Part Number]])=3,FALSE,TRUE)</f>
        <v>0</v>
      </c>
      <c r="S360" t="b">
        <f>IF(COUNTBLANK(Master_Reference[[#This Row],[C-Flex 3000K 3W Part Number]:[C-Flex 4000K 3W Part Number]])=3,FALSE,TRUE)</f>
        <v>0</v>
      </c>
      <c r="T360" t="b">
        <f>IF(COUNTBLANK(Master_Reference[[#This Row],[Lutron 3000K Eco Part Number]:[Lutron 4000K Eco Part Number]])=3,FALSE,TRUE)</f>
        <v>0</v>
      </c>
      <c r="U360" t="b">
        <f>IF(COUNTBLANK(Master_Reference[[#This Row],[Lutron 3000K 3W Part Number]:[Lutron 4000K 3W Part Number]])=3,FALSE,TRUE)</f>
        <v>0</v>
      </c>
      <c r="V360" s="12"/>
      <c r="W360" s="12"/>
      <c r="X360" s="12"/>
      <c r="Y360" t="s">
        <v>2125</v>
      </c>
      <c r="Z360" s="12"/>
      <c r="AA360" s="12"/>
      <c r="AB360" s="12"/>
      <c r="AC360" t="s">
        <v>2125</v>
      </c>
      <c r="AD360" t="str">
        <f>SUBSTITUTE(Master_Reference[[#This Row],[C-Flex 4000K Eco Part Number]],"40-","xx-")</f>
        <v/>
      </c>
      <c r="AE360" t="str">
        <f>SUBSTITUTE(Master_Reference[[#This Row],[C-Flex 4000K 3W Part Number]],"40-","xx-")</f>
        <v/>
      </c>
      <c r="AF360" s="1" t="str">
        <f>_xlfn.IFNA(VLOOKUP(Master_Reference[[#This Row],[C-Flex 3000K Eco Part Number]],Lutron_CFlex_Lookup[],MATCH("Lutron Kit PN",Lutron_CFlex_Lookup[#Headers],0),FALSE),"")</f>
        <v/>
      </c>
      <c r="AG360" s="1" t="str">
        <f>_xlfn.IFNA(VLOOKUP(Master_Reference[[#This Row],[C-Flex 3500K Eco Part Number]],Lutron_CFlex_Lookup[],MATCH("Lutron Kit PN",Lutron_CFlex_Lookup[#Headers],0),FALSE),"")</f>
        <v/>
      </c>
      <c r="AH360" s="1" t="str">
        <f>_xlfn.IFNA(VLOOKUP(Master_Reference[[#This Row],[C-Flex 4000K Eco Part Number]],Lutron_CFlex_Lookup[],MATCH("Lutron Kit PN",Lutron_CFlex_Lookup[#Headers],0),FALSE),"")</f>
        <v/>
      </c>
      <c r="AI360" s="1" t="str">
        <f>_xlfn.IFNA(VLOOKUP(Master_Reference[[#This Row],[C-Flex 5000K Eco Part Number]],Lutron_CFlex_Lookup[],MATCH("Lutron Kit PN",Lutron_CFlex_Lookup[#Headers],0),FALSE),"")</f>
        <v/>
      </c>
      <c r="AJ360" s="1" t="str">
        <f>_xlfn.IFNA(VLOOKUP(Master_Reference[[#This Row],[C-Flex 3000K 3W Part Number]],Lutron_CFlex_Lookup[],MATCH("Lutron Kit PN",Lutron_CFlex_Lookup[#Headers],0),FALSE),"")</f>
        <v/>
      </c>
      <c r="AK360" s="1" t="str">
        <f>_xlfn.IFNA(VLOOKUP(Master_Reference[[#This Row],[C-Flex 3500K 3W Part Number]],Lutron_CFlex_Lookup[],MATCH("Lutron Kit PN",Lutron_CFlex_Lookup[#Headers],0),FALSE),"")</f>
        <v/>
      </c>
      <c r="AL360" s="1" t="str">
        <f>_xlfn.IFNA(VLOOKUP(Master_Reference[[#This Row],[C-Flex 4000K 3W Part Number]],Lutron_CFlex_Lookup[],MATCH("Lutron Kit PN",Lutron_CFlex_Lookup[#Headers],0),FALSE),"")</f>
        <v/>
      </c>
      <c r="AM360" s="1" t="str">
        <f>_xlfn.IFNA(VLOOKUP(Master_Reference[[#This Row],[C-Flex 5000K 3W Part Number]],Lutron_CFlex_Lookup[],MATCH("Lutron Kit PN",Lutron_CFlex_Lookup[#Headers],0),FALSE),"")</f>
        <v/>
      </c>
      <c r="AN360" s="1" t="b">
        <f>NOT(ISNA(VLOOKUP(Master_Reference[[#This Row],[Model Number]],ObsoleteModels[],1,FALSE)))</f>
        <v>1</v>
      </c>
      <c r="AO360" s="1" t="str">
        <f>IF(LEFT(Master_Reference[[#This Row],[Model Number]],1)="U",LEFT(Master_Reference[[#This Row],[Model Number]],4),LEFT(Master_Reference[[#This Row],[Model Number]],3))</f>
        <v>EHD</v>
      </c>
    </row>
    <row r="361" spans="1:41" x14ac:dyDescent="0.25">
      <c r="A361" s="2" t="s">
        <v>639</v>
      </c>
      <c r="B361" s="1" t="b">
        <v>1</v>
      </c>
      <c r="G361" s="1" t="str">
        <f>IF(OR(LEFT(RIGHT(Master_Reference[[#This Row],[Model Number]],3),1)="C",LEFT(RIGHT(Master_Reference[[#This Row],[Model Number]],4),1)="C"),TRUE,"")</f>
        <v/>
      </c>
      <c r="H361" s="1" t="str">
        <f>IF(LEFT(Master_Reference[[#This Row],[Model Number]],1)="U",TRUE,"")</f>
        <v/>
      </c>
      <c r="I361" s="1" t="str">
        <f>IF(Master_Reference[[#This Row],[Lamp Type]]="T4","",IF(Master_Reference[[#This Row],[Case Type]]="M","",TRUE))</f>
        <v/>
      </c>
      <c r="J361" s="1" t="str">
        <f t="shared" si="6"/>
        <v>T5</v>
      </c>
      <c r="K361" s="1">
        <v>14</v>
      </c>
      <c r="L361" s="1" t="s">
        <v>112</v>
      </c>
      <c r="M361" s="1">
        <v>1</v>
      </c>
      <c r="N361" s="1" t="s">
        <v>631</v>
      </c>
      <c r="O361" s="1" t="s">
        <v>632</v>
      </c>
      <c r="Q361" s="1" t="s">
        <v>640</v>
      </c>
      <c r="R361" t="b">
        <f>IF(COUNTBLANK(Master_Reference[[#This Row],[C-Flex 3000K Eco Part Number]:[C-Flex 4000K Eco Part Number]])=3,FALSE,TRUE)</f>
        <v>0</v>
      </c>
      <c r="S361" t="b">
        <f>IF(COUNTBLANK(Master_Reference[[#This Row],[C-Flex 3000K 3W Part Number]:[C-Flex 4000K 3W Part Number]])=3,FALSE,TRUE)</f>
        <v>0</v>
      </c>
      <c r="T361" t="b">
        <f>IF(COUNTBLANK(Master_Reference[[#This Row],[Lutron 3000K Eco Part Number]:[Lutron 4000K Eco Part Number]])=3,FALSE,TRUE)</f>
        <v>0</v>
      </c>
      <c r="U361" t="b">
        <f>IF(COUNTBLANK(Master_Reference[[#This Row],[Lutron 3000K 3W Part Number]:[Lutron 4000K 3W Part Number]])=3,FALSE,TRUE)</f>
        <v>0</v>
      </c>
      <c r="V361" s="12"/>
      <c r="W361" s="12"/>
      <c r="X361" s="12"/>
      <c r="Y361" t="s">
        <v>2125</v>
      </c>
      <c r="Z361" s="12"/>
      <c r="AA361" s="12"/>
      <c r="AB361" s="12"/>
      <c r="AC361" t="s">
        <v>2125</v>
      </c>
      <c r="AD361" t="str">
        <f>SUBSTITUTE(Master_Reference[[#This Row],[C-Flex 4000K Eco Part Number]],"40-","xx-")</f>
        <v/>
      </c>
      <c r="AE361" t="str">
        <f>SUBSTITUTE(Master_Reference[[#This Row],[C-Flex 4000K 3W Part Number]],"40-","xx-")</f>
        <v/>
      </c>
      <c r="AF361" s="1" t="str">
        <f>_xlfn.IFNA(VLOOKUP(Master_Reference[[#This Row],[C-Flex 3000K Eco Part Number]],Lutron_CFlex_Lookup[],MATCH("Lutron Kit PN",Lutron_CFlex_Lookup[#Headers],0),FALSE),"")</f>
        <v/>
      </c>
      <c r="AG361" s="1" t="str">
        <f>_xlfn.IFNA(VLOOKUP(Master_Reference[[#This Row],[C-Flex 3500K Eco Part Number]],Lutron_CFlex_Lookup[],MATCH("Lutron Kit PN",Lutron_CFlex_Lookup[#Headers],0),FALSE),"")</f>
        <v/>
      </c>
      <c r="AH361" s="1" t="str">
        <f>_xlfn.IFNA(VLOOKUP(Master_Reference[[#This Row],[C-Flex 4000K Eco Part Number]],Lutron_CFlex_Lookup[],MATCH("Lutron Kit PN",Lutron_CFlex_Lookup[#Headers],0),FALSE),"")</f>
        <v/>
      </c>
      <c r="AI361" s="1" t="str">
        <f>_xlfn.IFNA(VLOOKUP(Master_Reference[[#This Row],[C-Flex 5000K Eco Part Number]],Lutron_CFlex_Lookup[],MATCH("Lutron Kit PN",Lutron_CFlex_Lookup[#Headers],0),FALSE),"")</f>
        <v/>
      </c>
      <c r="AJ361" s="1" t="str">
        <f>_xlfn.IFNA(VLOOKUP(Master_Reference[[#This Row],[C-Flex 3000K 3W Part Number]],Lutron_CFlex_Lookup[],MATCH("Lutron Kit PN",Lutron_CFlex_Lookup[#Headers],0),FALSE),"")</f>
        <v/>
      </c>
      <c r="AK361" s="1" t="str">
        <f>_xlfn.IFNA(VLOOKUP(Master_Reference[[#This Row],[C-Flex 3500K 3W Part Number]],Lutron_CFlex_Lookup[],MATCH("Lutron Kit PN",Lutron_CFlex_Lookup[#Headers],0),FALSE),"")</f>
        <v/>
      </c>
      <c r="AL361" s="1" t="str">
        <f>_xlfn.IFNA(VLOOKUP(Master_Reference[[#This Row],[C-Flex 4000K 3W Part Number]],Lutron_CFlex_Lookup[],MATCH("Lutron Kit PN",Lutron_CFlex_Lookup[#Headers],0),FALSE),"")</f>
        <v/>
      </c>
      <c r="AM361" s="1" t="str">
        <f>_xlfn.IFNA(VLOOKUP(Master_Reference[[#This Row],[C-Flex 5000K 3W Part Number]],Lutron_CFlex_Lookup[],MATCH("Lutron Kit PN",Lutron_CFlex_Lookup[#Headers],0),FALSE),"")</f>
        <v/>
      </c>
      <c r="AN361" s="1" t="b">
        <f>NOT(ISNA(VLOOKUP(Master_Reference[[#This Row],[Model Number]],ObsoleteModels[],1,FALSE)))</f>
        <v>1</v>
      </c>
      <c r="AO361" s="1" t="str">
        <f>IF(LEFT(Master_Reference[[#This Row],[Model Number]],1)="U",LEFT(Master_Reference[[#This Row],[Model Number]],4),LEFT(Master_Reference[[#This Row],[Model Number]],3))</f>
        <v>EHD</v>
      </c>
    </row>
    <row r="362" spans="1:41" x14ac:dyDescent="0.25">
      <c r="A362" s="2" t="s">
        <v>641</v>
      </c>
      <c r="B362" s="1" t="b">
        <v>1</v>
      </c>
      <c r="G362" s="1" t="str">
        <f>IF(OR(LEFT(RIGHT(Master_Reference[[#This Row],[Model Number]],3),1)="C",LEFT(RIGHT(Master_Reference[[#This Row],[Model Number]],4),1)="C"),TRUE,"")</f>
        <v/>
      </c>
      <c r="H362" s="1" t="str">
        <f>IF(LEFT(Master_Reference[[#This Row],[Model Number]],1)="U",TRUE,"")</f>
        <v/>
      </c>
      <c r="I362" s="1" t="str">
        <f>IF(Master_Reference[[#This Row],[Lamp Type]]="T4","",IF(Master_Reference[[#This Row],[Case Type]]="M","",TRUE))</f>
        <v/>
      </c>
      <c r="J362" s="1" t="str">
        <f t="shared" si="6"/>
        <v>T5</v>
      </c>
      <c r="K362" s="1">
        <v>14</v>
      </c>
      <c r="L362" s="1" t="s">
        <v>112</v>
      </c>
      <c r="M362" s="1">
        <v>2</v>
      </c>
      <c r="N362" s="1" t="s">
        <v>631</v>
      </c>
      <c r="O362" s="1" t="s">
        <v>632</v>
      </c>
      <c r="Q362" s="1" t="s">
        <v>456</v>
      </c>
      <c r="R362" t="b">
        <f>IF(COUNTBLANK(Master_Reference[[#This Row],[C-Flex 3000K Eco Part Number]:[C-Flex 4000K Eco Part Number]])=3,FALSE,TRUE)</f>
        <v>0</v>
      </c>
      <c r="S362" t="b">
        <f>IF(COUNTBLANK(Master_Reference[[#This Row],[C-Flex 3000K 3W Part Number]:[C-Flex 4000K 3W Part Number]])=3,FALSE,TRUE)</f>
        <v>0</v>
      </c>
      <c r="T362" t="b">
        <f>IF(COUNTBLANK(Master_Reference[[#This Row],[Lutron 3000K Eco Part Number]:[Lutron 4000K Eco Part Number]])=3,FALSE,TRUE)</f>
        <v>0</v>
      </c>
      <c r="U362" t="b">
        <f>IF(COUNTBLANK(Master_Reference[[#This Row],[Lutron 3000K 3W Part Number]:[Lutron 4000K 3W Part Number]])=3,FALSE,TRUE)</f>
        <v>0</v>
      </c>
      <c r="V362" s="12"/>
      <c r="W362" s="12"/>
      <c r="X362" s="12"/>
      <c r="Y362" t="s">
        <v>2125</v>
      </c>
      <c r="Z362" s="12"/>
      <c r="AA362" s="12"/>
      <c r="AB362" s="12"/>
      <c r="AC362" t="s">
        <v>2125</v>
      </c>
      <c r="AD362" t="str">
        <f>SUBSTITUTE(Master_Reference[[#This Row],[C-Flex 4000K Eco Part Number]],"40-","xx-")</f>
        <v/>
      </c>
      <c r="AE362" t="str">
        <f>SUBSTITUTE(Master_Reference[[#This Row],[C-Flex 4000K 3W Part Number]],"40-","xx-")</f>
        <v/>
      </c>
      <c r="AF362" s="1" t="str">
        <f>_xlfn.IFNA(VLOOKUP(Master_Reference[[#This Row],[C-Flex 3000K Eco Part Number]],Lutron_CFlex_Lookup[],MATCH("Lutron Kit PN",Lutron_CFlex_Lookup[#Headers],0),FALSE),"")</f>
        <v/>
      </c>
      <c r="AG362" s="1" t="str">
        <f>_xlfn.IFNA(VLOOKUP(Master_Reference[[#This Row],[C-Flex 3500K Eco Part Number]],Lutron_CFlex_Lookup[],MATCH("Lutron Kit PN",Lutron_CFlex_Lookup[#Headers],0),FALSE),"")</f>
        <v/>
      </c>
      <c r="AH362" s="1" t="str">
        <f>_xlfn.IFNA(VLOOKUP(Master_Reference[[#This Row],[C-Flex 4000K Eco Part Number]],Lutron_CFlex_Lookup[],MATCH("Lutron Kit PN",Lutron_CFlex_Lookup[#Headers],0),FALSE),"")</f>
        <v/>
      </c>
      <c r="AI362" s="1" t="str">
        <f>_xlfn.IFNA(VLOOKUP(Master_Reference[[#This Row],[C-Flex 5000K Eco Part Number]],Lutron_CFlex_Lookup[],MATCH("Lutron Kit PN",Lutron_CFlex_Lookup[#Headers],0),FALSE),"")</f>
        <v/>
      </c>
      <c r="AJ362" s="1" t="str">
        <f>_xlfn.IFNA(VLOOKUP(Master_Reference[[#This Row],[C-Flex 3000K 3W Part Number]],Lutron_CFlex_Lookup[],MATCH("Lutron Kit PN",Lutron_CFlex_Lookup[#Headers],0),FALSE),"")</f>
        <v/>
      </c>
      <c r="AK362" s="1" t="str">
        <f>_xlfn.IFNA(VLOOKUP(Master_Reference[[#This Row],[C-Flex 3500K 3W Part Number]],Lutron_CFlex_Lookup[],MATCH("Lutron Kit PN",Lutron_CFlex_Lookup[#Headers],0),FALSE),"")</f>
        <v/>
      </c>
      <c r="AL362" s="1" t="str">
        <f>_xlfn.IFNA(VLOOKUP(Master_Reference[[#This Row],[C-Flex 4000K 3W Part Number]],Lutron_CFlex_Lookup[],MATCH("Lutron Kit PN",Lutron_CFlex_Lookup[#Headers],0),FALSE),"")</f>
        <v/>
      </c>
      <c r="AM362" s="1" t="str">
        <f>_xlfn.IFNA(VLOOKUP(Master_Reference[[#This Row],[C-Flex 5000K 3W Part Number]],Lutron_CFlex_Lookup[],MATCH("Lutron Kit PN",Lutron_CFlex_Lookup[#Headers],0),FALSE),"")</f>
        <v/>
      </c>
      <c r="AN362" s="1" t="b">
        <f>NOT(ISNA(VLOOKUP(Master_Reference[[#This Row],[Model Number]],ObsoleteModels[],1,FALSE)))</f>
        <v>1</v>
      </c>
      <c r="AO362" s="1" t="str">
        <f>IF(LEFT(Master_Reference[[#This Row],[Model Number]],1)="U",LEFT(Master_Reference[[#This Row],[Model Number]],4),LEFT(Master_Reference[[#This Row],[Model Number]],3))</f>
        <v>EHD</v>
      </c>
    </row>
    <row r="363" spans="1:41" x14ac:dyDescent="0.25">
      <c r="A363" s="2" t="s">
        <v>642</v>
      </c>
      <c r="B363" s="1" t="b">
        <v>1</v>
      </c>
      <c r="G363" s="1" t="str">
        <f>IF(OR(LEFT(RIGHT(Master_Reference[[#This Row],[Model Number]],3),1)="C",LEFT(RIGHT(Master_Reference[[#This Row],[Model Number]],4),1)="C"),TRUE,"")</f>
        <v/>
      </c>
      <c r="H363" s="1" t="str">
        <f>IF(LEFT(Master_Reference[[#This Row],[Model Number]],1)="U",TRUE,"")</f>
        <v/>
      </c>
      <c r="I363" s="1" t="str">
        <f>IF(Master_Reference[[#This Row],[Lamp Type]]="T4","",IF(Master_Reference[[#This Row],[Case Type]]="M","",TRUE))</f>
        <v/>
      </c>
      <c r="J363" s="1" t="str">
        <f t="shared" si="6"/>
        <v>T5</v>
      </c>
      <c r="K363" s="1">
        <v>14</v>
      </c>
      <c r="L363" s="1" t="s">
        <v>112</v>
      </c>
      <c r="M363" s="1">
        <v>2</v>
      </c>
      <c r="N363" s="1" t="s">
        <v>631</v>
      </c>
      <c r="O363" s="1" t="s">
        <v>632</v>
      </c>
      <c r="Q363" s="1" t="s">
        <v>643</v>
      </c>
      <c r="R363" t="b">
        <f>IF(COUNTBLANK(Master_Reference[[#This Row],[C-Flex 3000K Eco Part Number]:[C-Flex 4000K Eco Part Number]])=3,FALSE,TRUE)</f>
        <v>0</v>
      </c>
      <c r="S363" t="b">
        <f>IF(COUNTBLANK(Master_Reference[[#This Row],[C-Flex 3000K 3W Part Number]:[C-Flex 4000K 3W Part Number]])=3,FALSE,TRUE)</f>
        <v>0</v>
      </c>
      <c r="T363" t="b">
        <f>IF(COUNTBLANK(Master_Reference[[#This Row],[Lutron 3000K Eco Part Number]:[Lutron 4000K Eco Part Number]])=3,FALSE,TRUE)</f>
        <v>0</v>
      </c>
      <c r="U363" t="b">
        <f>IF(COUNTBLANK(Master_Reference[[#This Row],[Lutron 3000K 3W Part Number]:[Lutron 4000K 3W Part Number]])=3,FALSE,TRUE)</f>
        <v>0</v>
      </c>
      <c r="V363" s="12"/>
      <c r="W363" s="12"/>
      <c r="X363" s="12"/>
      <c r="Y363" t="s">
        <v>2125</v>
      </c>
      <c r="Z363" s="12"/>
      <c r="AA363" s="12"/>
      <c r="AB363" s="12"/>
      <c r="AC363" t="s">
        <v>2125</v>
      </c>
      <c r="AD363" t="str">
        <f>SUBSTITUTE(Master_Reference[[#This Row],[C-Flex 4000K Eco Part Number]],"40-","xx-")</f>
        <v/>
      </c>
      <c r="AE363" t="str">
        <f>SUBSTITUTE(Master_Reference[[#This Row],[C-Flex 4000K 3W Part Number]],"40-","xx-")</f>
        <v/>
      </c>
      <c r="AF363" s="1" t="str">
        <f>_xlfn.IFNA(VLOOKUP(Master_Reference[[#This Row],[C-Flex 3000K Eco Part Number]],Lutron_CFlex_Lookup[],MATCH("Lutron Kit PN",Lutron_CFlex_Lookup[#Headers],0),FALSE),"")</f>
        <v/>
      </c>
      <c r="AG363" s="1" t="str">
        <f>_xlfn.IFNA(VLOOKUP(Master_Reference[[#This Row],[C-Flex 3500K Eco Part Number]],Lutron_CFlex_Lookup[],MATCH("Lutron Kit PN",Lutron_CFlex_Lookup[#Headers],0),FALSE),"")</f>
        <v/>
      </c>
      <c r="AH363" s="1" t="str">
        <f>_xlfn.IFNA(VLOOKUP(Master_Reference[[#This Row],[C-Flex 4000K Eco Part Number]],Lutron_CFlex_Lookup[],MATCH("Lutron Kit PN",Lutron_CFlex_Lookup[#Headers],0),FALSE),"")</f>
        <v/>
      </c>
      <c r="AI363" s="1" t="str">
        <f>_xlfn.IFNA(VLOOKUP(Master_Reference[[#This Row],[C-Flex 5000K Eco Part Number]],Lutron_CFlex_Lookup[],MATCH("Lutron Kit PN",Lutron_CFlex_Lookup[#Headers],0),FALSE),"")</f>
        <v/>
      </c>
      <c r="AJ363" s="1" t="str">
        <f>_xlfn.IFNA(VLOOKUP(Master_Reference[[#This Row],[C-Flex 3000K 3W Part Number]],Lutron_CFlex_Lookup[],MATCH("Lutron Kit PN",Lutron_CFlex_Lookup[#Headers],0),FALSE),"")</f>
        <v/>
      </c>
      <c r="AK363" s="1" t="str">
        <f>_xlfn.IFNA(VLOOKUP(Master_Reference[[#This Row],[C-Flex 3500K 3W Part Number]],Lutron_CFlex_Lookup[],MATCH("Lutron Kit PN",Lutron_CFlex_Lookup[#Headers],0),FALSE),"")</f>
        <v/>
      </c>
      <c r="AL363" s="1" t="str">
        <f>_xlfn.IFNA(VLOOKUP(Master_Reference[[#This Row],[C-Flex 4000K 3W Part Number]],Lutron_CFlex_Lookup[],MATCH("Lutron Kit PN",Lutron_CFlex_Lookup[#Headers],0),FALSE),"")</f>
        <v/>
      </c>
      <c r="AM363" s="1" t="str">
        <f>_xlfn.IFNA(VLOOKUP(Master_Reference[[#This Row],[C-Flex 5000K 3W Part Number]],Lutron_CFlex_Lookup[],MATCH("Lutron Kit PN",Lutron_CFlex_Lookup[#Headers],0),FALSE),"")</f>
        <v/>
      </c>
      <c r="AN363" s="1" t="b">
        <f>NOT(ISNA(VLOOKUP(Master_Reference[[#This Row],[Model Number]],ObsoleteModels[],1,FALSE)))</f>
        <v>1</v>
      </c>
      <c r="AO363" s="1" t="str">
        <f>IF(LEFT(Master_Reference[[#This Row],[Model Number]],1)="U",LEFT(Master_Reference[[#This Row],[Model Number]],4),LEFT(Master_Reference[[#This Row],[Model Number]],3))</f>
        <v>EHD</v>
      </c>
    </row>
    <row r="364" spans="1:41" x14ac:dyDescent="0.25">
      <c r="A364" s="2" t="s">
        <v>644</v>
      </c>
      <c r="B364" s="1" t="b">
        <v>1</v>
      </c>
      <c r="G364" s="1" t="str">
        <f>IF(OR(LEFT(RIGHT(Master_Reference[[#This Row],[Model Number]],3),1)="C",LEFT(RIGHT(Master_Reference[[#This Row],[Model Number]],4),1)="C"),TRUE,"")</f>
        <v/>
      </c>
      <c r="H364" s="1" t="str">
        <f>IF(LEFT(Master_Reference[[#This Row],[Model Number]],1)="U",TRUE,"")</f>
        <v/>
      </c>
      <c r="I364" s="1" t="str">
        <f>IF(Master_Reference[[#This Row],[Lamp Type]]="T4","",IF(Master_Reference[[#This Row],[Case Type]]="M","",TRUE))</f>
        <v/>
      </c>
      <c r="J364" s="1" t="str">
        <f t="shared" si="6"/>
        <v>T5</v>
      </c>
      <c r="K364" s="1">
        <v>14</v>
      </c>
      <c r="L364" s="1" t="s">
        <v>112</v>
      </c>
      <c r="M364" s="1">
        <v>2</v>
      </c>
      <c r="N364" s="1" t="s">
        <v>631</v>
      </c>
      <c r="O364" s="1" t="s">
        <v>632</v>
      </c>
      <c r="Q364" s="1" t="s">
        <v>640</v>
      </c>
      <c r="R364" t="b">
        <f>IF(COUNTBLANK(Master_Reference[[#This Row],[C-Flex 3000K Eco Part Number]:[C-Flex 4000K Eco Part Number]])=3,FALSE,TRUE)</f>
        <v>0</v>
      </c>
      <c r="S364" t="b">
        <f>IF(COUNTBLANK(Master_Reference[[#This Row],[C-Flex 3000K 3W Part Number]:[C-Flex 4000K 3W Part Number]])=3,FALSE,TRUE)</f>
        <v>0</v>
      </c>
      <c r="T364" t="b">
        <f>IF(COUNTBLANK(Master_Reference[[#This Row],[Lutron 3000K Eco Part Number]:[Lutron 4000K Eco Part Number]])=3,FALSE,TRUE)</f>
        <v>0</v>
      </c>
      <c r="U364" t="b">
        <f>IF(COUNTBLANK(Master_Reference[[#This Row],[Lutron 3000K 3W Part Number]:[Lutron 4000K 3W Part Number]])=3,FALSE,TRUE)</f>
        <v>0</v>
      </c>
      <c r="V364" s="12"/>
      <c r="W364" s="12"/>
      <c r="X364" s="12"/>
      <c r="Y364" t="s">
        <v>2125</v>
      </c>
      <c r="Z364" s="12"/>
      <c r="AA364" s="12"/>
      <c r="AB364" s="12"/>
      <c r="AC364" t="s">
        <v>2125</v>
      </c>
      <c r="AD364" t="str">
        <f>SUBSTITUTE(Master_Reference[[#This Row],[C-Flex 4000K Eco Part Number]],"40-","xx-")</f>
        <v/>
      </c>
      <c r="AE364" t="str">
        <f>SUBSTITUTE(Master_Reference[[#This Row],[C-Flex 4000K 3W Part Number]],"40-","xx-")</f>
        <v/>
      </c>
      <c r="AF364" s="1" t="str">
        <f>_xlfn.IFNA(VLOOKUP(Master_Reference[[#This Row],[C-Flex 3000K Eco Part Number]],Lutron_CFlex_Lookup[],MATCH("Lutron Kit PN",Lutron_CFlex_Lookup[#Headers],0),FALSE),"")</f>
        <v/>
      </c>
      <c r="AG364" s="1" t="str">
        <f>_xlfn.IFNA(VLOOKUP(Master_Reference[[#This Row],[C-Flex 3500K Eco Part Number]],Lutron_CFlex_Lookup[],MATCH("Lutron Kit PN",Lutron_CFlex_Lookup[#Headers],0),FALSE),"")</f>
        <v/>
      </c>
      <c r="AH364" s="1" t="str">
        <f>_xlfn.IFNA(VLOOKUP(Master_Reference[[#This Row],[C-Flex 4000K Eco Part Number]],Lutron_CFlex_Lookup[],MATCH("Lutron Kit PN",Lutron_CFlex_Lookup[#Headers],0),FALSE),"")</f>
        <v/>
      </c>
      <c r="AI364" s="1" t="str">
        <f>_xlfn.IFNA(VLOOKUP(Master_Reference[[#This Row],[C-Flex 5000K Eco Part Number]],Lutron_CFlex_Lookup[],MATCH("Lutron Kit PN",Lutron_CFlex_Lookup[#Headers],0),FALSE),"")</f>
        <v/>
      </c>
      <c r="AJ364" s="1" t="str">
        <f>_xlfn.IFNA(VLOOKUP(Master_Reference[[#This Row],[C-Flex 3000K 3W Part Number]],Lutron_CFlex_Lookup[],MATCH("Lutron Kit PN",Lutron_CFlex_Lookup[#Headers],0),FALSE),"")</f>
        <v/>
      </c>
      <c r="AK364" s="1" t="str">
        <f>_xlfn.IFNA(VLOOKUP(Master_Reference[[#This Row],[C-Flex 3500K 3W Part Number]],Lutron_CFlex_Lookup[],MATCH("Lutron Kit PN",Lutron_CFlex_Lookup[#Headers],0),FALSE),"")</f>
        <v/>
      </c>
      <c r="AL364" s="1" t="str">
        <f>_xlfn.IFNA(VLOOKUP(Master_Reference[[#This Row],[C-Flex 4000K 3W Part Number]],Lutron_CFlex_Lookup[],MATCH("Lutron Kit PN",Lutron_CFlex_Lookup[#Headers],0),FALSE),"")</f>
        <v/>
      </c>
      <c r="AM364" s="1" t="str">
        <f>_xlfn.IFNA(VLOOKUP(Master_Reference[[#This Row],[C-Flex 5000K 3W Part Number]],Lutron_CFlex_Lookup[],MATCH("Lutron Kit PN",Lutron_CFlex_Lookup[#Headers],0),FALSE),"")</f>
        <v/>
      </c>
      <c r="AN364" s="1" t="b">
        <f>NOT(ISNA(VLOOKUP(Master_Reference[[#This Row],[Model Number]],ObsoleteModels[],1,FALSE)))</f>
        <v>1</v>
      </c>
      <c r="AO364" s="1" t="str">
        <f>IF(LEFT(Master_Reference[[#This Row],[Model Number]],1)="U",LEFT(Master_Reference[[#This Row],[Model Number]],4),LEFT(Master_Reference[[#This Row],[Model Number]],3))</f>
        <v>EHD</v>
      </c>
    </row>
    <row r="365" spans="1:41" x14ac:dyDescent="0.25">
      <c r="A365" s="2" t="s">
        <v>645</v>
      </c>
      <c r="B365" s="1" t="b">
        <v>1</v>
      </c>
      <c r="G365" s="1" t="str">
        <f>IF(OR(LEFT(RIGHT(Master_Reference[[#This Row],[Model Number]],3),1)="C",LEFT(RIGHT(Master_Reference[[#This Row],[Model Number]],4),1)="C"),TRUE,"")</f>
        <v/>
      </c>
      <c r="H365" s="1" t="str">
        <f>IF(LEFT(Master_Reference[[#This Row],[Model Number]],1)="U",TRUE,"")</f>
        <v/>
      </c>
      <c r="I365" s="1" t="str">
        <f>IF(Master_Reference[[#This Row],[Lamp Type]]="T4","",IF(Master_Reference[[#This Row],[Case Type]]="M","",TRUE))</f>
        <v/>
      </c>
      <c r="J365" s="1" t="str">
        <f t="shared" si="6"/>
        <v>T5</v>
      </c>
      <c r="K365" s="1">
        <v>14</v>
      </c>
      <c r="L365" s="1" t="s">
        <v>112</v>
      </c>
      <c r="M365" s="1">
        <v>2</v>
      </c>
      <c r="N365" s="1" t="s">
        <v>631</v>
      </c>
      <c r="O365" s="1" t="s">
        <v>632</v>
      </c>
      <c r="Q365" s="1" t="s">
        <v>646</v>
      </c>
      <c r="R365" t="b">
        <f>IF(COUNTBLANK(Master_Reference[[#This Row],[C-Flex 3000K Eco Part Number]:[C-Flex 4000K Eco Part Number]])=3,FALSE,TRUE)</f>
        <v>0</v>
      </c>
      <c r="S365" t="b">
        <f>IF(COUNTBLANK(Master_Reference[[#This Row],[C-Flex 3000K 3W Part Number]:[C-Flex 4000K 3W Part Number]])=3,FALSE,TRUE)</f>
        <v>0</v>
      </c>
      <c r="T365" t="b">
        <f>IF(COUNTBLANK(Master_Reference[[#This Row],[Lutron 3000K Eco Part Number]:[Lutron 4000K Eco Part Number]])=3,FALSE,TRUE)</f>
        <v>0</v>
      </c>
      <c r="U365" t="b">
        <f>IF(COUNTBLANK(Master_Reference[[#This Row],[Lutron 3000K 3W Part Number]:[Lutron 4000K 3W Part Number]])=3,FALSE,TRUE)</f>
        <v>0</v>
      </c>
      <c r="V365" s="12"/>
      <c r="W365" s="12"/>
      <c r="X365" s="12"/>
      <c r="Y365" t="s">
        <v>2125</v>
      </c>
      <c r="Z365" s="12"/>
      <c r="AA365" s="12"/>
      <c r="AB365" s="12"/>
      <c r="AC365" t="s">
        <v>2125</v>
      </c>
      <c r="AD365" t="str">
        <f>SUBSTITUTE(Master_Reference[[#This Row],[C-Flex 4000K Eco Part Number]],"40-","xx-")</f>
        <v/>
      </c>
      <c r="AE365" t="str">
        <f>SUBSTITUTE(Master_Reference[[#This Row],[C-Flex 4000K 3W Part Number]],"40-","xx-")</f>
        <v/>
      </c>
      <c r="AF365" s="1" t="str">
        <f>_xlfn.IFNA(VLOOKUP(Master_Reference[[#This Row],[C-Flex 3000K Eco Part Number]],Lutron_CFlex_Lookup[],MATCH("Lutron Kit PN",Lutron_CFlex_Lookup[#Headers],0),FALSE),"")</f>
        <v/>
      </c>
      <c r="AG365" s="1" t="str">
        <f>_xlfn.IFNA(VLOOKUP(Master_Reference[[#This Row],[C-Flex 3500K Eco Part Number]],Lutron_CFlex_Lookup[],MATCH("Lutron Kit PN",Lutron_CFlex_Lookup[#Headers],0),FALSE),"")</f>
        <v/>
      </c>
      <c r="AH365" s="1" t="str">
        <f>_xlfn.IFNA(VLOOKUP(Master_Reference[[#This Row],[C-Flex 4000K Eco Part Number]],Lutron_CFlex_Lookup[],MATCH("Lutron Kit PN",Lutron_CFlex_Lookup[#Headers],0),FALSE),"")</f>
        <v/>
      </c>
      <c r="AI365" s="1" t="str">
        <f>_xlfn.IFNA(VLOOKUP(Master_Reference[[#This Row],[C-Flex 5000K Eco Part Number]],Lutron_CFlex_Lookup[],MATCH("Lutron Kit PN",Lutron_CFlex_Lookup[#Headers],0),FALSE),"")</f>
        <v/>
      </c>
      <c r="AJ365" s="1" t="str">
        <f>_xlfn.IFNA(VLOOKUP(Master_Reference[[#This Row],[C-Flex 3000K 3W Part Number]],Lutron_CFlex_Lookup[],MATCH("Lutron Kit PN",Lutron_CFlex_Lookup[#Headers],0),FALSE),"")</f>
        <v/>
      </c>
      <c r="AK365" s="1" t="str">
        <f>_xlfn.IFNA(VLOOKUP(Master_Reference[[#This Row],[C-Flex 3500K 3W Part Number]],Lutron_CFlex_Lookup[],MATCH("Lutron Kit PN",Lutron_CFlex_Lookup[#Headers],0),FALSE),"")</f>
        <v/>
      </c>
      <c r="AL365" s="1" t="str">
        <f>_xlfn.IFNA(VLOOKUP(Master_Reference[[#This Row],[C-Flex 4000K 3W Part Number]],Lutron_CFlex_Lookup[],MATCH("Lutron Kit PN",Lutron_CFlex_Lookup[#Headers],0),FALSE),"")</f>
        <v/>
      </c>
      <c r="AM365" s="1" t="str">
        <f>_xlfn.IFNA(VLOOKUP(Master_Reference[[#This Row],[C-Flex 5000K 3W Part Number]],Lutron_CFlex_Lookup[],MATCH("Lutron Kit PN",Lutron_CFlex_Lookup[#Headers],0),FALSE),"")</f>
        <v/>
      </c>
      <c r="AN365" s="1" t="b">
        <f>NOT(ISNA(VLOOKUP(Master_Reference[[#This Row],[Model Number]],ObsoleteModels[],1,FALSE)))</f>
        <v>1</v>
      </c>
      <c r="AO365" s="1" t="str">
        <f>IF(LEFT(Master_Reference[[#This Row],[Model Number]],1)="U",LEFT(Master_Reference[[#This Row],[Model Number]],4),LEFT(Master_Reference[[#This Row],[Model Number]],3))</f>
        <v>EHD</v>
      </c>
    </row>
    <row r="366" spans="1:41" x14ac:dyDescent="0.25">
      <c r="A366" s="2" t="s">
        <v>647</v>
      </c>
      <c r="B366" s="1" t="b">
        <v>1</v>
      </c>
      <c r="G366" s="1" t="str">
        <f>IF(OR(LEFT(RIGHT(Master_Reference[[#This Row],[Model Number]],3),1)="C",LEFT(RIGHT(Master_Reference[[#This Row],[Model Number]],4),1)="C"),TRUE,"")</f>
        <v/>
      </c>
      <c r="H366" s="1" t="str">
        <f>IF(LEFT(Master_Reference[[#This Row],[Model Number]],1)="U",TRUE,"")</f>
        <v/>
      </c>
      <c r="I366" s="1" t="str">
        <f>IF(Master_Reference[[#This Row],[Lamp Type]]="T4","",IF(Master_Reference[[#This Row],[Case Type]]="M","",TRUE))</f>
        <v/>
      </c>
      <c r="J366" s="1" t="str">
        <f t="shared" si="6"/>
        <v>T5</v>
      </c>
      <c r="K366" s="1">
        <v>14</v>
      </c>
      <c r="L366" s="1" t="s">
        <v>112</v>
      </c>
      <c r="M366" s="1">
        <v>1</v>
      </c>
      <c r="N366" s="1" t="s">
        <v>149</v>
      </c>
      <c r="O366" s="1" t="s">
        <v>632</v>
      </c>
      <c r="R366" t="b">
        <f>IF(COUNTBLANK(Master_Reference[[#This Row],[C-Flex 3000K Eco Part Number]:[C-Flex 4000K Eco Part Number]])=3,FALSE,TRUE)</f>
        <v>1</v>
      </c>
      <c r="S366" t="b">
        <f>IF(COUNTBLANK(Master_Reference[[#This Row],[C-Flex 3000K 3W Part Number]:[C-Flex 4000K 3W Part Number]])=3,FALSE,TRUE)</f>
        <v>0</v>
      </c>
      <c r="T366" t="b">
        <f>IF(COUNTBLANK(Master_Reference[[#This Row],[Lutron 3000K Eco Part Number]:[Lutron 4000K Eco Part Number]])=3,FALSE,TRUE)</f>
        <v>1</v>
      </c>
      <c r="U366" t="b">
        <f>IF(COUNTBLANK(Master_Reference[[#This Row],[Lutron 3000K 3W Part Number]:[Lutron 4000K 3W Part Number]])=3,FALSE,TRUE)</f>
        <v>0</v>
      </c>
      <c r="V366" s="12" t="s">
        <v>321</v>
      </c>
      <c r="W366" s="12" t="s">
        <v>322</v>
      </c>
      <c r="X366" s="12" t="s">
        <v>323</v>
      </c>
      <c r="Y366" t="s">
        <v>1715</v>
      </c>
      <c r="Z366" s="12"/>
      <c r="AA366" s="12"/>
      <c r="AB366" s="12"/>
      <c r="AC366" t="s">
        <v>2125</v>
      </c>
      <c r="AD366" t="str">
        <f>SUBSTITUTE(Master_Reference[[#This Row],[C-Flex 4000K Eco Part Number]],"40-","xx-")</f>
        <v>RP-T5-2FT-1L-8xx-E1-M-G2</v>
      </c>
      <c r="AE366" t="str">
        <f>SUBSTITUTE(Master_Reference[[#This Row],[C-Flex 4000K 3W Part Number]],"40-","xx-")</f>
        <v/>
      </c>
      <c r="AF366" s="1" t="str">
        <f>_xlfn.IFNA(VLOOKUP(Master_Reference[[#This Row],[C-Flex 3000K Eco Part Number]],Lutron_CFlex_Lookup[],MATCH("Lutron Kit PN",Lutron_CFlex_Lookup[#Headers],0),FALSE),"")</f>
        <v>ELD2T5-1M30-q</v>
      </c>
      <c r="AG366" s="1" t="str">
        <f>_xlfn.IFNA(VLOOKUP(Master_Reference[[#This Row],[C-Flex 3500K Eco Part Number]],Lutron_CFlex_Lookup[],MATCH("Lutron Kit PN",Lutron_CFlex_Lookup[#Headers],0),FALSE),"")</f>
        <v>ELD2T5-1M35-q</v>
      </c>
      <c r="AH366" s="1" t="str">
        <f>_xlfn.IFNA(VLOOKUP(Master_Reference[[#This Row],[C-Flex 4000K Eco Part Number]],Lutron_CFlex_Lookup[],MATCH("Lutron Kit PN",Lutron_CFlex_Lookup[#Headers],0),FALSE),"")</f>
        <v>ELD2T5-1M40-q</v>
      </c>
      <c r="AI366" s="1" t="str">
        <f>_xlfn.IFNA(VLOOKUP(Master_Reference[[#This Row],[C-Flex 5000K Eco Part Number]],Lutron_CFlex_Lookup[],MATCH("Lutron Kit PN",Lutron_CFlex_Lookup[#Headers],0),FALSE),"")</f>
        <v>ELD2T5-1M50-q</v>
      </c>
      <c r="AJ366" s="1" t="str">
        <f>_xlfn.IFNA(VLOOKUP(Master_Reference[[#This Row],[C-Flex 3000K 3W Part Number]],Lutron_CFlex_Lookup[],MATCH("Lutron Kit PN",Lutron_CFlex_Lookup[#Headers],0),FALSE),"")</f>
        <v/>
      </c>
      <c r="AK366" s="1" t="str">
        <f>_xlfn.IFNA(VLOOKUP(Master_Reference[[#This Row],[C-Flex 3500K 3W Part Number]],Lutron_CFlex_Lookup[],MATCH("Lutron Kit PN",Lutron_CFlex_Lookup[#Headers],0),FALSE),"")</f>
        <v/>
      </c>
      <c r="AL366" s="1" t="str">
        <f>_xlfn.IFNA(VLOOKUP(Master_Reference[[#This Row],[C-Flex 4000K 3W Part Number]],Lutron_CFlex_Lookup[],MATCH("Lutron Kit PN",Lutron_CFlex_Lookup[#Headers],0),FALSE),"")</f>
        <v/>
      </c>
      <c r="AM366" s="1" t="str">
        <f>_xlfn.IFNA(VLOOKUP(Master_Reference[[#This Row],[C-Flex 5000K 3W Part Number]],Lutron_CFlex_Lookup[],MATCH("Lutron Kit PN",Lutron_CFlex_Lookup[#Headers],0),FALSE),"")</f>
        <v/>
      </c>
      <c r="AN366" s="1" t="b">
        <f>NOT(ISNA(VLOOKUP(Master_Reference[[#This Row],[Model Number]],ObsoleteModels[],1,FALSE)))</f>
        <v>1</v>
      </c>
      <c r="AO366" s="1" t="str">
        <f>IF(LEFT(Master_Reference[[#This Row],[Model Number]],1)="U",LEFT(Master_Reference[[#This Row],[Model Number]],4),LEFT(Master_Reference[[#This Row],[Model Number]],3))</f>
        <v>EHD</v>
      </c>
    </row>
    <row r="367" spans="1:41" x14ac:dyDescent="0.25">
      <c r="A367" s="2" t="s">
        <v>648</v>
      </c>
      <c r="B367" s="1" t="b">
        <v>1</v>
      </c>
      <c r="G367" s="1" t="str">
        <f>IF(OR(LEFT(RIGHT(Master_Reference[[#This Row],[Model Number]],3),1)="C",LEFT(RIGHT(Master_Reference[[#This Row],[Model Number]],4),1)="C"),TRUE,"")</f>
        <v/>
      </c>
      <c r="H367" s="1" t="str">
        <f>IF(LEFT(Master_Reference[[#This Row],[Model Number]],1)="U",TRUE,"")</f>
        <v/>
      </c>
      <c r="I367" s="1" t="str">
        <f>IF(Master_Reference[[#This Row],[Lamp Type]]="T4","",IF(Master_Reference[[#This Row],[Case Type]]="M","",TRUE))</f>
        <v/>
      </c>
      <c r="J367" s="1" t="str">
        <f t="shared" si="6"/>
        <v>T5</v>
      </c>
      <c r="K367" s="1">
        <v>14</v>
      </c>
      <c r="L367" s="1" t="s">
        <v>112</v>
      </c>
      <c r="M367" s="1">
        <v>1</v>
      </c>
      <c r="N367" s="1" t="s">
        <v>149</v>
      </c>
      <c r="O367" s="1" t="s">
        <v>632</v>
      </c>
      <c r="Q367" s="1" t="s">
        <v>91</v>
      </c>
      <c r="R367" t="b">
        <f>IF(COUNTBLANK(Master_Reference[[#This Row],[C-Flex 3000K Eco Part Number]:[C-Flex 4000K Eco Part Number]])=3,FALSE,TRUE)</f>
        <v>0</v>
      </c>
      <c r="S367" t="b">
        <f>IF(COUNTBLANK(Master_Reference[[#This Row],[C-Flex 3000K 3W Part Number]:[C-Flex 4000K 3W Part Number]])=3,FALSE,TRUE)</f>
        <v>0</v>
      </c>
      <c r="T367" t="b">
        <f>IF(COUNTBLANK(Master_Reference[[#This Row],[Lutron 3000K Eco Part Number]:[Lutron 4000K Eco Part Number]])=3,FALSE,TRUE)</f>
        <v>0</v>
      </c>
      <c r="U367" t="b">
        <f>IF(COUNTBLANK(Master_Reference[[#This Row],[Lutron 3000K 3W Part Number]:[Lutron 4000K 3W Part Number]])=3,FALSE,TRUE)</f>
        <v>0</v>
      </c>
      <c r="V367" s="12"/>
      <c r="W367" s="12"/>
      <c r="X367" s="12"/>
      <c r="Y367" t="s">
        <v>2125</v>
      </c>
      <c r="Z367" s="12"/>
      <c r="AA367" s="12"/>
      <c r="AB367" s="12"/>
      <c r="AC367" t="s">
        <v>2125</v>
      </c>
      <c r="AD367" t="str">
        <f>SUBSTITUTE(Master_Reference[[#This Row],[C-Flex 4000K Eco Part Number]],"40-","xx-")</f>
        <v/>
      </c>
      <c r="AE367" t="str">
        <f>SUBSTITUTE(Master_Reference[[#This Row],[C-Flex 4000K 3W Part Number]],"40-","xx-")</f>
        <v/>
      </c>
      <c r="AF367" s="1" t="str">
        <f>_xlfn.IFNA(VLOOKUP(Master_Reference[[#This Row],[C-Flex 3000K Eco Part Number]],Lutron_CFlex_Lookup[],MATCH("Lutron Kit PN",Lutron_CFlex_Lookup[#Headers],0),FALSE),"")</f>
        <v/>
      </c>
      <c r="AG367" s="1" t="str">
        <f>_xlfn.IFNA(VLOOKUP(Master_Reference[[#This Row],[C-Flex 3500K Eco Part Number]],Lutron_CFlex_Lookup[],MATCH("Lutron Kit PN",Lutron_CFlex_Lookup[#Headers],0),FALSE),"")</f>
        <v/>
      </c>
      <c r="AH367" s="1" t="str">
        <f>_xlfn.IFNA(VLOOKUP(Master_Reference[[#This Row],[C-Flex 4000K Eco Part Number]],Lutron_CFlex_Lookup[],MATCH("Lutron Kit PN",Lutron_CFlex_Lookup[#Headers],0),FALSE),"")</f>
        <v/>
      </c>
      <c r="AI367" s="1" t="str">
        <f>_xlfn.IFNA(VLOOKUP(Master_Reference[[#This Row],[C-Flex 5000K Eco Part Number]],Lutron_CFlex_Lookup[],MATCH("Lutron Kit PN",Lutron_CFlex_Lookup[#Headers],0),FALSE),"")</f>
        <v/>
      </c>
      <c r="AJ367" s="1" t="str">
        <f>_xlfn.IFNA(VLOOKUP(Master_Reference[[#This Row],[C-Flex 3000K 3W Part Number]],Lutron_CFlex_Lookup[],MATCH("Lutron Kit PN",Lutron_CFlex_Lookup[#Headers],0),FALSE),"")</f>
        <v/>
      </c>
      <c r="AK367" s="1" t="str">
        <f>_xlfn.IFNA(VLOOKUP(Master_Reference[[#This Row],[C-Flex 3500K 3W Part Number]],Lutron_CFlex_Lookup[],MATCH("Lutron Kit PN",Lutron_CFlex_Lookup[#Headers],0),FALSE),"")</f>
        <v/>
      </c>
      <c r="AL367" s="1" t="str">
        <f>_xlfn.IFNA(VLOOKUP(Master_Reference[[#This Row],[C-Flex 4000K 3W Part Number]],Lutron_CFlex_Lookup[],MATCH("Lutron Kit PN",Lutron_CFlex_Lookup[#Headers],0),FALSE),"")</f>
        <v/>
      </c>
      <c r="AM367" s="1" t="str">
        <f>_xlfn.IFNA(VLOOKUP(Master_Reference[[#This Row],[C-Flex 5000K 3W Part Number]],Lutron_CFlex_Lookup[],MATCH("Lutron Kit PN",Lutron_CFlex_Lookup[#Headers],0),FALSE),"")</f>
        <v/>
      </c>
      <c r="AN367" s="1" t="b">
        <f>NOT(ISNA(VLOOKUP(Master_Reference[[#This Row],[Model Number]],ObsoleteModels[],1,FALSE)))</f>
        <v>1</v>
      </c>
      <c r="AO367" s="1" t="str">
        <f>IF(LEFT(Master_Reference[[#This Row],[Model Number]],1)="U",LEFT(Master_Reference[[#This Row],[Model Number]],4),LEFT(Master_Reference[[#This Row],[Model Number]],3))</f>
        <v>EHD</v>
      </c>
    </row>
    <row r="368" spans="1:41" x14ac:dyDescent="0.25">
      <c r="A368" s="2" t="s">
        <v>649</v>
      </c>
      <c r="B368" s="1" t="b">
        <v>1</v>
      </c>
      <c r="G368" s="1" t="b">
        <f>IF(OR(LEFT(RIGHT(Master_Reference[[#This Row],[Model Number]],3),1)="C",LEFT(RIGHT(Master_Reference[[#This Row],[Model Number]],4),1)="C"),TRUE,"")</f>
        <v>1</v>
      </c>
      <c r="H368" s="1" t="str">
        <f>IF(LEFT(Master_Reference[[#This Row],[Model Number]],1)="U",TRUE,"")</f>
        <v/>
      </c>
      <c r="I368" s="1" t="str">
        <f>IF(Master_Reference[[#This Row],[Lamp Type]]="T4","",IF(Master_Reference[[#This Row],[Case Type]]="M","",TRUE))</f>
        <v/>
      </c>
      <c r="J368" s="1" t="str">
        <f t="shared" si="6"/>
        <v>T5</v>
      </c>
      <c r="K368" s="1">
        <v>14</v>
      </c>
      <c r="L368" s="1" t="s">
        <v>112</v>
      </c>
      <c r="M368" s="1">
        <v>1</v>
      </c>
      <c r="N368" s="1" t="s">
        <v>149</v>
      </c>
      <c r="O368" s="1" t="s">
        <v>632</v>
      </c>
      <c r="R368" t="b">
        <f>IF(COUNTBLANK(Master_Reference[[#This Row],[C-Flex 3000K Eco Part Number]:[C-Flex 4000K Eco Part Number]])=3,FALSE,TRUE)</f>
        <v>1</v>
      </c>
      <c r="S368" t="b">
        <f>IF(COUNTBLANK(Master_Reference[[#This Row],[C-Flex 3000K 3W Part Number]:[C-Flex 4000K 3W Part Number]])=3,FALSE,TRUE)</f>
        <v>0</v>
      </c>
      <c r="T368" t="b">
        <f>IF(COUNTBLANK(Master_Reference[[#This Row],[Lutron 3000K Eco Part Number]:[Lutron 4000K Eco Part Number]])=3,FALSE,TRUE)</f>
        <v>1</v>
      </c>
      <c r="U368" t="b">
        <f>IF(COUNTBLANK(Master_Reference[[#This Row],[Lutron 3000K 3W Part Number]:[Lutron 4000K 3W Part Number]])=3,FALSE,TRUE)</f>
        <v>0</v>
      </c>
      <c r="V368" s="12" t="s">
        <v>321</v>
      </c>
      <c r="W368" s="12" t="s">
        <v>322</v>
      </c>
      <c r="X368" s="12" t="s">
        <v>323</v>
      </c>
      <c r="Y368" t="s">
        <v>1715</v>
      </c>
      <c r="Z368" s="12"/>
      <c r="AA368" s="12"/>
      <c r="AB368" s="12"/>
      <c r="AC368" t="s">
        <v>2125</v>
      </c>
      <c r="AD368" t="str">
        <f>SUBSTITUTE(Master_Reference[[#This Row],[C-Flex 4000K Eco Part Number]],"40-","xx-")</f>
        <v>RP-T5-2FT-1L-8xx-E1-M-G2</v>
      </c>
      <c r="AE368" t="str">
        <f>SUBSTITUTE(Master_Reference[[#This Row],[C-Flex 4000K 3W Part Number]],"40-","xx-")</f>
        <v/>
      </c>
      <c r="AF368" s="1" t="str">
        <f>_xlfn.IFNA(VLOOKUP(Master_Reference[[#This Row],[C-Flex 3000K Eco Part Number]],Lutron_CFlex_Lookup[],MATCH("Lutron Kit PN",Lutron_CFlex_Lookup[#Headers],0),FALSE),"")</f>
        <v>ELD2T5-1M30-q</v>
      </c>
      <c r="AG368" s="1" t="str">
        <f>_xlfn.IFNA(VLOOKUP(Master_Reference[[#This Row],[C-Flex 3500K Eco Part Number]],Lutron_CFlex_Lookup[],MATCH("Lutron Kit PN",Lutron_CFlex_Lookup[#Headers],0),FALSE),"")</f>
        <v>ELD2T5-1M35-q</v>
      </c>
      <c r="AH368" s="1" t="str">
        <f>_xlfn.IFNA(VLOOKUP(Master_Reference[[#This Row],[C-Flex 4000K Eco Part Number]],Lutron_CFlex_Lookup[],MATCH("Lutron Kit PN",Lutron_CFlex_Lookup[#Headers],0),FALSE),"")</f>
        <v>ELD2T5-1M40-q</v>
      </c>
      <c r="AI368" s="1" t="str">
        <f>_xlfn.IFNA(VLOOKUP(Master_Reference[[#This Row],[C-Flex 5000K Eco Part Number]],Lutron_CFlex_Lookup[],MATCH("Lutron Kit PN",Lutron_CFlex_Lookup[#Headers],0),FALSE),"")</f>
        <v>ELD2T5-1M50-q</v>
      </c>
      <c r="AJ368" s="1" t="str">
        <f>_xlfn.IFNA(VLOOKUP(Master_Reference[[#This Row],[C-Flex 3000K 3W Part Number]],Lutron_CFlex_Lookup[],MATCH("Lutron Kit PN",Lutron_CFlex_Lookup[#Headers],0),FALSE),"")</f>
        <v/>
      </c>
      <c r="AK368" s="1" t="str">
        <f>_xlfn.IFNA(VLOOKUP(Master_Reference[[#This Row],[C-Flex 3500K 3W Part Number]],Lutron_CFlex_Lookup[],MATCH("Lutron Kit PN",Lutron_CFlex_Lookup[#Headers],0),FALSE),"")</f>
        <v/>
      </c>
      <c r="AL368" s="1" t="str">
        <f>_xlfn.IFNA(VLOOKUP(Master_Reference[[#This Row],[C-Flex 4000K 3W Part Number]],Lutron_CFlex_Lookup[],MATCH("Lutron Kit PN",Lutron_CFlex_Lookup[#Headers],0),FALSE),"")</f>
        <v/>
      </c>
      <c r="AM368" s="1" t="str">
        <f>_xlfn.IFNA(VLOOKUP(Master_Reference[[#This Row],[C-Flex 5000K 3W Part Number]],Lutron_CFlex_Lookup[],MATCH("Lutron Kit PN",Lutron_CFlex_Lookup[#Headers],0),FALSE),"")</f>
        <v/>
      </c>
      <c r="AN368" s="1" t="b">
        <f>NOT(ISNA(VLOOKUP(Master_Reference[[#This Row],[Model Number]],ObsoleteModels[],1,FALSE)))</f>
        <v>1</v>
      </c>
      <c r="AO368" s="1" t="str">
        <f>IF(LEFT(Master_Reference[[#This Row],[Model Number]],1)="U",LEFT(Master_Reference[[#This Row],[Model Number]],4),LEFT(Master_Reference[[#This Row],[Model Number]],3))</f>
        <v>EHD</v>
      </c>
    </row>
    <row r="369" spans="1:41" x14ac:dyDescent="0.25">
      <c r="A369" s="2" t="s">
        <v>650</v>
      </c>
      <c r="B369" s="1" t="b">
        <v>1</v>
      </c>
      <c r="G369" s="1" t="b">
        <f>IF(OR(LEFT(RIGHT(Master_Reference[[#This Row],[Model Number]],3),1)="C",LEFT(RIGHT(Master_Reference[[#This Row],[Model Number]],4),1)="C"),TRUE,"")</f>
        <v>1</v>
      </c>
      <c r="H369" s="1" t="str">
        <f>IF(LEFT(Master_Reference[[#This Row],[Model Number]],1)="U",TRUE,"")</f>
        <v/>
      </c>
      <c r="I369" s="1" t="str">
        <f>IF(Master_Reference[[#This Row],[Lamp Type]]="T4","",IF(Master_Reference[[#This Row],[Case Type]]="M","",TRUE))</f>
        <v/>
      </c>
      <c r="J369" s="1" t="str">
        <f t="shared" si="6"/>
        <v>T5</v>
      </c>
      <c r="K369" s="1">
        <v>14</v>
      </c>
      <c r="L369" s="1" t="s">
        <v>112</v>
      </c>
      <c r="M369" s="1">
        <v>1</v>
      </c>
      <c r="N369" s="1" t="s">
        <v>149</v>
      </c>
      <c r="O369" s="1" t="s">
        <v>632</v>
      </c>
      <c r="R369" t="b">
        <f>IF(COUNTBLANK(Master_Reference[[#This Row],[C-Flex 3000K Eco Part Number]:[C-Flex 4000K Eco Part Number]])=3,FALSE,TRUE)</f>
        <v>1</v>
      </c>
      <c r="S369" t="b">
        <f>IF(COUNTBLANK(Master_Reference[[#This Row],[C-Flex 3000K 3W Part Number]:[C-Flex 4000K 3W Part Number]])=3,FALSE,TRUE)</f>
        <v>0</v>
      </c>
      <c r="T369" t="b">
        <f>IF(COUNTBLANK(Master_Reference[[#This Row],[Lutron 3000K Eco Part Number]:[Lutron 4000K Eco Part Number]])=3,FALSE,TRUE)</f>
        <v>1</v>
      </c>
      <c r="U369" t="b">
        <f>IF(COUNTBLANK(Master_Reference[[#This Row],[Lutron 3000K 3W Part Number]:[Lutron 4000K 3W Part Number]])=3,FALSE,TRUE)</f>
        <v>0</v>
      </c>
      <c r="V369" s="12" t="s">
        <v>321</v>
      </c>
      <c r="W369" s="12" t="s">
        <v>322</v>
      </c>
      <c r="X369" s="12" t="s">
        <v>323</v>
      </c>
      <c r="Y369" t="s">
        <v>1715</v>
      </c>
      <c r="Z369" s="12"/>
      <c r="AA369" s="12"/>
      <c r="AB369" s="12"/>
      <c r="AC369" t="s">
        <v>2125</v>
      </c>
      <c r="AD369" t="str">
        <f>SUBSTITUTE(Master_Reference[[#This Row],[C-Flex 4000K Eco Part Number]],"40-","xx-")</f>
        <v>RP-T5-2FT-1L-8xx-E1-M-G2</v>
      </c>
      <c r="AE369" t="str">
        <f>SUBSTITUTE(Master_Reference[[#This Row],[C-Flex 4000K 3W Part Number]],"40-","xx-")</f>
        <v/>
      </c>
      <c r="AF369" s="1" t="str">
        <f>_xlfn.IFNA(VLOOKUP(Master_Reference[[#This Row],[C-Flex 3000K Eco Part Number]],Lutron_CFlex_Lookup[],MATCH("Lutron Kit PN",Lutron_CFlex_Lookup[#Headers],0),FALSE),"")</f>
        <v>ELD2T5-1M30-q</v>
      </c>
      <c r="AG369" s="1" t="str">
        <f>_xlfn.IFNA(VLOOKUP(Master_Reference[[#This Row],[C-Flex 3500K Eco Part Number]],Lutron_CFlex_Lookup[],MATCH("Lutron Kit PN",Lutron_CFlex_Lookup[#Headers],0),FALSE),"")</f>
        <v>ELD2T5-1M35-q</v>
      </c>
      <c r="AH369" s="1" t="str">
        <f>_xlfn.IFNA(VLOOKUP(Master_Reference[[#This Row],[C-Flex 4000K Eco Part Number]],Lutron_CFlex_Lookup[],MATCH("Lutron Kit PN",Lutron_CFlex_Lookup[#Headers],0),FALSE),"")</f>
        <v>ELD2T5-1M40-q</v>
      </c>
      <c r="AI369" s="1" t="str">
        <f>_xlfn.IFNA(VLOOKUP(Master_Reference[[#This Row],[C-Flex 5000K Eco Part Number]],Lutron_CFlex_Lookup[],MATCH("Lutron Kit PN",Lutron_CFlex_Lookup[#Headers],0),FALSE),"")</f>
        <v>ELD2T5-1M50-q</v>
      </c>
      <c r="AJ369" s="1" t="str">
        <f>_xlfn.IFNA(VLOOKUP(Master_Reference[[#This Row],[C-Flex 3000K 3W Part Number]],Lutron_CFlex_Lookup[],MATCH("Lutron Kit PN",Lutron_CFlex_Lookup[#Headers],0),FALSE),"")</f>
        <v/>
      </c>
      <c r="AK369" s="1" t="str">
        <f>_xlfn.IFNA(VLOOKUP(Master_Reference[[#This Row],[C-Flex 3500K 3W Part Number]],Lutron_CFlex_Lookup[],MATCH("Lutron Kit PN",Lutron_CFlex_Lookup[#Headers],0),FALSE),"")</f>
        <v/>
      </c>
      <c r="AL369" s="1" t="str">
        <f>_xlfn.IFNA(VLOOKUP(Master_Reference[[#This Row],[C-Flex 4000K 3W Part Number]],Lutron_CFlex_Lookup[],MATCH("Lutron Kit PN",Lutron_CFlex_Lookup[#Headers],0),FALSE),"")</f>
        <v/>
      </c>
      <c r="AM369" s="1" t="str">
        <f>_xlfn.IFNA(VLOOKUP(Master_Reference[[#This Row],[C-Flex 5000K 3W Part Number]],Lutron_CFlex_Lookup[],MATCH("Lutron Kit PN",Lutron_CFlex_Lookup[#Headers],0),FALSE),"")</f>
        <v/>
      </c>
      <c r="AN369" s="1" t="b">
        <f>NOT(ISNA(VLOOKUP(Master_Reference[[#This Row],[Model Number]],ObsoleteModels[],1,FALSE)))</f>
        <v>1</v>
      </c>
      <c r="AO369" s="1" t="str">
        <f>IF(LEFT(Master_Reference[[#This Row],[Model Number]],1)="U",LEFT(Master_Reference[[#This Row],[Model Number]],4),LEFT(Master_Reference[[#This Row],[Model Number]],3))</f>
        <v>EHD</v>
      </c>
    </row>
    <row r="370" spans="1:41" x14ac:dyDescent="0.25">
      <c r="A370" s="2" t="s">
        <v>651</v>
      </c>
      <c r="B370" s="1" t="b">
        <v>1</v>
      </c>
      <c r="G370" s="1" t="b">
        <f>IF(OR(LEFT(RIGHT(Master_Reference[[#This Row],[Model Number]],3),1)="C",LEFT(RIGHT(Master_Reference[[#This Row],[Model Number]],4),1)="C"),TRUE,"")</f>
        <v>1</v>
      </c>
      <c r="H370" s="1" t="str">
        <f>IF(LEFT(Master_Reference[[#This Row],[Model Number]],1)="U",TRUE,"")</f>
        <v/>
      </c>
      <c r="I370" s="1" t="str">
        <f>IF(Master_Reference[[#This Row],[Lamp Type]]="T4","",IF(Master_Reference[[#This Row],[Case Type]]="M","",TRUE))</f>
        <v/>
      </c>
      <c r="J370" s="1" t="str">
        <f t="shared" si="6"/>
        <v>T5</v>
      </c>
      <c r="K370" s="1">
        <v>14</v>
      </c>
      <c r="L370" s="1" t="s">
        <v>112</v>
      </c>
      <c r="M370" s="1">
        <v>1</v>
      </c>
      <c r="N370" s="1" t="s">
        <v>149</v>
      </c>
      <c r="O370" s="1" t="s">
        <v>632</v>
      </c>
      <c r="R370" t="b">
        <f>IF(COUNTBLANK(Master_Reference[[#This Row],[C-Flex 3000K Eco Part Number]:[C-Flex 4000K Eco Part Number]])=3,FALSE,TRUE)</f>
        <v>1</v>
      </c>
      <c r="S370" t="b">
        <f>IF(COUNTBLANK(Master_Reference[[#This Row],[C-Flex 3000K 3W Part Number]:[C-Flex 4000K 3W Part Number]])=3,FALSE,TRUE)</f>
        <v>0</v>
      </c>
      <c r="T370" t="b">
        <f>IF(COUNTBLANK(Master_Reference[[#This Row],[Lutron 3000K Eco Part Number]:[Lutron 4000K Eco Part Number]])=3,FALSE,TRUE)</f>
        <v>1</v>
      </c>
      <c r="U370" t="b">
        <f>IF(COUNTBLANK(Master_Reference[[#This Row],[Lutron 3000K 3W Part Number]:[Lutron 4000K 3W Part Number]])=3,FALSE,TRUE)</f>
        <v>0</v>
      </c>
      <c r="V370" s="12" t="s">
        <v>321</v>
      </c>
      <c r="W370" s="12" t="s">
        <v>322</v>
      </c>
      <c r="X370" s="12" t="s">
        <v>323</v>
      </c>
      <c r="Y370" t="s">
        <v>1715</v>
      </c>
      <c r="Z370" s="12"/>
      <c r="AA370" s="12"/>
      <c r="AB370" s="12"/>
      <c r="AC370" t="s">
        <v>2125</v>
      </c>
      <c r="AD370" t="str">
        <f>SUBSTITUTE(Master_Reference[[#This Row],[C-Flex 4000K Eco Part Number]],"40-","xx-")</f>
        <v>RP-T5-2FT-1L-8xx-E1-M-G2</v>
      </c>
      <c r="AE370" t="str">
        <f>SUBSTITUTE(Master_Reference[[#This Row],[C-Flex 4000K 3W Part Number]],"40-","xx-")</f>
        <v/>
      </c>
      <c r="AF370" s="1" t="str">
        <f>_xlfn.IFNA(VLOOKUP(Master_Reference[[#This Row],[C-Flex 3000K Eco Part Number]],Lutron_CFlex_Lookup[],MATCH("Lutron Kit PN",Lutron_CFlex_Lookup[#Headers],0),FALSE),"")</f>
        <v>ELD2T5-1M30-q</v>
      </c>
      <c r="AG370" s="1" t="str">
        <f>_xlfn.IFNA(VLOOKUP(Master_Reference[[#This Row],[C-Flex 3500K Eco Part Number]],Lutron_CFlex_Lookup[],MATCH("Lutron Kit PN",Lutron_CFlex_Lookup[#Headers],0),FALSE),"")</f>
        <v>ELD2T5-1M35-q</v>
      </c>
      <c r="AH370" s="1" t="str">
        <f>_xlfn.IFNA(VLOOKUP(Master_Reference[[#This Row],[C-Flex 4000K Eco Part Number]],Lutron_CFlex_Lookup[],MATCH("Lutron Kit PN",Lutron_CFlex_Lookup[#Headers],0),FALSE),"")</f>
        <v>ELD2T5-1M40-q</v>
      </c>
      <c r="AI370" s="1" t="str">
        <f>_xlfn.IFNA(VLOOKUP(Master_Reference[[#This Row],[C-Flex 5000K Eco Part Number]],Lutron_CFlex_Lookup[],MATCH("Lutron Kit PN",Lutron_CFlex_Lookup[#Headers],0),FALSE),"")</f>
        <v>ELD2T5-1M50-q</v>
      </c>
      <c r="AJ370" s="1" t="str">
        <f>_xlfn.IFNA(VLOOKUP(Master_Reference[[#This Row],[C-Flex 3000K 3W Part Number]],Lutron_CFlex_Lookup[],MATCH("Lutron Kit PN",Lutron_CFlex_Lookup[#Headers],0),FALSE),"")</f>
        <v/>
      </c>
      <c r="AK370" s="1" t="str">
        <f>_xlfn.IFNA(VLOOKUP(Master_Reference[[#This Row],[C-Flex 3500K 3W Part Number]],Lutron_CFlex_Lookup[],MATCH("Lutron Kit PN",Lutron_CFlex_Lookup[#Headers],0),FALSE),"")</f>
        <v/>
      </c>
      <c r="AL370" s="1" t="str">
        <f>_xlfn.IFNA(VLOOKUP(Master_Reference[[#This Row],[C-Flex 4000K 3W Part Number]],Lutron_CFlex_Lookup[],MATCH("Lutron Kit PN",Lutron_CFlex_Lookup[#Headers],0),FALSE),"")</f>
        <v/>
      </c>
      <c r="AM370" s="1" t="str">
        <f>_xlfn.IFNA(VLOOKUP(Master_Reference[[#This Row],[C-Flex 5000K 3W Part Number]],Lutron_CFlex_Lookup[],MATCH("Lutron Kit PN",Lutron_CFlex_Lookup[#Headers],0),FALSE),"")</f>
        <v/>
      </c>
      <c r="AN370" s="1" t="b">
        <f>NOT(ISNA(VLOOKUP(Master_Reference[[#This Row],[Model Number]],ObsoleteModels[],1,FALSE)))</f>
        <v>1</v>
      </c>
      <c r="AO370" s="1" t="str">
        <f>IF(LEFT(Master_Reference[[#This Row],[Model Number]],1)="U",LEFT(Master_Reference[[#This Row],[Model Number]],4),LEFT(Master_Reference[[#This Row],[Model Number]],3))</f>
        <v>EHD</v>
      </c>
    </row>
    <row r="371" spans="1:41" x14ac:dyDescent="0.25">
      <c r="A371" s="2" t="s">
        <v>652</v>
      </c>
      <c r="B371" s="1" t="b">
        <v>1</v>
      </c>
      <c r="G371" s="1" t="str">
        <f>IF(OR(LEFT(RIGHT(Master_Reference[[#This Row],[Model Number]],3),1)="C",LEFT(RIGHT(Master_Reference[[#This Row],[Model Number]],4),1)="C"),TRUE,"")</f>
        <v/>
      </c>
      <c r="H371" s="1" t="str">
        <f>IF(LEFT(Master_Reference[[#This Row],[Model Number]],1)="U",TRUE,"")</f>
        <v/>
      </c>
      <c r="I371" s="1" t="str">
        <f>IF(Master_Reference[[#This Row],[Lamp Type]]="T4","",IF(Master_Reference[[#This Row],[Case Type]]="M","",TRUE))</f>
        <v/>
      </c>
      <c r="J371" s="1" t="str">
        <f t="shared" si="6"/>
        <v>T5</v>
      </c>
      <c r="K371" s="1">
        <v>14</v>
      </c>
      <c r="L371" s="1" t="s">
        <v>112</v>
      </c>
      <c r="M371" s="1">
        <v>2</v>
      </c>
      <c r="N371" s="1" t="s">
        <v>149</v>
      </c>
      <c r="O371" s="1" t="s">
        <v>632</v>
      </c>
      <c r="R371" t="b">
        <f>IF(COUNTBLANK(Master_Reference[[#This Row],[C-Flex 3000K Eco Part Number]:[C-Flex 4000K Eco Part Number]])=3,FALSE,TRUE)</f>
        <v>1</v>
      </c>
      <c r="S371" t="b">
        <f>IF(COUNTBLANK(Master_Reference[[#This Row],[C-Flex 3000K 3W Part Number]:[C-Flex 4000K 3W Part Number]])=3,FALSE,TRUE)</f>
        <v>0</v>
      </c>
      <c r="T371" t="b">
        <f>IF(COUNTBLANK(Master_Reference[[#This Row],[Lutron 3000K Eco Part Number]:[Lutron 4000K Eco Part Number]])=3,FALSE,TRUE)</f>
        <v>1</v>
      </c>
      <c r="U371" t="b">
        <f>IF(COUNTBLANK(Master_Reference[[#This Row],[Lutron 3000K 3W Part Number]:[Lutron 4000K 3W Part Number]])=3,FALSE,TRUE)</f>
        <v>0</v>
      </c>
      <c r="V371" s="12" t="s">
        <v>325</v>
      </c>
      <c r="W371" s="12" t="s">
        <v>326</v>
      </c>
      <c r="X371" s="12" t="s">
        <v>327</v>
      </c>
      <c r="Y371" t="s">
        <v>1716</v>
      </c>
      <c r="Z371" s="12"/>
      <c r="AA371" s="12"/>
      <c r="AB371" s="12"/>
      <c r="AC371" t="s">
        <v>2125</v>
      </c>
      <c r="AD371" t="str">
        <f>SUBSTITUTE(Master_Reference[[#This Row],[C-Flex 4000K Eco Part Number]],"40-","xx-")</f>
        <v>RP-T5-2FT-2L-8xx-E1-M-G2</v>
      </c>
      <c r="AE371" t="str">
        <f>SUBSTITUTE(Master_Reference[[#This Row],[C-Flex 4000K 3W Part Number]],"40-","xx-")</f>
        <v/>
      </c>
      <c r="AF371" s="1" t="str">
        <f>_xlfn.IFNA(VLOOKUP(Master_Reference[[#This Row],[C-Flex 3000K Eco Part Number]],Lutron_CFlex_Lookup[],MATCH("Lutron Kit PN",Lutron_CFlex_Lookup[#Headers],0),FALSE),"")</f>
        <v>ELD2T5-2M30-q</v>
      </c>
      <c r="AG371" s="1" t="str">
        <f>_xlfn.IFNA(VLOOKUP(Master_Reference[[#This Row],[C-Flex 3500K Eco Part Number]],Lutron_CFlex_Lookup[],MATCH("Lutron Kit PN",Lutron_CFlex_Lookup[#Headers],0),FALSE),"")</f>
        <v>ELD2T5-2M35-q</v>
      </c>
      <c r="AH371" s="1" t="str">
        <f>_xlfn.IFNA(VLOOKUP(Master_Reference[[#This Row],[C-Flex 4000K Eco Part Number]],Lutron_CFlex_Lookup[],MATCH("Lutron Kit PN",Lutron_CFlex_Lookup[#Headers],0),FALSE),"")</f>
        <v>ELD2T5-2M40-q</v>
      </c>
      <c r="AI371" s="1" t="str">
        <f>_xlfn.IFNA(VLOOKUP(Master_Reference[[#This Row],[C-Flex 5000K Eco Part Number]],Lutron_CFlex_Lookup[],MATCH("Lutron Kit PN",Lutron_CFlex_Lookup[#Headers],0),FALSE),"")</f>
        <v>ELD2T5-2M50-q</v>
      </c>
      <c r="AJ371" s="1" t="str">
        <f>_xlfn.IFNA(VLOOKUP(Master_Reference[[#This Row],[C-Flex 3000K 3W Part Number]],Lutron_CFlex_Lookup[],MATCH("Lutron Kit PN",Lutron_CFlex_Lookup[#Headers],0),FALSE),"")</f>
        <v/>
      </c>
      <c r="AK371" s="1" t="str">
        <f>_xlfn.IFNA(VLOOKUP(Master_Reference[[#This Row],[C-Flex 3500K 3W Part Number]],Lutron_CFlex_Lookup[],MATCH("Lutron Kit PN",Lutron_CFlex_Lookup[#Headers],0),FALSE),"")</f>
        <v/>
      </c>
      <c r="AL371" s="1" t="str">
        <f>_xlfn.IFNA(VLOOKUP(Master_Reference[[#This Row],[C-Flex 4000K 3W Part Number]],Lutron_CFlex_Lookup[],MATCH("Lutron Kit PN",Lutron_CFlex_Lookup[#Headers],0),FALSE),"")</f>
        <v/>
      </c>
      <c r="AM371" s="1" t="str">
        <f>_xlfn.IFNA(VLOOKUP(Master_Reference[[#This Row],[C-Flex 5000K 3W Part Number]],Lutron_CFlex_Lookup[],MATCH("Lutron Kit PN",Lutron_CFlex_Lookup[#Headers],0),FALSE),"")</f>
        <v/>
      </c>
      <c r="AN371" s="1" t="b">
        <f>NOT(ISNA(VLOOKUP(Master_Reference[[#This Row],[Model Number]],ObsoleteModels[],1,FALSE)))</f>
        <v>1</v>
      </c>
      <c r="AO371" s="1" t="str">
        <f>IF(LEFT(Master_Reference[[#This Row],[Model Number]],1)="U",LEFT(Master_Reference[[#This Row],[Model Number]],4),LEFT(Master_Reference[[#This Row],[Model Number]],3))</f>
        <v>EHD</v>
      </c>
    </row>
    <row r="372" spans="1:41" x14ac:dyDescent="0.25">
      <c r="A372" s="2" t="s">
        <v>653</v>
      </c>
      <c r="B372" s="1" t="b">
        <v>1</v>
      </c>
      <c r="G372" s="1" t="str">
        <f>IF(OR(LEFT(RIGHT(Master_Reference[[#This Row],[Model Number]],3),1)="C",LEFT(RIGHT(Master_Reference[[#This Row],[Model Number]],4),1)="C"),TRUE,"")</f>
        <v/>
      </c>
      <c r="H372" s="1" t="str">
        <f>IF(LEFT(Master_Reference[[#This Row],[Model Number]],1)="U",TRUE,"")</f>
        <v/>
      </c>
      <c r="I372" s="1" t="str">
        <f>IF(Master_Reference[[#This Row],[Lamp Type]]="T4","",IF(Master_Reference[[#This Row],[Case Type]]="M","",TRUE))</f>
        <v/>
      </c>
      <c r="J372" s="1" t="str">
        <f t="shared" si="6"/>
        <v>T5</v>
      </c>
      <c r="K372" s="1">
        <v>14</v>
      </c>
      <c r="L372" s="1" t="s">
        <v>112</v>
      </c>
      <c r="M372" s="1">
        <v>2</v>
      </c>
      <c r="N372" s="1" t="s">
        <v>149</v>
      </c>
      <c r="O372" s="1" t="s">
        <v>632</v>
      </c>
      <c r="Q372" s="1" t="s">
        <v>91</v>
      </c>
      <c r="R372" t="b">
        <f>IF(COUNTBLANK(Master_Reference[[#This Row],[C-Flex 3000K Eco Part Number]:[C-Flex 4000K Eco Part Number]])=3,FALSE,TRUE)</f>
        <v>0</v>
      </c>
      <c r="S372" t="b">
        <f>IF(COUNTBLANK(Master_Reference[[#This Row],[C-Flex 3000K 3W Part Number]:[C-Flex 4000K 3W Part Number]])=3,FALSE,TRUE)</f>
        <v>0</v>
      </c>
      <c r="T372" t="b">
        <f>IF(COUNTBLANK(Master_Reference[[#This Row],[Lutron 3000K Eco Part Number]:[Lutron 4000K Eco Part Number]])=3,FALSE,TRUE)</f>
        <v>0</v>
      </c>
      <c r="U372" t="b">
        <f>IF(COUNTBLANK(Master_Reference[[#This Row],[Lutron 3000K 3W Part Number]:[Lutron 4000K 3W Part Number]])=3,FALSE,TRUE)</f>
        <v>0</v>
      </c>
      <c r="V372" s="12"/>
      <c r="W372" s="12"/>
      <c r="X372" s="12"/>
      <c r="Y372" t="s">
        <v>2125</v>
      </c>
      <c r="Z372" s="12"/>
      <c r="AA372" s="12"/>
      <c r="AB372" s="12"/>
      <c r="AC372" t="s">
        <v>2125</v>
      </c>
      <c r="AD372" t="str">
        <f>SUBSTITUTE(Master_Reference[[#This Row],[C-Flex 4000K Eco Part Number]],"40-","xx-")</f>
        <v/>
      </c>
      <c r="AE372" t="str">
        <f>SUBSTITUTE(Master_Reference[[#This Row],[C-Flex 4000K 3W Part Number]],"40-","xx-")</f>
        <v/>
      </c>
      <c r="AF372" s="1" t="str">
        <f>_xlfn.IFNA(VLOOKUP(Master_Reference[[#This Row],[C-Flex 3000K Eco Part Number]],Lutron_CFlex_Lookup[],MATCH("Lutron Kit PN",Lutron_CFlex_Lookup[#Headers],0),FALSE),"")</f>
        <v/>
      </c>
      <c r="AG372" s="1" t="str">
        <f>_xlfn.IFNA(VLOOKUP(Master_Reference[[#This Row],[C-Flex 3500K Eco Part Number]],Lutron_CFlex_Lookup[],MATCH("Lutron Kit PN",Lutron_CFlex_Lookup[#Headers],0),FALSE),"")</f>
        <v/>
      </c>
      <c r="AH372" s="1" t="str">
        <f>_xlfn.IFNA(VLOOKUP(Master_Reference[[#This Row],[C-Flex 4000K Eco Part Number]],Lutron_CFlex_Lookup[],MATCH("Lutron Kit PN",Lutron_CFlex_Lookup[#Headers],0),FALSE),"")</f>
        <v/>
      </c>
      <c r="AI372" s="1" t="str">
        <f>_xlfn.IFNA(VLOOKUP(Master_Reference[[#This Row],[C-Flex 5000K Eco Part Number]],Lutron_CFlex_Lookup[],MATCH("Lutron Kit PN",Lutron_CFlex_Lookup[#Headers],0),FALSE),"")</f>
        <v/>
      </c>
      <c r="AJ372" s="1" t="str">
        <f>_xlfn.IFNA(VLOOKUP(Master_Reference[[#This Row],[C-Flex 3000K 3W Part Number]],Lutron_CFlex_Lookup[],MATCH("Lutron Kit PN",Lutron_CFlex_Lookup[#Headers],0),FALSE),"")</f>
        <v/>
      </c>
      <c r="AK372" s="1" t="str">
        <f>_xlfn.IFNA(VLOOKUP(Master_Reference[[#This Row],[C-Flex 3500K 3W Part Number]],Lutron_CFlex_Lookup[],MATCH("Lutron Kit PN",Lutron_CFlex_Lookup[#Headers],0),FALSE),"")</f>
        <v/>
      </c>
      <c r="AL372" s="1" t="str">
        <f>_xlfn.IFNA(VLOOKUP(Master_Reference[[#This Row],[C-Flex 4000K 3W Part Number]],Lutron_CFlex_Lookup[],MATCH("Lutron Kit PN",Lutron_CFlex_Lookup[#Headers],0),FALSE),"")</f>
        <v/>
      </c>
      <c r="AM372" s="1" t="str">
        <f>_xlfn.IFNA(VLOOKUP(Master_Reference[[#This Row],[C-Flex 5000K 3W Part Number]],Lutron_CFlex_Lookup[],MATCH("Lutron Kit PN",Lutron_CFlex_Lookup[#Headers],0),FALSE),"")</f>
        <v/>
      </c>
      <c r="AN372" s="1" t="b">
        <f>NOT(ISNA(VLOOKUP(Master_Reference[[#This Row],[Model Number]],ObsoleteModels[],1,FALSE)))</f>
        <v>1</v>
      </c>
      <c r="AO372" s="1" t="str">
        <f>IF(LEFT(Master_Reference[[#This Row],[Model Number]],1)="U",LEFT(Master_Reference[[#This Row],[Model Number]],4),LEFT(Master_Reference[[#This Row],[Model Number]],3))</f>
        <v>EHD</v>
      </c>
    </row>
    <row r="373" spans="1:41" x14ac:dyDescent="0.25">
      <c r="A373" s="2" t="s">
        <v>654</v>
      </c>
      <c r="B373" s="1" t="b">
        <v>1</v>
      </c>
      <c r="G373" s="1" t="b">
        <f>IF(OR(LEFT(RIGHT(Master_Reference[[#This Row],[Model Number]],3),1)="C",LEFT(RIGHT(Master_Reference[[#This Row],[Model Number]],4),1)="C"),TRUE,"")</f>
        <v>1</v>
      </c>
      <c r="H373" s="1" t="str">
        <f>IF(LEFT(Master_Reference[[#This Row],[Model Number]],1)="U",TRUE,"")</f>
        <v/>
      </c>
      <c r="I373" s="1" t="str">
        <f>IF(Master_Reference[[#This Row],[Lamp Type]]="T4","",IF(Master_Reference[[#This Row],[Case Type]]="M","",TRUE))</f>
        <v/>
      </c>
      <c r="J373" s="1" t="str">
        <f t="shared" si="6"/>
        <v>T5</v>
      </c>
      <c r="K373" s="1">
        <v>14</v>
      </c>
      <c r="L373" s="1" t="s">
        <v>112</v>
      </c>
      <c r="M373" s="1">
        <v>2</v>
      </c>
      <c r="N373" s="1" t="s">
        <v>149</v>
      </c>
      <c r="O373" s="1" t="s">
        <v>632</v>
      </c>
      <c r="R373" t="b">
        <f>IF(COUNTBLANK(Master_Reference[[#This Row],[C-Flex 3000K Eco Part Number]:[C-Flex 4000K Eco Part Number]])=3,FALSE,TRUE)</f>
        <v>1</v>
      </c>
      <c r="S373" t="b">
        <f>IF(COUNTBLANK(Master_Reference[[#This Row],[C-Flex 3000K 3W Part Number]:[C-Flex 4000K 3W Part Number]])=3,FALSE,TRUE)</f>
        <v>0</v>
      </c>
      <c r="T373" t="b">
        <f>IF(COUNTBLANK(Master_Reference[[#This Row],[Lutron 3000K Eco Part Number]:[Lutron 4000K Eco Part Number]])=3,FALSE,TRUE)</f>
        <v>1</v>
      </c>
      <c r="U373" t="b">
        <f>IF(COUNTBLANK(Master_Reference[[#This Row],[Lutron 3000K 3W Part Number]:[Lutron 4000K 3W Part Number]])=3,FALSE,TRUE)</f>
        <v>0</v>
      </c>
      <c r="V373" s="12" t="s">
        <v>325</v>
      </c>
      <c r="W373" s="12" t="s">
        <v>326</v>
      </c>
      <c r="X373" s="12" t="s">
        <v>327</v>
      </c>
      <c r="Y373" t="s">
        <v>1716</v>
      </c>
      <c r="Z373" s="12"/>
      <c r="AA373" s="12"/>
      <c r="AB373" s="12"/>
      <c r="AC373" t="s">
        <v>2125</v>
      </c>
      <c r="AD373" t="str">
        <f>SUBSTITUTE(Master_Reference[[#This Row],[C-Flex 4000K Eco Part Number]],"40-","xx-")</f>
        <v>RP-T5-2FT-2L-8xx-E1-M-G2</v>
      </c>
      <c r="AE373" t="str">
        <f>SUBSTITUTE(Master_Reference[[#This Row],[C-Flex 4000K 3W Part Number]],"40-","xx-")</f>
        <v/>
      </c>
      <c r="AF373" s="1" t="str">
        <f>_xlfn.IFNA(VLOOKUP(Master_Reference[[#This Row],[C-Flex 3000K Eco Part Number]],Lutron_CFlex_Lookup[],MATCH("Lutron Kit PN",Lutron_CFlex_Lookup[#Headers],0),FALSE),"")</f>
        <v>ELD2T5-2M30-q</v>
      </c>
      <c r="AG373" s="1" t="str">
        <f>_xlfn.IFNA(VLOOKUP(Master_Reference[[#This Row],[C-Flex 3500K Eco Part Number]],Lutron_CFlex_Lookup[],MATCH("Lutron Kit PN",Lutron_CFlex_Lookup[#Headers],0),FALSE),"")</f>
        <v>ELD2T5-2M35-q</v>
      </c>
      <c r="AH373" s="1" t="str">
        <f>_xlfn.IFNA(VLOOKUP(Master_Reference[[#This Row],[C-Flex 4000K Eco Part Number]],Lutron_CFlex_Lookup[],MATCH("Lutron Kit PN",Lutron_CFlex_Lookup[#Headers],0),FALSE),"")</f>
        <v>ELD2T5-2M40-q</v>
      </c>
      <c r="AI373" s="1" t="str">
        <f>_xlfn.IFNA(VLOOKUP(Master_Reference[[#This Row],[C-Flex 5000K Eco Part Number]],Lutron_CFlex_Lookup[],MATCH("Lutron Kit PN",Lutron_CFlex_Lookup[#Headers],0),FALSE),"")</f>
        <v>ELD2T5-2M50-q</v>
      </c>
      <c r="AJ373" s="1" t="str">
        <f>_xlfn.IFNA(VLOOKUP(Master_Reference[[#This Row],[C-Flex 3000K 3W Part Number]],Lutron_CFlex_Lookup[],MATCH("Lutron Kit PN",Lutron_CFlex_Lookup[#Headers],0),FALSE),"")</f>
        <v/>
      </c>
      <c r="AK373" s="1" t="str">
        <f>_xlfn.IFNA(VLOOKUP(Master_Reference[[#This Row],[C-Flex 3500K 3W Part Number]],Lutron_CFlex_Lookup[],MATCH("Lutron Kit PN",Lutron_CFlex_Lookup[#Headers],0),FALSE),"")</f>
        <v/>
      </c>
      <c r="AL373" s="1" t="str">
        <f>_xlfn.IFNA(VLOOKUP(Master_Reference[[#This Row],[C-Flex 4000K 3W Part Number]],Lutron_CFlex_Lookup[],MATCH("Lutron Kit PN",Lutron_CFlex_Lookup[#Headers],0),FALSE),"")</f>
        <v/>
      </c>
      <c r="AM373" s="1" t="str">
        <f>_xlfn.IFNA(VLOOKUP(Master_Reference[[#This Row],[C-Flex 5000K 3W Part Number]],Lutron_CFlex_Lookup[],MATCH("Lutron Kit PN",Lutron_CFlex_Lookup[#Headers],0),FALSE),"")</f>
        <v/>
      </c>
      <c r="AN373" s="1" t="b">
        <f>NOT(ISNA(VLOOKUP(Master_Reference[[#This Row],[Model Number]],ObsoleteModels[],1,FALSE)))</f>
        <v>1</v>
      </c>
      <c r="AO373" s="1" t="str">
        <f>IF(LEFT(Master_Reference[[#This Row],[Model Number]],1)="U",LEFT(Master_Reference[[#This Row],[Model Number]],4),LEFT(Master_Reference[[#This Row],[Model Number]],3))</f>
        <v>EHD</v>
      </c>
    </row>
    <row r="374" spans="1:41" x14ac:dyDescent="0.25">
      <c r="A374" s="2" t="s">
        <v>655</v>
      </c>
      <c r="B374" s="1" t="b">
        <v>1</v>
      </c>
      <c r="G374" s="1" t="str">
        <f>IF(OR(LEFT(RIGHT(Master_Reference[[#This Row],[Model Number]],3),1)="C",LEFT(RIGHT(Master_Reference[[#This Row],[Model Number]],4),1)="C"),TRUE,"")</f>
        <v/>
      </c>
      <c r="H374" s="1" t="str">
        <f>IF(LEFT(Master_Reference[[#This Row],[Model Number]],1)="U",TRUE,"")</f>
        <v/>
      </c>
      <c r="I374" s="1" t="str">
        <f>IF(Master_Reference[[#This Row],[Lamp Type]]="T4","",IF(Master_Reference[[#This Row],[Case Type]]="M","",TRUE))</f>
        <v/>
      </c>
      <c r="J374" s="1" t="str">
        <f t="shared" si="6"/>
        <v>T5</v>
      </c>
      <c r="K374" s="1">
        <v>21</v>
      </c>
      <c r="L374" s="1" t="s">
        <v>115</v>
      </c>
      <c r="M374" s="1">
        <v>1</v>
      </c>
      <c r="N374" s="1" t="s">
        <v>631</v>
      </c>
      <c r="O374" s="1" t="s">
        <v>632</v>
      </c>
      <c r="Q374" s="1" t="s">
        <v>456</v>
      </c>
      <c r="R374" t="b">
        <f>IF(COUNTBLANK(Master_Reference[[#This Row],[C-Flex 3000K Eco Part Number]:[C-Flex 4000K Eco Part Number]])=3,FALSE,TRUE)</f>
        <v>0</v>
      </c>
      <c r="S374" t="b">
        <f>IF(COUNTBLANK(Master_Reference[[#This Row],[C-Flex 3000K 3W Part Number]:[C-Flex 4000K 3W Part Number]])=3,FALSE,TRUE)</f>
        <v>0</v>
      </c>
      <c r="T374" t="b">
        <f>IF(COUNTBLANK(Master_Reference[[#This Row],[Lutron 3000K Eco Part Number]:[Lutron 4000K Eco Part Number]])=3,FALSE,TRUE)</f>
        <v>0</v>
      </c>
      <c r="U374" t="b">
        <f>IF(COUNTBLANK(Master_Reference[[#This Row],[Lutron 3000K 3W Part Number]:[Lutron 4000K 3W Part Number]])=3,FALSE,TRUE)</f>
        <v>0</v>
      </c>
      <c r="V374" s="12"/>
      <c r="W374" s="12"/>
      <c r="X374" s="12"/>
      <c r="Y374" t="s">
        <v>2125</v>
      </c>
      <c r="Z374" s="12"/>
      <c r="AA374" s="12"/>
      <c r="AB374" s="12"/>
      <c r="AC374" t="s">
        <v>2125</v>
      </c>
      <c r="AD374" t="str">
        <f>SUBSTITUTE(Master_Reference[[#This Row],[C-Flex 4000K Eco Part Number]],"40-","xx-")</f>
        <v/>
      </c>
      <c r="AE374" t="str">
        <f>SUBSTITUTE(Master_Reference[[#This Row],[C-Flex 4000K 3W Part Number]],"40-","xx-")</f>
        <v/>
      </c>
      <c r="AF374" s="1" t="str">
        <f>_xlfn.IFNA(VLOOKUP(Master_Reference[[#This Row],[C-Flex 3000K Eco Part Number]],Lutron_CFlex_Lookup[],MATCH("Lutron Kit PN",Lutron_CFlex_Lookup[#Headers],0),FALSE),"")</f>
        <v/>
      </c>
      <c r="AG374" s="1" t="str">
        <f>_xlfn.IFNA(VLOOKUP(Master_Reference[[#This Row],[C-Flex 3500K Eco Part Number]],Lutron_CFlex_Lookup[],MATCH("Lutron Kit PN",Lutron_CFlex_Lookup[#Headers],0),FALSE),"")</f>
        <v/>
      </c>
      <c r="AH374" s="1" t="str">
        <f>_xlfn.IFNA(VLOOKUP(Master_Reference[[#This Row],[C-Flex 4000K Eco Part Number]],Lutron_CFlex_Lookup[],MATCH("Lutron Kit PN",Lutron_CFlex_Lookup[#Headers],0),FALSE),"")</f>
        <v/>
      </c>
      <c r="AI374" s="1" t="str">
        <f>_xlfn.IFNA(VLOOKUP(Master_Reference[[#This Row],[C-Flex 5000K Eco Part Number]],Lutron_CFlex_Lookup[],MATCH("Lutron Kit PN",Lutron_CFlex_Lookup[#Headers],0),FALSE),"")</f>
        <v/>
      </c>
      <c r="AJ374" s="1" t="str">
        <f>_xlfn.IFNA(VLOOKUP(Master_Reference[[#This Row],[C-Flex 3000K 3W Part Number]],Lutron_CFlex_Lookup[],MATCH("Lutron Kit PN",Lutron_CFlex_Lookup[#Headers],0),FALSE),"")</f>
        <v/>
      </c>
      <c r="AK374" s="1" t="str">
        <f>_xlfn.IFNA(VLOOKUP(Master_Reference[[#This Row],[C-Flex 3500K 3W Part Number]],Lutron_CFlex_Lookup[],MATCH("Lutron Kit PN",Lutron_CFlex_Lookup[#Headers],0),FALSE),"")</f>
        <v/>
      </c>
      <c r="AL374" s="1" t="str">
        <f>_xlfn.IFNA(VLOOKUP(Master_Reference[[#This Row],[C-Flex 4000K 3W Part Number]],Lutron_CFlex_Lookup[],MATCH("Lutron Kit PN",Lutron_CFlex_Lookup[#Headers],0),FALSE),"")</f>
        <v/>
      </c>
      <c r="AM374" s="1" t="str">
        <f>_xlfn.IFNA(VLOOKUP(Master_Reference[[#This Row],[C-Flex 5000K 3W Part Number]],Lutron_CFlex_Lookup[],MATCH("Lutron Kit PN",Lutron_CFlex_Lookup[#Headers],0),FALSE),"")</f>
        <v/>
      </c>
      <c r="AN374" s="1" t="b">
        <f>NOT(ISNA(VLOOKUP(Master_Reference[[#This Row],[Model Number]],ObsoleteModels[],1,FALSE)))</f>
        <v>1</v>
      </c>
      <c r="AO374" s="1" t="str">
        <f>IF(LEFT(Master_Reference[[#This Row],[Model Number]],1)="U",LEFT(Master_Reference[[#This Row],[Model Number]],4),LEFT(Master_Reference[[#This Row],[Model Number]],3))</f>
        <v>EHD</v>
      </c>
    </row>
    <row r="375" spans="1:41" x14ac:dyDescent="0.25">
      <c r="A375" s="2" t="s">
        <v>656</v>
      </c>
      <c r="B375" s="1" t="b">
        <v>1</v>
      </c>
      <c r="G375" s="1" t="str">
        <f>IF(OR(LEFT(RIGHT(Master_Reference[[#This Row],[Model Number]],3),1)="C",LEFT(RIGHT(Master_Reference[[#This Row],[Model Number]],4),1)="C"),TRUE,"")</f>
        <v/>
      </c>
      <c r="H375" s="1" t="str">
        <f>IF(LEFT(Master_Reference[[#This Row],[Model Number]],1)="U",TRUE,"")</f>
        <v/>
      </c>
      <c r="I375" s="1" t="str">
        <f>IF(Master_Reference[[#This Row],[Lamp Type]]="T4","",IF(Master_Reference[[#This Row],[Case Type]]="M","",TRUE))</f>
        <v/>
      </c>
      <c r="J375" s="1" t="str">
        <f t="shared" si="6"/>
        <v>T5</v>
      </c>
      <c r="K375" s="1">
        <v>21</v>
      </c>
      <c r="L375" s="1" t="s">
        <v>115</v>
      </c>
      <c r="M375" s="1">
        <v>2</v>
      </c>
      <c r="N375" s="1" t="s">
        <v>631</v>
      </c>
      <c r="O375" s="1" t="s">
        <v>632</v>
      </c>
      <c r="Q375" s="1" t="s">
        <v>456</v>
      </c>
      <c r="R375" t="b">
        <f>IF(COUNTBLANK(Master_Reference[[#This Row],[C-Flex 3000K Eco Part Number]:[C-Flex 4000K Eco Part Number]])=3,FALSE,TRUE)</f>
        <v>0</v>
      </c>
      <c r="S375" t="b">
        <f>IF(COUNTBLANK(Master_Reference[[#This Row],[C-Flex 3000K 3W Part Number]:[C-Flex 4000K 3W Part Number]])=3,FALSE,TRUE)</f>
        <v>0</v>
      </c>
      <c r="T375" t="b">
        <f>IF(COUNTBLANK(Master_Reference[[#This Row],[Lutron 3000K Eco Part Number]:[Lutron 4000K Eco Part Number]])=3,FALSE,TRUE)</f>
        <v>0</v>
      </c>
      <c r="U375" t="b">
        <f>IF(COUNTBLANK(Master_Reference[[#This Row],[Lutron 3000K 3W Part Number]:[Lutron 4000K 3W Part Number]])=3,FALSE,TRUE)</f>
        <v>0</v>
      </c>
      <c r="V375" s="12"/>
      <c r="W375" s="12"/>
      <c r="X375" s="12"/>
      <c r="Y375" t="s">
        <v>2125</v>
      </c>
      <c r="Z375" s="12"/>
      <c r="AA375" s="12"/>
      <c r="AB375" s="12"/>
      <c r="AC375" t="s">
        <v>2125</v>
      </c>
      <c r="AD375" t="str">
        <f>SUBSTITUTE(Master_Reference[[#This Row],[C-Flex 4000K Eco Part Number]],"40-","xx-")</f>
        <v/>
      </c>
      <c r="AE375" t="str">
        <f>SUBSTITUTE(Master_Reference[[#This Row],[C-Flex 4000K 3W Part Number]],"40-","xx-")</f>
        <v/>
      </c>
      <c r="AF375" s="1" t="str">
        <f>_xlfn.IFNA(VLOOKUP(Master_Reference[[#This Row],[C-Flex 3000K Eco Part Number]],Lutron_CFlex_Lookup[],MATCH("Lutron Kit PN",Lutron_CFlex_Lookup[#Headers],0),FALSE),"")</f>
        <v/>
      </c>
      <c r="AG375" s="1" t="str">
        <f>_xlfn.IFNA(VLOOKUP(Master_Reference[[#This Row],[C-Flex 3500K Eco Part Number]],Lutron_CFlex_Lookup[],MATCH("Lutron Kit PN",Lutron_CFlex_Lookup[#Headers],0),FALSE),"")</f>
        <v/>
      </c>
      <c r="AH375" s="1" t="str">
        <f>_xlfn.IFNA(VLOOKUP(Master_Reference[[#This Row],[C-Flex 4000K Eco Part Number]],Lutron_CFlex_Lookup[],MATCH("Lutron Kit PN",Lutron_CFlex_Lookup[#Headers],0),FALSE),"")</f>
        <v/>
      </c>
      <c r="AI375" s="1" t="str">
        <f>_xlfn.IFNA(VLOOKUP(Master_Reference[[#This Row],[C-Flex 5000K Eco Part Number]],Lutron_CFlex_Lookup[],MATCH("Lutron Kit PN",Lutron_CFlex_Lookup[#Headers],0),FALSE),"")</f>
        <v/>
      </c>
      <c r="AJ375" s="1" t="str">
        <f>_xlfn.IFNA(VLOOKUP(Master_Reference[[#This Row],[C-Flex 3000K 3W Part Number]],Lutron_CFlex_Lookup[],MATCH("Lutron Kit PN",Lutron_CFlex_Lookup[#Headers],0),FALSE),"")</f>
        <v/>
      </c>
      <c r="AK375" s="1" t="str">
        <f>_xlfn.IFNA(VLOOKUP(Master_Reference[[#This Row],[C-Flex 3500K 3W Part Number]],Lutron_CFlex_Lookup[],MATCH("Lutron Kit PN",Lutron_CFlex_Lookup[#Headers],0),FALSE),"")</f>
        <v/>
      </c>
      <c r="AL375" s="1" t="str">
        <f>_xlfn.IFNA(VLOOKUP(Master_Reference[[#This Row],[C-Flex 4000K 3W Part Number]],Lutron_CFlex_Lookup[],MATCH("Lutron Kit PN",Lutron_CFlex_Lookup[#Headers],0),FALSE),"")</f>
        <v/>
      </c>
      <c r="AM375" s="1" t="str">
        <f>_xlfn.IFNA(VLOOKUP(Master_Reference[[#This Row],[C-Flex 5000K 3W Part Number]],Lutron_CFlex_Lookup[],MATCH("Lutron Kit PN",Lutron_CFlex_Lookup[#Headers],0),FALSE),"")</f>
        <v/>
      </c>
      <c r="AN375" s="1" t="b">
        <f>NOT(ISNA(VLOOKUP(Master_Reference[[#This Row],[Model Number]],ObsoleteModels[],1,FALSE)))</f>
        <v>1</v>
      </c>
      <c r="AO375" s="1" t="str">
        <f>IF(LEFT(Master_Reference[[#This Row],[Model Number]],1)="U",LEFT(Master_Reference[[#This Row],[Model Number]],4),LEFT(Master_Reference[[#This Row],[Model Number]],3))</f>
        <v>EHD</v>
      </c>
    </row>
    <row r="376" spans="1:41" x14ac:dyDescent="0.25">
      <c r="A376" s="2" t="s">
        <v>657</v>
      </c>
      <c r="B376" s="1" t="b">
        <v>1</v>
      </c>
      <c r="G376" s="1" t="str">
        <f>IF(OR(LEFT(RIGHT(Master_Reference[[#This Row],[Model Number]],3),1)="C",LEFT(RIGHT(Master_Reference[[#This Row],[Model Number]],4),1)="C"),TRUE,"")</f>
        <v/>
      </c>
      <c r="H376" s="1" t="str">
        <f>IF(LEFT(Master_Reference[[#This Row],[Model Number]],1)="U",TRUE,"")</f>
        <v/>
      </c>
      <c r="I376" s="1" t="str">
        <f>IF(Master_Reference[[#This Row],[Lamp Type]]="T4","",IF(Master_Reference[[#This Row],[Case Type]]="M","",TRUE))</f>
        <v/>
      </c>
      <c r="J376" s="1" t="str">
        <f t="shared" si="6"/>
        <v>T5</v>
      </c>
      <c r="K376" s="1">
        <v>21</v>
      </c>
      <c r="L376" s="1" t="s">
        <v>115</v>
      </c>
      <c r="M376" s="1">
        <v>1</v>
      </c>
      <c r="N376" s="1" t="s">
        <v>149</v>
      </c>
      <c r="O376" s="1" t="s">
        <v>632</v>
      </c>
      <c r="R376" t="b">
        <f>IF(COUNTBLANK(Master_Reference[[#This Row],[C-Flex 3000K Eco Part Number]:[C-Flex 4000K Eco Part Number]])=3,FALSE,TRUE)</f>
        <v>1</v>
      </c>
      <c r="S376" t="b">
        <f>IF(COUNTBLANK(Master_Reference[[#This Row],[C-Flex 3000K 3W Part Number]:[C-Flex 4000K 3W Part Number]])=3,FALSE,TRUE)</f>
        <v>0</v>
      </c>
      <c r="T376" t="b">
        <f>IF(COUNTBLANK(Master_Reference[[#This Row],[Lutron 3000K Eco Part Number]:[Lutron 4000K Eco Part Number]])=3,FALSE,TRUE)</f>
        <v>1</v>
      </c>
      <c r="U376" t="b">
        <f>IF(COUNTBLANK(Master_Reference[[#This Row],[Lutron 3000K 3W Part Number]:[Lutron 4000K 3W Part Number]])=3,FALSE,TRUE)</f>
        <v>0</v>
      </c>
      <c r="V376" s="12" t="s">
        <v>337</v>
      </c>
      <c r="W376" s="12" t="s">
        <v>338</v>
      </c>
      <c r="X376" s="12" t="s">
        <v>339</v>
      </c>
      <c r="Y376" t="s">
        <v>1717</v>
      </c>
      <c r="Z376" s="12"/>
      <c r="AA376" s="12"/>
      <c r="AB376" s="12"/>
      <c r="AC376" t="s">
        <v>2125</v>
      </c>
      <c r="AD376" t="str">
        <f>SUBSTITUTE(Master_Reference[[#This Row],[C-Flex 4000K Eco Part Number]],"40-","xx-")</f>
        <v>RP-T5-3FT-1L-8xx-E1-M-G2</v>
      </c>
      <c r="AE376" t="str">
        <f>SUBSTITUTE(Master_Reference[[#This Row],[C-Flex 4000K 3W Part Number]],"40-","xx-")</f>
        <v/>
      </c>
      <c r="AF376" s="1" t="str">
        <f>_xlfn.IFNA(VLOOKUP(Master_Reference[[#This Row],[C-Flex 3000K Eco Part Number]],Lutron_CFlex_Lookup[],MATCH("Lutron Kit PN",Lutron_CFlex_Lookup[#Headers],0),FALSE),"")</f>
        <v>ELD3T5-1M30-q</v>
      </c>
      <c r="AG376" s="1" t="str">
        <f>_xlfn.IFNA(VLOOKUP(Master_Reference[[#This Row],[C-Flex 3500K Eco Part Number]],Lutron_CFlex_Lookup[],MATCH("Lutron Kit PN",Lutron_CFlex_Lookup[#Headers],0),FALSE),"")</f>
        <v>ELD3T5-1M35-q</v>
      </c>
      <c r="AH376" s="1" t="str">
        <f>_xlfn.IFNA(VLOOKUP(Master_Reference[[#This Row],[C-Flex 4000K Eco Part Number]],Lutron_CFlex_Lookup[],MATCH("Lutron Kit PN",Lutron_CFlex_Lookup[#Headers],0),FALSE),"")</f>
        <v>ELD3T5-1M40-q</v>
      </c>
      <c r="AI376" s="1" t="str">
        <f>_xlfn.IFNA(VLOOKUP(Master_Reference[[#This Row],[C-Flex 5000K Eco Part Number]],Lutron_CFlex_Lookup[],MATCH("Lutron Kit PN",Lutron_CFlex_Lookup[#Headers],0),FALSE),"")</f>
        <v>ELD3T5-1M50-q</v>
      </c>
      <c r="AJ376" s="1" t="str">
        <f>_xlfn.IFNA(VLOOKUP(Master_Reference[[#This Row],[C-Flex 3000K 3W Part Number]],Lutron_CFlex_Lookup[],MATCH("Lutron Kit PN",Lutron_CFlex_Lookup[#Headers],0),FALSE),"")</f>
        <v/>
      </c>
      <c r="AK376" s="1" t="str">
        <f>_xlfn.IFNA(VLOOKUP(Master_Reference[[#This Row],[C-Flex 3500K 3W Part Number]],Lutron_CFlex_Lookup[],MATCH("Lutron Kit PN",Lutron_CFlex_Lookup[#Headers],0),FALSE),"")</f>
        <v/>
      </c>
      <c r="AL376" s="1" t="str">
        <f>_xlfn.IFNA(VLOOKUP(Master_Reference[[#This Row],[C-Flex 4000K 3W Part Number]],Lutron_CFlex_Lookup[],MATCH("Lutron Kit PN",Lutron_CFlex_Lookup[#Headers],0),FALSE),"")</f>
        <v/>
      </c>
      <c r="AM376" s="1" t="str">
        <f>_xlfn.IFNA(VLOOKUP(Master_Reference[[#This Row],[C-Flex 5000K 3W Part Number]],Lutron_CFlex_Lookup[],MATCH("Lutron Kit PN",Lutron_CFlex_Lookup[#Headers],0),FALSE),"")</f>
        <v/>
      </c>
      <c r="AN376" s="1" t="b">
        <f>NOT(ISNA(VLOOKUP(Master_Reference[[#This Row],[Model Number]],ObsoleteModels[],1,FALSE)))</f>
        <v>1</v>
      </c>
      <c r="AO376" s="1" t="str">
        <f>IF(LEFT(Master_Reference[[#This Row],[Model Number]],1)="U",LEFT(Master_Reference[[#This Row],[Model Number]],4),LEFT(Master_Reference[[#This Row],[Model Number]],3))</f>
        <v>EHD</v>
      </c>
    </row>
    <row r="377" spans="1:41" x14ac:dyDescent="0.25">
      <c r="A377" s="2" t="s">
        <v>658</v>
      </c>
      <c r="B377" s="1" t="b">
        <v>1</v>
      </c>
      <c r="G377" s="1" t="str">
        <f>IF(OR(LEFT(RIGHT(Master_Reference[[#This Row],[Model Number]],3),1)="C",LEFT(RIGHT(Master_Reference[[#This Row],[Model Number]],4),1)="C"),TRUE,"")</f>
        <v/>
      </c>
      <c r="H377" s="1" t="str">
        <f>IF(LEFT(Master_Reference[[#This Row],[Model Number]],1)="U",TRUE,"")</f>
        <v/>
      </c>
      <c r="I377" s="1" t="str">
        <f>IF(Master_Reference[[#This Row],[Lamp Type]]="T4","",IF(Master_Reference[[#This Row],[Case Type]]="M","",TRUE))</f>
        <v/>
      </c>
      <c r="J377" s="1" t="str">
        <f t="shared" si="6"/>
        <v>T5</v>
      </c>
      <c r="K377" s="1">
        <v>21</v>
      </c>
      <c r="L377" s="1" t="s">
        <v>115</v>
      </c>
      <c r="M377" s="1">
        <v>1</v>
      </c>
      <c r="N377" s="1" t="s">
        <v>149</v>
      </c>
      <c r="O377" s="1" t="s">
        <v>632</v>
      </c>
      <c r="Q377" s="1" t="s">
        <v>91</v>
      </c>
      <c r="R377" t="b">
        <f>IF(COUNTBLANK(Master_Reference[[#This Row],[C-Flex 3000K Eco Part Number]:[C-Flex 4000K Eco Part Number]])=3,FALSE,TRUE)</f>
        <v>0</v>
      </c>
      <c r="S377" t="b">
        <f>IF(COUNTBLANK(Master_Reference[[#This Row],[C-Flex 3000K 3W Part Number]:[C-Flex 4000K 3W Part Number]])=3,FALSE,TRUE)</f>
        <v>0</v>
      </c>
      <c r="T377" t="b">
        <f>IF(COUNTBLANK(Master_Reference[[#This Row],[Lutron 3000K Eco Part Number]:[Lutron 4000K Eco Part Number]])=3,FALSE,TRUE)</f>
        <v>0</v>
      </c>
      <c r="U377" t="b">
        <f>IF(COUNTBLANK(Master_Reference[[#This Row],[Lutron 3000K 3W Part Number]:[Lutron 4000K 3W Part Number]])=3,FALSE,TRUE)</f>
        <v>0</v>
      </c>
      <c r="V377" s="12"/>
      <c r="W377" s="12"/>
      <c r="X377" s="12"/>
      <c r="Y377" t="s">
        <v>2125</v>
      </c>
      <c r="Z377" s="12"/>
      <c r="AA377" s="12"/>
      <c r="AB377" s="12"/>
      <c r="AC377" t="s">
        <v>2125</v>
      </c>
      <c r="AD377" t="str">
        <f>SUBSTITUTE(Master_Reference[[#This Row],[C-Flex 4000K Eco Part Number]],"40-","xx-")</f>
        <v/>
      </c>
      <c r="AE377" t="str">
        <f>SUBSTITUTE(Master_Reference[[#This Row],[C-Flex 4000K 3W Part Number]],"40-","xx-")</f>
        <v/>
      </c>
      <c r="AF377" s="1" t="str">
        <f>_xlfn.IFNA(VLOOKUP(Master_Reference[[#This Row],[C-Flex 3000K Eco Part Number]],Lutron_CFlex_Lookup[],MATCH("Lutron Kit PN",Lutron_CFlex_Lookup[#Headers],0),FALSE),"")</f>
        <v/>
      </c>
      <c r="AG377" s="1" t="str">
        <f>_xlfn.IFNA(VLOOKUP(Master_Reference[[#This Row],[C-Flex 3500K Eco Part Number]],Lutron_CFlex_Lookup[],MATCH("Lutron Kit PN",Lutron_CFlex_Lookup[#Headers],0),FALSE),"")</f>
        <v/>
      </c>
      <c r="AH377" s="1" t="str">
        <f>_xlfn.IFNA(VLOOKUP(Master_Reference[[#This Row],[C-Flex 4000K Eco Part Number]],Lutron_CFlex_Lookup[],MATCH("Lutron Kit PN",Lutron_CFlex_Lookup[#Headers],0),FALSE),"")</f>
        <v/>
      </c>
      <c r="AI377" s="1" t="str">
        <f>_xlfn.IFNA(VLOOKUP(Master_Reference[[#This Row],[C-Flex 5000K Eco Part Number]],Lutron_CFlex_Lookup[],MATCH("Lutron Kit PN",Lutron_CFlex_Lookup[#Headers],0),FALSE),"")</f>
        <v/>
      </c>
      <c r="AJ377" s="1" t="str">
        <f>_xlfn.IFNA(VLOOKUP(Master_Reference[[#This Row],[C-Flex 3000K 3W Part Number]],Lutron_CFlex_Lookup[],MATCH("Lutron Kit PN",Lutron_CFlex_Lookup[#Headers],0),FALSE),"")</f>
        <v/>
      </c>
      <c r="AK377" s="1" t="str">
        <f>_xlfn.IFNA(VLOOKUP(Master_Reference[[#This Row],[C-Flex 3500K 3W Part Number]],Lutron_CFlex_Lookup[],MATCH("Lutron Kit PN",Lutron_CFlex_Lookup[#Headers],0),FALSE),"")</f>
        <v/>
      </c>
      <c r="AL377" s="1" t="str">
        <f>_xlfn.IFNA(VLOOKUP(Master_Reference[[#This Row],[C-Flex 4000K 3W Part Number]],Lutron_CFlex_Lookup[],MATCH("Lutron Kit PN",Lutron_CFlex_Lookup[#Headers],0),FALSE),"")</f>
        <v/>
      </c>
      <c r="AM377" s="1" t="str">
        <f>_xlfn.IFNA(VLOOKUP(Master_Reference[[#This Row],[C-Flex 5000K 3W Part Number]],Lutron_CFlex_Lookup[],MATCH("Lutron Kit PN",Lutron_CFlex_Lookup[#Headers],0),FALSE),"")</f>
        <v/>
      </c>
      <c r="AN377" s="1" t="b">
        <f>NOT(ISNA(VLOOKUP(Master_Reference[[#This Row],[Model Number]],ObsoleteModels[],1,FALSE)))</f>
        <v>1</v>
      </c>
      <c r="AO377" s="1" t="str">
        <f>IF(LEFT(Master_Reference[[#This Row],[Model Number]],1)="U",LEFT(Master_Reference[[#This Row],[Model Number]],4),LEFT(Master_Reference[[#This Row],[Model Number]],3))</f>
        <v>EHD</v>
      </c>
    </row>
    <row r="378" spans="1:41" x14ac:dyDescent="0.25">
      <c r="A378" s="2" t="s">
        <v>659</v>
      </c>
      <c r="B378" s="1" t="b">
        <v>1</v>
      </c>
      <c r="G378" s="1" t="b">
        <f>IF(OR(LEFT(RIGHT(Master_Reference[[#This Row],[Model Number]],3),1)="C",LEFT(RIGHT(Master_Reference[[#This Row],[Model Number]],4),1)="C"),TRUE,"")</f>
        <v>1</v>
      </c>
      <c r="H378" s="1" t="str">
        <f>IF(LEFT(Master_Reference[[#This Row],[Model Number]],1)="U",TRUE,"")</f>
        <v/>
      </c>
      <c r="I378" s="1" t="str">
        <f>IF(Master_Reference[[#This Row],[Lamp Type]]="T4","",IF(Master_Reference[[#This Row],[Case Type]]="M","",TRUE))</f>
        <v/>
      </c>
      <c r="J378" s="1" t="str">
        <f t="shared" si="6"/>
        <v>T5</v>
      </c>
      <c r="K378" s="1">
        <v>21</v>
      </c>
      <c r="L378" s="1" t="s">
        <v>115</v>
      </c>
      <c r="M378" s="1">
        <v>1</v>
      </c>
      <c r="N378" s="1" t="s">
        <v>149</v>
      </c>
      <c r="O378" s="1" t="s">
        <v>632</v>
      </c>
      <c r="R378" t="b">
        <f>IF(COUNTBLANK(Master_Reference[[#This Row],[C-Flex 3000K Eco Part Number]:[C-Flex 4000K Eco Part Number]])=3,FALSE,TRUE)</f>
        <v>1</v>
      </c>
      <c r="S378" t="b">
        <f>IF(COUNTBLANK(Master_Reference[[#This Row],[C-Flex 3000K 3W Part Number]:[C-Flex 4000K 3W Part Number]])=3,FALSE,TRUE)</f>
        <v>0</v>
      </c>
      <c r="T378" t="b">
        <f>IF(COUNTBLANK(Master_Reference[[#This Row],[Lutron 3000K Eco Part Number]:[Lutron 4000K Eco Part Number]])=3,FALSE,TRUE)</f>
        <v>1</v>
      </c>
      <c r="U378" t="b">
        <f>IF(COUNTBLANK(Master_Reference[[#This Row],[Lutron 3000K 3W Part Number]:[Lutron 4000K 3W Part Number]])=3,FALSE,TRUE)</f>
        <v>0</v>
      </c>
      <c r="V378" s="12" t="s">
        <v>337</v>
      </c>
      <c r="W378" s="12" t="s">
        <v>338</v>
      </c>
      <c r="X378" s="12" t="s">
        <v>339</v>
      </c>
      <c r="Y378" t="s">
        <v>1717</v>
      </c>
      <c r="Z378" s="12"/>
      <c r="AA378" s="12"/>
      <c r="AB378" s="12"/>
      <c r="AC378" t="s">
        <v>2125</v>
      </c>
      <c r="AD378" t="str">
        <f>SUBSTITUTE(Master_Reference[[#This Row],[C-Flex 4000K Eco Part Number]],"40-","xx-")</f>
        <v>RP-T5-3FT-1L-8xx-E1-M-G2</v>
      </c>
      <c r="AE378" t="str">
        <f>SUBSTITUTE(Master_Reference[[#This Row],[C-Flex 4000K 3W Part Number]],"40-","xx-")</f>
        <v/>
      </c>
      <c r="AF378" s="1" t="str">
        <f>_xlfn.IFNA(VLOOKUP(Master_Reference[[#This Row],[C-Flex 3000K Eco Part Number]],Lutron_CFlex_Lookup[],MATCH("Lutron Kit PN",Lutron_CFlex_Lookup[#Headers],0),FALSE),"")</f>
        <v>ELD3T5-1M30-q</v>
      </c>
      <c r="AG378" s="1" t="str">
        <f>_xlfn.IFNA(VLOOKUP(Master_Reference[[#This Row],[C-Flex 3500K Eco Part Number]],Lutron_CFlex_Lookup[],MATCH("Lutron Kit PN",Lutron_CFlex_Lookup[#Headers],0),FALSE),"")</f>
        <v>ELD3T5-1M35-q</v>
      </c>
      <c r="AH378" s="1" t="str">
        <f>_xlfn.IFNA(VLOOKUP(Master_Reference[[#This Row],[C-Flex 4000K Eco Part Number]],Lutron_CFlex_Lookup[],MATCH("Lutron Kit PN",Lutron_CFlex_Lookup[#Headers],0),FALSE),"")</f>
        <v>ELD3T5-1M40-q</v>
      </c>
      <c r="AI378" s="1" t="str">
        <f>_xlfn.IFNA(VLOOKUP(Master_Reference[[#This Row],[C-Flex 5000K Eco Part Number]],Lutron_CFlex_Lookup[],MATCH("Lutron Kit PN",Lutron_CFlex_Lookup[#Headers],0),FALSE),"")</f>
        <v>ELD3T5-1M50-q</v>
      </c>
      <c r="AJ378" s="1" t="str">
        <f>_xlfn.IFNA(VLOOKUP(Master_Reference[[#This Row],[C-Flex 3000K 3W Part Number]],Lutron_CFlex_Lookup[],MATCH("Lutron Kit PN",Lutron_CFlex_Lookup[#Headers],0),FALSE),"")</f>
        <v/>
      </c>
      <c r="AK378" s="1" t="str">
        <f>_xlfn.IFNA(VLOOKUP(Master_Reference[[#This Row],[C-Flex 3500K 3W Part Number]],Lutron_CFlex_Lookup[],MATCH("Lutron Kit PN",Lutron_CFlex_Lookup[#Headers],0),FALSE),"")</f>
        <v/>
      </c>
      <c r="AL378" s="1" t="str">
        <f>_xlfn.IFNA(VLOOKUP(Master_Reference[[#This Row],[C-Flex 4000K 3W Part Number]],Lutron_CFlex_Lookup[],MATCH("Lutron Kit PN",Lutron_CFlex_Lookup[#Headers],0),FALSE),"")</f>
        <v/>
      </c>
      <c r="AM378" s="1" t="str">
        <f>_xlfn.IFNA(VLOOKUP(Master_Reference[[#This Row],[C-Flex 5000K 3W Part Number]],Lutron_CFlex_Lookup[],MATCH("Lutron Kit PN",Lutron_CFlex_Lookup[#Headers],0),FALSE),"")</f>
        <v/>
      </c>
      <c r="AN378" s="1" t="b">
        <f>NOT(ISNA(VLOOKUP(Master_Reference[[#This Row],[Model Number]],ObsoleteModels[],1,FALSE)))</f>
        <v>1</v>
      </c>
      <c r="AO378" s="1" t="str">
        <f>IF(LEFT(Master_Reference[[#This Row],[Model Number]],1)="U",LEFT(Master_Reference[[#This Row],[Model Number]],4),LEFT(Master_Reference[[#This Row],[Model Number]],3))</f>
        <v>EHD</v>
      </c>
    </row>
    <row r="379" spans="1:41" x14ac:dyDescent="0.25">
      <c r="A379" s="2" t="s">
        <v>660</v>
      </c>
      <c r="B379" s="1" t="b">
        <v>1</v>
      </c>
      <c r="G379" s="1" t="b">
        <f>IF(OR(LEFT(RIGHT(Master_Reference[[#This Row],[Model Number]],3),1)="C",LEFT(RIGHT(Master_Reference[[#This Row],[Model Number]],4),1)="C"),TRUE,"")</f>
        <v>1</v>
      </c>
      <c r="H379" s="1" t="str">
        <f>IF(LEFT(Master_Reference[[#This Row],[Model Number]],1)="U",TRUE,"")</f>
        <v/>
      </c>
      <c r="I379" s="1" t="str">
        <f>IF(Master_Reference[[#This Row],[Lamp Type]]="T4","",IF(Master_Reference[[#This Row],[Case Type]]="M","",TRUE))</f>
        <v/>
      </c>
      <c r="J379" s="1" t="str">
        <f t="shared" si="6"/>
        <v>T5</v>
      </c>
      <c r="K379" s="1">
        <v>21</v>
      </c>
      <c r="L379" s="1" t="s">
        <v>115</v>
      </c>
      <c r="M379" s="1">
        <v>1</v>
      </c>
      <c r="N379" s="1" t="s">
        <v>149</v>
      </c>
      <c r="O379" s="1" t="s">
        <v>632</v>
      </c>
      <c r="R379" t="b">
        <f>IF(COUNTBLANK(Master_Reference[[#This Row],[C-Flex 3000K Eco Part Number]:[C-Flex 4000K Eco Part Number]])=3,FALSE,TRUE)</f>
        <v>1</v>
      </c>
      <c r="S379" t="b">
        <f>IF(COUNTBLANK(Master_Reference[[#This Row],[C-Flex 3000K 3W Part Number]:[C-Flex 4000K 3W Part Number]])=3,FALSE,TRUE)</f>
        <v>0</v>
      </c>
      <c r="T379" t="b">
        <f>IF(COUNTBLANK(Master_Reference[[#This Row],[Lutron 3000K Eco Part Number]:[Lutron 4000K Eco Part Number]])=3,FALSE,TRUE)</f>
        <v>1</v>
      </c>
      <c r="U379" t="b">
        <f>IF(COUNTBLANK(Master_Reference[[#This Row],[Lutron 3000K 3W Part Number]:[Lutron 4000K 3W Part Number]])=3,FALSE,TRUE)</f>
        <v>0</v>
      </c>
      <c r="V379" s="12" t="s">
        <v>337</v>
      </c>
      <c r="W379" s="12" t="s">
        <v>338</v>
      </c>
      <c r="X379" s="12" t="s">
        <v>339</v>
      </c>
      <c r="Y379" t="s">
        <v>1717</v>
      </c>
      <c r="Z379" s="12"/>
      <c r="AA379" s="12"/>
      <c r="AB379" s="12"/>
      <c r="AC379" t="s">
        <v>2125</v>
      </c>
      <c r="AD379" t="str">
        <f>SUBSTITUTE(Master_Reference[[#This Row],[C-Flex 4000K Eco Part Number]],"40-","xx-")</f>
        <v>RP-T5-3FT-1L-8xx-E1-M-G2</v>
      </c>
      <c r="AE379" t="str">
        <f>SUBSTITUTE(Master_Reference[[#This Row],[C-Flex 4000K 3W Part Number]],"40-","xx-")</f>
        <v/>
      </c>
      <c r="AF379" s="1" t="str">
        <f>_xlfn.IFNA(VLOOKUP(Master_Reference[[#This Row],[C-Flex 3000K Eco Part Number]],Lutron_CFlex_Lookup[],MATCH("Lutron Kit PN",Lutron_CFlex_Lookup[#Headers],0),FALSE),"")</f>
        <v>ELD3T5-1M30-q</v>
      </c>
      <c r="AG379" s="1" t="str">
        <f>_xlfn.IFNA(VLOOKUP(Master_Reference[[#This Row],[C-Flex 3500K Eco Part Number]],Lutron_CFlex_Lookup[],MATCH("Lutron Kit PN",Lutron_CFlex_Lookup[#Headers],0),FALSE),"")</f>
        <v>ELD3T5-1M35-q</v>
      </c>
      <c r="AH379" s="1" t="str">
        <f>_xlfn.IFNA(VLOOKUP(Master_Reference[[#This Row],[C-Flex 4000K Eco Part Number]],Lutron_CFlex_Lookup[],MATCH("Lutron Kit PN",Lutron_CFlex_Lookup[#Headers],0),FALSE),"")</f>
        <v>ELD3T5-1M40-q</v>
      </c>
      <c r="AI379" s="1" t="str">
        <f>_xlfn.IFNA(VLOOKUP(Master_Reference[[#This Row],[C-Flex 5000K Eco Part Number]],Lutron_CFlex_Lookup[],MATCH("Lutron Kit PN",Lutron_CFlex_Lookup[#Headers],0),FALSE),"")</f>
        <v>ELD3T5-1M50-q</v>
      </c>
      <c r="AJ379" s="1" t="str">
        <f>_xlfn.IFNA(VLOOKUP(Master_Reference[[#This Row],[C-Flex 3000K 3W Part Number]],Lutron_CFlex_Lookup[],MATCH("Lutron Kit PN",Lutron_CFlex_Lookup[#Headers],0),FALSE),"")</f>
        <v/>
      </c>
      <c r="AK379" s="1" t="str">
        <f>_xlfn.IFNA(VLOOKUP(Master_Reference[[#This Row],[C-Flex 3500K 3W Part Number]],Lutron_CFlex_Lookup[],MATCH("Lutron Kit PN",Lutron_CFlex_Lookup[#Headers],0),FALSE),"")</f>
        <v/>
      </c>
      <c r="AL379" s="1" t="str">
        <f>_xlfn.IFNA(VLOOKUP(Master_Reference[[#This Row],[C-Flex 4000K 3W Part Number]],Lutron_CFlex_Lookup[],MATCH("Lutron Kit PN",Lutron_CFlex_Lookup[#Headers],0),FALSE),"")</f>
        <v/>
      </c>
      <c r="AM379" s="1" t="str">
        <f>_xlfn.IFNA(VLOOKUP(Master_Reference[[#This Row],[C-Flex 5000K 3W Part Number]],Lutron_CFlex_Lookup[],MATCH("Lutron Kit PN",Lutron_CFlex_Lookup[#Headers],0),FALSE),"")</f>
        <v/>
      </c>
      <c r="AN379" s="1" t="b">
        <f>NOT(ISNA(VLOOKUP(Master_Reference[[#This Row],[Model Number]],ObsoleteModels[],1,FALSE)))</f>
        <v>1</v>
      </c>
      <c r="AO379" s="1" t="str">
        <f>IF(LEFT(Master_Reference[[#This Row],[Model Number]],1)="U",LEFT(Master_Reference[[#This Row],[Model Number]],4),LEFT(Master_Reference[[#This Row],[Model Number]],3))</f>
        <v>EHD</v>
      </c>
    </row>
    <row r="380" spans="1:41" x14ac:dyDescent="0.25">
      <c r="A380" s="2" t="s">
        <v>661</v>
      </c>
      <c r="B380" s="1" t="b">
        <v>1</v>
      </c>
      <c r="G380" s="1" t="b">
        <f>IF(OR(LEFT(RIGHT(Master_Reference[[#This Row],[Model Number]],3),1)="C",LEFT(RIGHT(Master_Reference[[#This Row],[Model Number]],4),1)="C"),TRUE,"")</f>
        <v>1</v>
      </c>
      <c r="H380" s="1" t="str">
        <f>IF(LEFT(Master_Reference[[#This Row],[Model Number]],1)="U",TRUE,"")</f>
        <v/>
      </c>
      <c r="I380" s="1" t="str">
        <f>IF(Master_Reference[[#This Row],[Lamp Type]]="T4","",IF(Master_Reference[[#This Row],[Case Type]]="M","",TRUE))</f>
        <v/>
      </c>
      <c r="J380" s="1" t="str">
        <f t="shared" si="6"/>
        <v>T5</v>
      </c>
      <c r="K380" s="1">
        <v>21</v>
      </c>
      <c r="L380" s="1" t="s">
        <v>115</v>
      </c>
      <c r="M380" s="1">
        <v>1</v>
      </c>
      <c r="N380" s="1" t="s">
        <v>149</v>
      </c>
      <c r="O380" s="1" t="s">
        <v>632</v>
      </c>
      <c r="R380" t="b">
        <f>IF(COUNTBLANK(Master_Reference[[#This Row],[C-Flex 3000K Eco Part Number]:[C-Flex 4000K Eco Part Number]])=3,FALSE,TRUE)</f>
        <v>1</v>
      </c>
      <c r="S380" t="b">
        <f>IF(COUNTBLANK(Master_Reference[[#This Row],[C-Flex 3000K 3W Part Number]:[C-Flex 4000K 3W Part Number]])=3,FALSE,TRUE)</f>
        <v>0</v>
      </c>
      <c r="T380" t="b">
        <f>IF(COUNTBLANK(Master_Reference[[#This Row],[Lutron 3000K Eco Part Number]:[Lutron 4000K Eco Part Number]])=3,FALSE,TRUE)</f>
        <v>1</v>
      </c>
      <c r="U380" t="b">
        <f>IF(COUNTBLANK(Master_Reference[[#This Row],[Lutron 3000K 3W Part Number]:[Lutron 4000K 3W Part Number]])=3,FALSE,TRUE)</f>
        <v>0</v>
      </c>
      <c r="V380" s="12" t="s">
        <v>337</v>
      </c>
      <c r="W380" s="12" t="s">
        <v>338</v>
      </c>
      <c r="X380" s="12" t="s">
        <v>339</v>
      </c>
      <c r="Y380" t="s">
        <v>1717</v>
      </c>
      <c r="Z380" s="12"/>
      <c r="AA380" s="12"/>
      <c r="AB380" s="12"/>
      <c r="AC380" t="s">
        <v>2125</v>
      </c>
      <c r="AD380" t="str">
        <f>SUBSTITUTE(Master_Reference[[#This Row],[C-Flex 4000K Eco Part Number]],"40-","xx-")</f>
        <v>RP-T5-3FT-1L-8xx-E1-M-G2</v>
      </c>
      <c r="AE380" t="str">
        <f>SUBSTITUTE(Master_Reference[[#This Row],[C-Flex 4000K 3W Part Number]],"40-","xx-")</f>
        <v/>
      </c>
      <c r="AF380" s="1" t="str">
        <f>_xlfn.IFNA(VLOOKUP(Master_Reference[[#This Row],[C-Flex 3000K Eco Part Number]],Lutron_CFlex_Lookup[],MATCH("Lutron Kit PN",Lutron_CFlex_Lookup[#Headers],0),FALSE),"")</f>
        <v>ELD3T5-1M30-q</v>
      </c>
      <c r="AG380" s="1" t="str">
        <f>_xlfn.IFNA(VLOOKUP(Master_Reference[[#This Row],[C-Flex 3500K Eco Part Number]],Lutron_CFlex_Lookup[],MATCH("Lutron Kit PN",Lutron_CFlex_Lookup[#Headers],0),FALSE),"")</f>
        <v>ELD3T5-1M35-q</v>
      </c>
      <c r="AH380" s="1" t="str">
        <f>_xlfn.IFNA(VLOOKUP(Master_Reference[[#This Row],[C-Flex 4000K Eco Part Number]],Lutron_CFlex_Lookup[],MATCH("Lutron Kit PN",Lutron_CFlex_Lookup[#Headers],0),FALSE),"")</f>
        <v>ELD3T5-1M40-q</v>
      </c>
      <c r="AI380" s="1" t="str">
        <f>_xlfn.IFNA(VLOOKUP(Master_Reference[[#This Row],[C-Flex 5000K Eco Part Number]],Lutron_CFlex_Lookup[],MATCH("Lutron Kit PN",Lutron_CFlex_Lookup[#Headers],0),FALSE),"")</f>
        <v>ELD3T5-1M50-q</v>
      </c>
      <c r="AJ380" s="1" t="str">
        <f>_xlfn.IFNA(VLOOKUP(Master_Reference[[#This Row],[C-Flex 3000K 3W Part Number]],Lutron_CFlex_Lookup[],MATCH("Lutron Kit PN",Lutron_CFlex_Lookup[#Headers],0),FALSE),"")</f>
        <v/>
      </c>
      <c r="AK380" s="1" t="str">
        <f>_xlfn.IFNA(VLOOKUP(Master_Reference[[#This Row],[C-Flex 3500K 3W Part Number]],Lutron_CFlex_Lookup[],MATCH("Lutron Kit PN",Lutron_CFlex_Lookup[#Headers],0),FALSE),"")</f>
        <v/>
      </c>
      <c r="AL380" s="1" t="str">
        <f>_xlfn.IFNA(VLOOKUP(Master_Reference[[#This Row],[C-Flex 4000K 3W Part Number]],Lutron_CFlex_Lookup[],MATCH("Lutron Kit PN",Lutron_CFlex_Lookup[#Headers],0),FALSE),"")</f>
        <v/>
      </c>
      <c r="AM380" s="1" t="str">
        <f>_xlfn.IFNA(VLOOKUP(Master_Reference[[#This Row],[C-Flex 5000K 3W Part Number]],Lutron_CFlex_Lookup[],MATCH("Lutron Kit PN",Lutron_CFlex_Lookup[#Headers],0),FALSE),"")</f>
        <v/>
      </c>
      <c r="AN380" s="1" t="b">
        <f>NOT(ISNA(VLOOKUP(Master_Reference[[#This Row],[Model Number]],ObsoleteModels[],1,FALSE)))</f>
        <v>1</v>
      </c>
      <c r="AO380" s="1" t="str">
        <f>IF(LEFT(Master_Reference[[#This Row],[Model Number]],1)="U",LEFT(Master_Reference[[#This Row],[Model Number]],4),LEFT(Master_Reference[[#This Row],[Model Number]],3))</f>
        <v>EHD</v>
      </c>
    </row>
    <row r="381" spans="1:41" x14ac:dyDescent="0.25">
      <c r="A381" s="2" t="s">
        <v>662</v>
      </c>
      <c r="B381" s="1" t="b">
        <v>1</v>
      </c>
      <c r="G381" s="1" t="b">
        <f>IF(OR(LEFT(RIGHT(Master_Reference[[#This Row],[Model Number]],3),1)="C",LEFT(RIGHT(Master_Reference[[#This Row],[Model Number]],4),1)="C"),TRUE,"")</f>
        <v>1</v>
      </c>
      <c r="H381" s="1" t="str">
        <f>IF(LEFT(Master_Reference[[#This Row],[Model Number]],1)="U",TRUE,"")</f>
        <v/>
      </c>
      <c r="I381" s="1" t="str">
        <f>IF(Master_Reference[[#This Row],[Lamp Type]]="T4","",IF(Master_Reference[[#This Row],[Case Type]]="M","",TRUE))</f>
        <v/>
      </c>
      <c r="J381" s="1" t="str">
        <f t="shared" si="6"/>
        <v>T5</v>
      </c>
      <c r="K381" s="1">
        <v>21</v>
      </c>
      <c r="L381" s="1" t="s">
        <v>115</v>
      </c>
      <c r="M381" s="1">
        <v>1</v>
      </c>
      <c r="N381" s="1" t="s">
        <v>149</v>
      </c>
      <c r="O381" s="1" t="s">
        <v>632</v>
      </c>
      <c r="R381" t="b">
        <f>IF(COUNTBLANK(Master_Reference[[#This Row],[C-Flex 3000K Eco Part Number]:[C-Flex 4000K Eco Part Number]])=3,FALSE,TRUE)</f>
        <v>1</v>
      </c>
      <c r="S381" t="b">
        <f>IF(COUNTBLANK(Master_Reference[[#This Row],[C-Flex 3000K 3W Part Number]:[C-Flex 4000K 3W Part Number]])=3,FALSE,TRUE)</f>
        <v>0</v>
      </c>
      <c r="T381" t="b">
        <f>IF(COUNTBLANK(Master_Reference[[#This Row],[Lutron 3000K Eco Part Number]:[Lutron 4000K Eco Part Number]])=3,FALSE,TRUE)</f>
        <v>1</v>
      </c>
      <c r="U381" t="b">
        <f>IF(COUNTBLANK(Master_Reference[[#This Row],[Lutron 3000K 3W Part Number]:[Lutron 4000K 3W Part Number]])=3,FALSE,TRUE)</f>
        <v>0</v>
      </c>
      <c r="V381" s="12" t="s">
        <v>337</v>
      </c>
      <c r="W381" s="12" t="s">
        <v>338</v>
      </c>
      <c r="X381" s="12" t="s">
        <v>339</v>
      </c>
      <c r="Y381" t="s">
        <v>1717</v>
      </c>
      <c r="Z381" s="12"/>
      <c r="AA381" s="12"/>
      <c r="AB381" s="12"/>
      <c r="AC381" t="s">
        <v>2125</v>
      </c>
      <c r="AD381" t="str">
        <f>SUBSTITUTE(Master_Reference[[#This Row],[C-Flex 4000K Eco Part Number]],"40-","xx-")</f>
        <v>RP-T5-3FT-1L-8xx-E1-M-G2</v>
      </c>
      <c r="AE381" t="str">
        <f>SUBSTITUTE(Master_Reference[[#This Row],[C-Flex 4000K 3W Part Number]],"40-","xx-")</f>
        <v/>
      </c>
      <c r="AF381" s="1" t="str">
        <f>_xlfn.IFNA(VLOOKUP(Master_Reference[[#This Row],[C-Flex 3000K Eco Part Number]],Lutron_CFlex_Lookup[],MATCH("Lutron Kit PN",Lutron_CFlex_Lookup[#Headers],0),FALSE),"")</f>
        <v>ELD3T5-1M30-q</v>
      </c>
      <c r="AG381" s="1" t="str">
        <f>_xlfn.IFNA(VLOOKUP(Master_Reference[[#This Row],[C-Flex 3500K Eco Part Number]],Lutron_CFlex_Lookup[],MATCH("Lutron Kit PN",Lutron_CFlex_Lookup[#Headers],0),FALSE),"")</f>
        <v>ELD3T5-1M35-q</v>
      </c>
      <c r="AH381" s="1" t="str">
        <f>_xlfn.IFNA(VLOOKUP(Master_Reference[[#This Row],[C-Flex 4000K Eco Part Number]],Lutron_CFlex_Lookup[],MATCH("Lutron Kit PN",Lutron_CFlex_Lookup[#Headers],0),FALSE),"")</f>
        <v>ELD3T5-1M40-q</v>
      </c>
      <c r="AI381" s="1" t="str">
        <f>_xlfn.IFNA(VLOOKUP(Master_Reference[[#This Row],[C-Flex 5000K Eco Part Number]],Lutron_CFlex_Lookup[],MATCH("Lutron Kit PN",Lutron_CFlex_Lookup[#Headers],0),FALSE),"")</f>
        <v>ELD3T5-1M50-q</v>
      </c>
      <c r="AJ381" s="1" t="str">
        <f>_xlfn.IFNA(VLOOKUP(Master_Reference[[#This Row],[C-Flex 3000K 3W Part Number]],Lutron_CFlex_Lookup[],MATCH("Lutron Kit PN",Lutron_CFlex_Lookup[#Headers],0),FALSE),"")</f>
        <v/>
      </c>
      <c r="AK381" s="1" t="str">
        <f>_xlfn.IFNA(VLOOKUP(Master_Reference[[#This Row],[C-Flex 3500K 3W Part Number]],Lutron_CFlex_Lookup[],MATCH("Lutron Kit PN",Lutron_CFlex_Lookup[#Headers],0),FALSE),"")</f>
        <v/>
      </c>
      <c r="AL381" s="1" t="str">
        <f>_xlfn.IFNA(VLOOKUP(Master_Reference[[#This Row],[C-Flex 4000K 3W Part Number]],Lutron_CFlex_Lookup[],MATCH("Lutron Kit PN",Lutron_CFlex_Lookup[#Headers],0),FALSE),"")</f>
        <v/>
      </c>
      <c r="AM381" s="1" t="str">
        <f>_xlfn.IFNA(VLOOKUP(Master_Reference[[#This Row],[C-Flex 5000K 3W Part Number]],Lutron_CFlex_Lookup[],MATCH("Lutron Kit PN",Lutron_CFlex_Lookup[#Headers],0),FALSE),"")</f>
        <v/>
      </c>
      <c r="AN381" s="1" t="b">
        <f>NOT(ISNA(VLOOKUP(Master_Reference[[#This Row],[Model Number]],ObsoleteModels[],1,FALSE)))</f>
        <v>1</v>
      </c>
      <c r="AO381" s="1" t="str">
        <f>IF(LEFT(Master_Reference[[#This Row],[Model Number]],1)="U",LEFT(Master_Reference[[#This Row],[Model Number]],4),LEFT(Master_Reference[[#This Row],[Model Number]],3))</f>
        <v>EHD</v>
      </c>
    </row>
    <row r="382" spans="1:41" x14ac:dyDescent="0.25">
      <c r="A382" s="2" t="s">
        <v>663</v>
      </c>
      <c r="B382" s="1" t="b">
        <v>1</v>
      </c>
      <c r="G382" s="1" t="str">
        <f>IF(OR(LEFT(RIGHT(Master_Reference[[#This Row],[Model Number]],3),1)="C",LEFT(RIGHT(Master_Reference[[#This Row],[Model Number]],4),1)="C"),TRUE,"")</f>
        <v/>
      </c>
      <c r="H382" s="1" t="str">
        <f>IF(LEFT(Master_Reference[[#This Row],[Model Number]],1)="U",TRUE,"")</f>
        <v/>
      </c>
      <c r="I382" s="1" t="str">
        <f>IF(Master_Reference[[#This Row],[Lamp Type]]="T4","",IF(Master_Reference[[#This Row],[Case Type]]="M","",TRUE))</f>
        <v/>
      </c>
      <c r="J382" s="1" t="str">
        <f t="shared" si="6"/>
        <v>T5</v>
      </c>
      <c r="K382" s="1">
        <v>21</v>
      </c>
      <c r="L382" s="1" t="s">
        <v>115</v>
      </c>
      <c r="M382" s="1">
        <v>2</v>
      </c>
      <c r="N382" s="1" t="s">
        <v>149</v>
      </c>
      <c r="O382" s="1" t="s">
        <v>632</v>
      </c>
      <c r="R382" t="b">
        <f>IF(COUNTBLANK(Master_Reference[[#This Row],[C-Flex 3000K Eco Part Number]:[C-Flex 4000K Eco Part Number]])=3,FALSE,TRUE)</f>
        <v>1</v>
      </c>
      <c r="S382" t="b">
        <f>IF(COUNTBLANK(Master_Reference[[#This Row],[C-Flex 3000K 3W Part Number]:[C-Flex 4000K 3W Part Number]])=3,FALSE,TRUE)</f>
        <v>0</v>
      </c>
      <c r="T382" t="b">
        <f>IF(COUNTBLANK(Master_Reference[[#This Row],[Lutron 3000K Eco Part Number]:[Lutron 4000K Eco Part Number]])=3,FALSE,TRUE)</f>
        <v>1</v>
      </c>
      <c r="U382" t="b">
        <f>IF(COUNTBLANK(Master_Reference[[#This Row],[Lutron 3000K 3W Part Number]:[Lutron 4000K 3W Part Number]])=3,FALSE,TRUE)</f>
        <v>0</v>
      </c>
      <c r="V382" s="12" t="s">
        <v>341</v>
      </c>
      <c r="W382" s="12" t="s">
        <v>342</v>
      </c>
      <c r="X382" s="12" t="s">
        <v>343</v>
      </c>
      <c r="Y382" t="s">
        <v>1718</v>
      </c>
      <c r="Z382" s="12"/>
      <c r="AA382" s="12"/>
      <c r="AB382" s="12"/>
      <c r="AC382" t="s">
        <v>2125</v>
      </c>
      <c r="AD382" t="str">
        <f>SUBSTITUTE(Master_Reference[[#This Row],[C-Flex 4000K Eco Part Number]],"40-","xx-")</f>
        <v>RP-T5-3FT-2L-8xx-E1-M-G2</v>
      </c>
      <c r="AE382" t="str">
        <f>SUBSTITUTE(Master_Reference[[#This Row],[C-Flex 4000K 3W Part Number]],"40-","xx-")</f>
        <v/>
      </c>
      <c r="AF382" s="1" t="str">
        <f>_xlfn.IFNA(VLOOKUP(Master_Reference[[#This Row],[C-Flex 3000K Eco Part Number]],Lutron_CFlex_Lookup[],MATCH("Lutron Kit PN",Lutron_CFlex_Lookup[#Headers],0),FALSE),"")</f>
        <v>ELD3T5-2M30-q</v>
      </c>
      <c r="AG382" s="1" t="str">
        <f>_xlfn.IFNA(VLOOKUP(Master_Reference[[#This Row],[C-Flex 3500K Eco Part Number]],Lutron_CFlex_Lookup[],MATCH("Lutron Kit PN",Lutron_CFlex_Lookup[#Headers],0),FALSE),"")</f>
        <v>ELD3T5-2M35-q</v>
      </c>
      <c r="AH382" s="1" t="str">
        <f>_xlfn.IFNA(VLOOKUP(Master_Reference[[#This Row],[C-Flex 4000K Eco Part Number]],Lutron_CFlex_Lookup[],MATCH("Lutron Kit PN",Lutron_CFlex_Lookup[#Headers],0),FALSE),"")</f>
        <v>ELD3T5-2M40-q</v>
      </c>
      <c r="AI382" s="1" t="str">
        <f>_xlfn.IFNA(VLOOKUP(Master_Reference[[#This Row],[C-Flex 5000K Eco Part Number]],Lutron_CFlex_Lookup[],MATCH("Lutron Kit PN",Lutron_CFlex_Lookup[#Headers],0),FALSE),"")</f>
        <v>ELD3T5-2M50-q</v>
      </c>
      <c r="AJ382" s="1" t="str">
        <f>_xlfn.IFNA(VLOOKUP(Master_Reference[[#This Row],[C-Flex 3000K 3W Part Number]],Lutron_CFlex_Lookup[],MATCH("Lutron Kit PN",Lutron_CFlex_Lookup[#Headers],0),FALSE),"")</f>
        <v/>
      </c>
      <c r="AK382" s="1" t="str">
        <f>_xlfn.IFNA(VLOOKUP(Master_Reference[[#This Row],[C-Flex 3500K 3W Part Number]],Lutron_CFlex_Lookup[],MATCH("Lutron Kit PN",Lutron_CFlex_Lookup[#Headers],0),FALSE),"")</f>
        <v/>
      </c>
      <c r="AL382" s="1" t="str">
        <f>_xlfn.IFNA(VLOOKUP(Master_Reference[[#This Row],[C-Flex 4000K 3W Part Number]],Lutron_CFlex_Lookup[],MATCH("Lutron Kit PN",Lutron_CFlex_Lookup[#Headers],0),FALSE),"")</f>
        <v/>
      </c>
      <c r="AM382" s="1" t="str">
        <f>_xlfn.IFNA(VLOOKUP(Master_Reference[[#This Row],[C-Flex 5000K 3W Part Number]],Lutron_CFlex_Lookup[],MATCH("Lutron Kit PN",Lutron_CFlex_Lookup[#Headers],0),FALSE),"")</f>
        <v/>
      </c>
      <c r="AN382" s="1" t="b">
        <f>NOT(ISNA(VLOOKUP(Master_Reference[[#This Row],[Model Number]],ObsoleteModels[],1,FALSE)))</f>
        <v>1</v>
      </c>
      <c r="AO382" s="1" t="str">
        <f>IF(LEFT(Master_Reference[[#This Row],[Model Number]],1)="U",LEFT(Master_Reference[[#This Row],[Model Number]],4),LEFT(Master_Reference[[#This Row],[Model Number]],3))</f>
        <v>EHD</v>
      </c>
    </row>
    <row r="383" spans="1:41" x14ac:dyDescent="0.25">
      <c r="A383" s="2" t="s">
        <v>664</v>
      </c>
      <c r="B383" s="1" t="b">
        <v>1</v>
      </c>
      <c r="G383" s="1" t="str">
        <f>IF(OR(LEFT(RIGHT(Master_Reference[[#This Row],[Model Number]],3),1)="C",LEFT(RIGHT(Master_Reference[[#This Row],[Model Number]],4),1)="C"),TRUE,"")</f>
        <v/>
      </c>
      <c r="H383" s="1" t="str">
        <f>IF(LEFT(Master_Reference[[#This Row],[Model Number]],1)="U",TRUE,"")</f>
        <v/>
      </c>
      <c r="I383" s="1" t="str">
        <f>IF(Master_Reference[[#This Row],[Lamp Type]]="T4","",IF(Master_Reference[[#This Row],[Case Type]]="M","",TRUE))</f>
        <v/>
      </c>
      <c r="J383" s="1" t="str">
        <f t="shared" si="6"/>
        <v>T5</v>
      </c>
      <c r="K383" s="1">
        <v>21</v>
      </c>
      <c r="L383" s="1" t="s">
        <v>115</v>
      </c>
      <c r="M383" s="1">
        <v>2</v>
      </c>
      <c r="N383" s="1" t="s">
        <v>149</v>
      </c>
      <c r="O383" s="1" t="s">
        <v>632</v>
      </c>
      <c r="Q383" s="1" t="s">
        <v>91</v>
      </c>
      <c r="R383" t="b">
        <f>IF(COUNTBLANK(Master_Reference[[#This Row],[C-Flex 3000K Eco Part Number]:[C-Flex 4000K Eco Part Number]])=3,FALSE,TRUE)</f>
        <v>0</v>
      </c>
      <c r="S383" t="b">
        <f>IF(COUNTBLANK(Master_Reference[[#This Row],[C-Flex 3000K 3W Part Number]:[C-Flex 4000K 3W Part Number]])=3,FALSE,TRUE)</f>
        <v>0</v>
      </c>
      <c r="T383" t="b">
        <f>IF(COUNTBLANK(Master_Reference[[#This Row],[Lutron 3000K Eco Part Number]:[Lutron 4000K Eco Part Number]])=3,FALSE,TRUE)</f>
        <v>0</v>
      </c>
      <c r="U383" t="b">
        <f>IF(COUNTBLANK(Master_Reference[[#This Row],[Lutron 3000K 3W Part Number]:[Lutron 4000K 3W Part Number]])=3,FALSE,TRUE)</f>
        <v>0</v>
      </c>
      <c r="V383" s="12"/>
      <c r="W383" s="12"/>
      <c r="X383" s="12"/>
      <c r="Y383" t="s">
        <v>2125</v>
      </c>
      <c r="Z383" s="12"/>
      <c r="AA383" s="12"/>
      <c r="AB383" s="12"/>
      <c r="AC383" t="s">
        <v>2125</v>
      </c>
      <c r="AD383" t="str">
        <f>SUBSTITUTE(Master_Reference[[#This Row],[C-Flex 4000K Eco Part Number]],"40-","xx-")</f>
        <v/>
      </c>
      <c r="AE383" t="str">
        <f>SUBSTITUTE(Master_Reference[[#This Row],[C-Flex 4000K 3W Part Number]],"40-","xx-")</f>
        <v/>
      </c>
      <c r="AF383" s="1" t="str">
        <f>_xlfn.IFNA(VLOOKUP(Master_Reference[[#This Row],[C-Flex 3000K Eco Part Number]],Lutron_CFlex_Lookup[],MATCH("Lutron Kit PN",Lutron_CFlex_Lookup[#Headers],0),FALSE),"")</f>
        <v/>
      </c>
      <c r="AG383" s="1" t="str">
        <f>_xlfn.IFNA(VLOOKUP(Master_Reference[[#This Row],[C-Flex 3500K Eco Part Number]],Lutron_CFlex_Lookup[],MATCH("Lutron Kit PN",Lutron_CFlex_Lookup[#Headers],0),FALSE),"")</f>
        <v/>
      </c>
      <c r="AH383" s="1" t="str">
        <f>_xlfn.IFNA(VLOOKUP(Master_Reference[[#This Row],[C-Flex 4000K Eco Part Number]],Lutron_CFlex_Lookup[],MATCH("Lutron Kit PN",Lutron_CFlex_Lookup[#Headers],0),FALSE),"")</f>
        <v/>
      </c>
      <c r="AI383" s="1" t="str">
        <f>_xlfn.IFNA(VLOOKUP(Master_Reference[[#This Row],[C-Flex 5000K Eco Part Number]],Lutron_CFlex_Lookup[],MATCH("Lutron Kit PN",Lutron_CFlex_Lookup[#Headers],0),FALSE),"")</f>
        <v/>
      </c>
      <c r="AJ383" s="1" t="str">
        <f>_xlfn.IFNA(VLOOKUP(Master_Reference[[#This Row],[C-Flex 3000K 3W Part Number]],Lutron_CFlex_Lookup[],MATCH("Lutron Kit PN",Lutron_CFlex_Lookup[#Headers],0),FALSE),"")</f>
        <v/>
      </c>
      <c r="AK383" s="1" t="str">
        <f>_xlfn.IFNA(VLOOKUP(Master_Reference[[#This Row],[C-Flex 3500K 3W Part Number]],Lutron_CFlex_Lookup[],MATCH("Lutron Kit PN",Lutron_CFlex_Lookup[#Headers],0),FALSE),"")</f>
        <v/>
      </c>
      <c r="AL383" s="1" t="str">
        <f>_xlfn.IFNA(VLOOKUP(Master_Reference[[#This Row],[C-Flex 4000K 3W Part Number]],Lutron_CFlex_Lookup[],MATCH("Lutron Kit PN",Lutron_CFlex_Lookup[#Headers],0),FALSE),"")</f>
        <v/>
      </c>
      <c r="AM383" s="1" t="str">
        <f>_xlfn.IFNA(VLOOKUP(Master_Reference[[#This Row],[C-Flex 5000K 3W Part Number]],Lutron_CFlex_Lookup[],MATCH("Lutron Kit PN",Lutron_CFlex_Lookup[#Headers],0),FALSE),"")</f>
        <v/>
      </c>
      <c r="AN383" s="1" t="b">
        <f>NOT(ISNA(VLOOKUP(Master_Reference[[#This Row],[Model Number]],ObsoleteModels[],1,FALSE)))</f>
        <v>1</v>
      </c>
      <c r="AO383" s="1" t="str">
        <f>IF(LEFT(Master_Reference[[#This Row],[Model Number]],1)="U",LEFT(Master_Reference[[#This Row],[Model Number]],4),LEFT(Master_Reference[[#This Row],[Model Number]],3))</f>
        <v>EHD</v>
      </c>
    </row>
    <row r="384" spans="1:41" x14ac:dyDescent="0.25">
      <c r="A384" s="2" t="s">
        <v>665</v>
      </c>
      <c r="B384" s="1" t="b">
        <v>1</v>
      </c>
      <c r="G384" s="1" t="b">
        <f>IF(OR(LEFT(RIGHT(Master_Reference[[#This Row],[Model Number]],3),1)="C",LEFT(RIGHT(Master_Reference[[#This Row],[Model Number]],4),1)="C"),TRUE,"")</f>
        <v>1</v>
      </c>
      <c r="H384" s="1" t="str">
        <f>IF(LEFT(Master_Reference[[#This Row],[Model Number]],1)="U",TRUE,"")</f>
        <v/>
      </c>
      <c r="I384" s="1" t="str">
        <f>IF(Master_Reference[[#This Row],[Lamp Type]]="T4","",IF(Master_Reference[[#This Row],[Case Type]]="M","",TRUE))</f>
        <v/>
      </c>
      <c r="J384" s="1" t="str">
        <f t="shared" si="6"/>
        <v>T5</v>
      </c>
      <c r="K384" s="1">
        <v>21</v>
      </c>
      <c r="L384" s="1" t="s">
        <v>115</v>
      </c>
      <c r="M384" s="1">
        <v>2</v>
      </c>
      <c r="N384" s="1" t="s">
        <v>149</v>
      </c>
      <c r="O384" s="1" t="s">
        <v>632</v>
      </c>
      <c r="R384" t="b">
        <f>IF(COUNTBLANK(Master_Reference[[#This Row],[C-Flex 3000K Eco Part Number]:[C-Flex 4000K Eco Part Number]])=3,FALSE,TRUE)</f>
        <v>1</v>
      </c>
      <c r="S384" t="b">
        <f>IF(COUNTBLANK(Master_Reference[[#This Row],[C-Flex 3000K 3W Part Number]:[C-Flex 4000K 3W Part Number]])=3,FALSE,TRUE)</f>
        <v>0</v>
      </c>
      <c r="T384" t="b">
        <f>IF(COUNTBLANK(Master_Reference[[#This Row],[Lutron 3000K Eco Part Number]:[Lutron 4000K Eco Part Number]])=3,FALSE,TRUE)</f>
        <v>1</v>
      </c>
      <c r="U384" t="b">
        <f>IF(COUNTBLANK(Master_Reference[[#This Row],[Lutron 3000K 3W Part Number]:[Lutron 4000K 3W Part Number]])=3,FALSE,TRUE)</f>
        <v>0</v>
      </c>
      <c r="V384" s="12" t="s">
        <v>341</v>
      </c>
      <c r="W384" s="12" t="s">
        <v>342</v>
      </c>
      <c r="X384" s="12" t="s">
        <v>343</v>
      </c>
      <c r="Y384" t="s">
        <v>1718</v>
      </c>
      <c r="Z384" s="12"/>
      <c r="AA384" s="12"/>
      <c r="AB384" s="12"/>
      <c r="AC384" t="s">
        <v>2125</v>
      </c>
      <c r="AD384" t="str">
        <f>SUBSTITUTE(Master_Reference[[#This Row],[C-Flex 4000K Eco Part Number]],"40-","xx-")</f>
        <v>RP-T5-3FT-2L-8xx-E1-M-G2</v>
      </c>
      <c r="AE384" t="str">
        <f>SUBSTITUTE(Master_Reference[[#This Row],[C-Flex 4000K 3W Part Number]],"40-","xx-")</f>
        <v/>
      </c>
      <c r="AF384" s="1" t="str">
        <f>_xlfn.IFNA(VLOOKUP(Master_Reference[[#This Row],[C-Flex 3000K Eco Part Number]],Lutron_CFlex_Lookup[],MATCH("Lutron Kit PN",Lutron_CFlex_Lookup[#Headers],0),FALSE),"")</f>
        <v>ELD3T5-2M30-q</v>
      </c>
      <c r="AG384" s="1" t="str">
        <f>_xlfn.IFNA(VLOOKUP(Master_Reference[[#This Row],[C-Flex 3500K Eco Part Number]],Lutron_CFlex_Lookup[],MATCH("Lutron Kit PN",Lutron_CFlex_Lookup[#Headers],0),FALSE),"")</f>
        <v>ELD3T5-2M35-q</v>
      </c>
      <c r="AH384" s="1" t="str">
        <f>_xlfn.IFNA(VLOOKUP(Master_Reference[[#This Row],[C-Flex 4000K Eco Part Number]],Lutron_CFlex_Lookup[],MATCH("Lutron Kit PN",Lutron_CFlex_Lookup[#Headers],0),FALSE),"")</f>
        <v>ELD3T5-2M40-q</v>
      </c>
      <c r="AI384" s="1" t="str">
        <f>_xlfn.IFNA(VLOOKUP(Master_Reference[[#This Row],[C-Flex 5000K Eco Part Number]],Lutron_CFlex_Lookup[],MATCH("Lutron Kit PN",Lutron_CFlex_Lookup[#Headers],0),FALSE),"")</f>
        <v>ELD3T5-2M50-q</v>
      </c>
      <c r="AJ384" s="1" t="str">
        <f>_xlfn.IFNA(VLOOKUP(Master_Reference[[#This Row],[C-Flex 3000K 3W Part Number]],Lutron_CFlex_Lookup[],MATCH("Lutron Kit PN",Lutron_CFlex_Lookup[#Headers],0),FALSE),"")</f>
        <v/>
      </c>
      <c r="AK384" s="1" t="str">
        <f>_xlfn.IFNA(VLOOKUP(Master_Reference[[#This Row],[C-Flex 3500K 3W Part Number]],Lutron_CFlex_Lookup[],MATCH("Lutron Kit PN",Lutron_CFlex_Lookup[#Headers],0),FALSE),"")</f>
        <v/>
      </c>
      <c r="AL384" s="1" t="str">
        <f>_xlfn.IFNA(VLOOKUP(Master_Reference[[#This Row],[C-Flex 4000K 3W Part Number]],Lutron_CFlex_Lookup[],MATCH("Lutron Kit PN",Lutron_CFlex_Lookup[#Headers],0),FALSE),"")</f>
        <v/>
      </c>
      <c r="AM384" s="1" t="str">
        <f>_xlfn.IFNA(VLOOKUP(Master_Reference[[#This Row],[C-Flex 5000K 3W Part Number]],Lutron_CFlex_Lookup[],MATCH("Lutron Kit PN",Lutron_CFlex_Lookup[#Headers],0),FALSE),"")</f>
        <v/>
      </c>
      <c r="AN384" s="1" t="b">
        <f>NOT(ISNA(VLOOKUP(Master_Reference[[#This Row],[Model Number]],ObsoleteModels[],1,FALSE)))</f>
        <v>1</v>
      </c>
      <c r="AO384" s="1" t="str">
        <f>IF(LEFT(Master_Reference[[#This Row],[Model Number]],1)="U",LEFT(Master_Reference[[#This Row],[Model Number]],4),LEFT(Master_Reference[[#This Row],[Model Number]],3))</f>
        <v>EHD</v>
      </c>
    </row>
    <row r="385" spans="1:41" x14ac:dyDescent="0.25">
      <c r="A385" s="2" t="s">
        <v>666</v>
      </c>
      <c r="B385" s="1" t="b">
        <v>1</v>
      </c>
      <c r="G385" s="1" t="b">
        <f>IF(OR(LEFT(RIGHT(Master_Reference[[#This Row],[Model Number]],3),1)="C",LEFT(RIGHT(Master_Reference[[#This Row],[Model Number]],4),1)="C"),TRUE,"")</f>
        <v>1</v>
      </c>
      <c r="H385" s="1" t="str">
        <f>IF(LEFT(Master_Reference[[#This Row],[Model Number]],1)="U",TRUE,"")</f>
        <v/>
      </c>
      <c r="I385" s="1" t="str">
        <f>IF(Master_Reference[[#This Row],[Lamp Type]]="T4","",IF(Master_Reference[[#This Row],[Case Type]]="M","",TRUE))</f>
        <v/>
      </c>
      <c r="J385" s="1" t="str">
        <f t="shared" si="6"/>
        <v>T5</v>
      </c>
      <c r="K385" s="1">
        <v>21</v>
      </c>
      <c r="L385" s="1" t="s">
        <v>115</v>
      </c>
      <c r="M385" s="1">
        <v>2</v>
      </c>
      <c r="N385" s="1" t="s">
        <v>149</v>
      </c>
      <c r="O385" s="1" t="s">
        <v>632</v>
      </c>
      <c r="R385" t="b">
        <f>IF(COUNTBLANK(Master_Reference[[#This Row],[C-Flex 3000K Eco Part Number]:[C-Flex 4000K Eco Part Number]])=3,FALSE,TRUE)</f>
        <v>1</v>
      </c>
      <c r="S385" t="b">
        <f>IF(COUNTBLANK(Master_Reference[[#This Row],[C-Flex 3000K 3W Part Number]:[C-Flex 4000K 3W Part Number]])=3,FALSE,TRUE)</f>
        <v>0</v>
      </c>
      <c r="T385" t="b">
        <f>IF(COUNTBLANK(Master_Reference[[#This Row],[Lutron 3000K Eco Part Number]:[Lutron 4000K Eco Part Number]])=3,FALSE,TRUE)</f>
        <v>1</v>
      </c>
      <c r="U385" t="b">
        <f>IF(COUNTBLANK(Master_Reference[[#This Row],[Lutron 3000K 3W Part Number]:[Lutron 4000K 3W Part Number]])=3,FALSE,TRUE)</f>
        <v>0</v>
      </c>
      <c r="V385" s="12" t="s">
        <v>341</v>
      </c>
      <c r="W385" s="12" t="s">
        <v>342</v>
      </c>
      <c r="X385" s="12" t="s">
        <v>343</v>
      </c>
      <c r="Y385" t="s">
        <v>1718</v>
      </c>
      <c r="Z385" s="12"/>
      <c r="AA385" s="12"/>
      <c r="AB385" s="12"/>
      <c r="AC385" t="s">
        <v>2125</v>
      </c>
      <c r="AD385" t="str">
        <f>SUBSTITUTE(Master_Reference[[#This Row],[C-Flex 4000K Eco Part Number]],"40-","xx-")</f>
        <v>RP-T5-3FT-2L-8xx-E1-M-G2</v>
      </c>
      <c r="AE385" t="str">
        <f>SUBSTITUTE(Master_Reference[[#This Row],[C-Flex 4000K 3W Part Number]],"40-","xx-")</f>
        <v/>
      </c>
      <c r="AF385" s="1" t="str">
        <f>_xlfn.IFNA(VLOOKUP(Master_Reference[[#This Row],[C-Flex 3000K Eco Part Number]],Lutron_CFlex_Lookup[],MATCH("Lutron Kit PN",Lutron_CFlex_Lookup[#Headers],0),FALSE),"")</f>
        <v>ELD3T5-2M30-q</v>
      </c>
      <c r="AG385" s="1" t="str">
        <f>_xlfn.IFNA(VLOOKUP(Master_Reference[[#This Row],[C-Flex 3500K Eco Part Number]],Lutron_CFlex_Lookup[],MATCH("Lutron Kit PN",Lutron_CFlex_Lookup[#Headers],0),FALSE),"")</f>
        <v>ELD3T5-2M35-q</v>
      </c>
      <c r="AH385" s="1" t="str">
        <f>_xlfn.IFNA(VLOOKUP(Master_Reference[[#This Row],[C-Flex 4000K Eco Part Number]],Lutron_CFlex_Lookup[],MATCH("Lutron Kit PN",Lutron_CFlex_Lookup[#Headers],0),FALSE),"")</f>
        <v>ELD3T5-2M40-q</v>
      </c>
      <c r="AI385" s="1" t="str">
        <f>_xlfn.IFNA(VLOOKUP(Master_Reference[[#This Row],[C-Flex 5000K Eco Part Number]],Lutron_CFlex_Lookup[],MATCH("Lutron Kit PN",Lutron_CFlex_Lookup[#Headers],0),FALSE),"")</f>
        <v>ELD3T5-2M50-q</v>
      </c>
      <c r="AJ385" s="1" t="str">
        <f>_xlfn.IFNA(VLOOKUP(Master_Reference[[#This Row],[C-Flex 3000K 3W Part Number]],Lutron_CFlex_Lookup[],MATCH("Lutron Kit PN",Lutron_CFlex_Lookup[#Headers],0),FALSE),"")</f>
        <v/>
      </c>
      <c r="AK385" s="1" t="str">
        <f>_xlfn.IFNA(VLOOKUP(Master_Reference[[#This Row],[C-Flex 3500K 3W Part Number]],Lutron_CFlex_Lookup[],MATCH("Lutron Kit PN",Lutron_CFlex_Lookup[#Headers],0),FALSE),"")</f>
        <v/>
      </c>
      <c r="AL385" s="1" t="str">
        <f>_xlfn.IFNA(VLOOKUP(Master_Reference[[#This Row],[C-Flex 4000K 3W Part Number]],Lutron_CFlex_Lookup[],MATCH("Lutron Kit PN",Lutron_CFlex_Lookup[#Headers],0),FALSE),"")</f>
        <v/>
      </c>
      <c r="AM385" s="1" t="str">
        <f>_xlfn.IFNA(VLOOKUP(Master_Reference[[#This Row],[C-Flex 5000K 3W Part Number]],Lutron_CFlex_Lookup[],MATCH("Lutron Kit PN",Lutron_CFlex_Lookup[#Headers],0),FALSE),"")</f>
        <v/>
      </c>
      <c r="AN385" s="1" t="b">
        <f>NOT(ISNA(VLOOKUP(Master_Reference[[#This Row],[Model Number]],ObsoleteModels[],1,FALSE)))</f>
        <v>1</v>
      </c>
      <c r="AO385" s="1" t="str">
        <f>IF(LEFT(Master_Reference[[#This Row],[Model Number]],1)="U",LEFT(Master_Reference[[#This Row],[Model Number]],4),LEFT(Master_Reference[[#This Row],[Model Number]],3))</f>
        <v>EHD</v>
      </c>
    </row>
    <row r="386" spans="1:41" x14ac:dyDescent="0.25">
      <c r="A386" s="2" t="s">
        <v>667</v>
      </c>
      <c r="B386" s="1" t="b">
        <v>1</v>
      </c>
      <c r="G386" s="1" t="str">
        <f>IF(OR(LEFT(RIGHT(Master_Reference[[#This Row],[Model Number]],3),1)="C",LEFT(RIGHT(Master_Reference[[#This Row],[Model Number]],4),1)="C"),TRUE,"")</f>
        <v/>
      </c>
      <c r="H386" s="1" t="str">
        <f>IF(LEFT(Master_Reference[[#This Row],[Model Number]],1)="U",TRUE,"")</f>
        <v/>
      </c>
      <c r="I386" s="1" t="b">
        <f>IF(Master_Reference[[#This Row],[Lamp Type]]="T4","",IF(Master_Reference[[#This Row],[Case Type]]="M","",TRUE))</f>
        <v>1</v>
      </c>
      <c r="J386" s="1" t="s">
        <v>297</v>
      </c>
      <c r="K386" s="1">
        <v>24</v>
      </c>
      <c r="L386" s="1" t="s">
        <v>112</v>
      </c>
      <c r="M386" s="1">
        <v>2</v>
      </c>
      <c r="N386" s="1">
        <v>347</v>
      </c>
      <c r="O386" s="1" t="s">
        <v>113</v>
      </c>
      <c r="Q386" s="1" t="s">
        <v>535</v>
      </c>
      <c r="R386" t="b">
        <f>IF(COUNTBLANK(Master_Reference[[#This Row],[C-Flex 3000K Eco Part Number]:[C-Flex 4000K Eco Part Number]])=3,FALSE,TRUE)</f>
        <v>0</v>
      </c>
      <c r="S386" t="b">
        <f>IF(COUNTBLANK(Master_Reference[[#This Row],[C-Flex 3000K 3W Part Number]:[C-Flex 4000K 3W Part Number]])=3,FALSE,TRUE)</f>
        <v>0</v>
      </c>
      <c r="T386" t="b">
        <f>IF(COUNTBLANK(Master_Reference[[#This Row],[Lutron 3000K Eco Part Number]:[Lutron 4000K Eco Part Number]])=3,FALSE,TRUE)</f>
        <v>0</v>
      </c>
      <c r="U386" t="b">
        <f>IF(COUNTBLANK(Master_Reference[[#This Row],[Lutron 3000K 3W Part Number]:[Lutron 4000K 3W Part Number]])=3,FALSE,TRUE)</f>
        <v>0</v>
      </c>
      <c r="V386" s="12"/>
      <c r="W386" s="12"/>
      <c r="X386" s="12"/>
      <c r="Y386" t="s">
        <v>2125</v>
      </c>
      <c r="Z386" s="12"/>
      <c r="AA386" s="12"/>
      <c r="AB386" s="12"/>
      <c r="AC386" t="s">
        <v>2125</v>
      </c>
      <c r="AD386" t="str">
        <f>SUBSTITUTE(Master_Reference[[#This Row],[C-Flex 4000K Eco Part Number]],"40-","xx-")</f>
        <v/>
      </c>
      <c r="AE386" t="str">
        <f>SUBSTITUTE(Master_Reference[[#This Row],[C-Flex 4000K 3W Part Number]],"40-","xx-")</f>
        <v/>
      </c>
      <c r="AF386" s="1" t="str">
        <f>_xlfn.IFNA(VLOOKUP(Master_Reference[[#This Row],[C-Flex 3000K Eco Part Number]],Lutron_CFlex_Lookup[],MATCH("Lutron Kit PN",Lutron_CFlex_Lookup[#Headers],0),FALSE),"")</f>
        <v/>
      </c>
      <c r="AG386" s="1" t="str">
        <f>_xlfn.IFNA(VLOOKUP(Master_Reference[[#This Row],[C-Flex 3500K Eco Part Number]],Lutron_CFlex_Lookup[],MATCH("Lutron Kit PN",Lutron_CFlex_Lookup[#Headers],0),FALSE),"")</f>
        <v/>
      </c>
      <c r="AH386" s="1" t="str">
        <f>_xlfn.IFNA(VLOOKUP(Master_Reference[[#This Row],[C-Flex 4000K Eco Part Number]],Lutron_CFlex_Lookup[],MATCH("Lutron Kit PN",Lutron_CFlex_Lookup[#Headers],0),FALSE),"")</f>
        <v/>
      </c>
      <c r="AI386" s="1" t="str">
        <f>_xlfn.IFNA(VLOOKUP(Master_Reference[[#This Row],[C-Flex 5000K Eco Part Number]],Lutron_CFlex_Lookup[],MATCH("Lutron Kit PN",Lutron_CFlex_Lookup[#Headers],0),FALSE),"")</f>
        <v/>
      </c>
      <c r="AJ386" s="1" t="str">
        <f>_xlfn.IFNA(VLOOKUP(Master_Reference[[#This Row],[C-Flex 3000K 3W Part Number]],Lutron_CFlex_Lookup[],MATCH("Lutron Kit PN",Lutron_CFlex_Lookup[#Headers],0),FALSE),"")</f>
        <v/>
      </c>
      <c r="AK386" s="1" t="str">
        <f>_xlfn.IFNA(VLOOKUP(Master_Reference[[#This Row],[C-Flex 3500K 3W Part Number]],Lutron_CFlex_Lookup[],MATCH("Lutron Kit PN",Lutron_CFlex_Lookup[#Headers],0),FALSE),"")</f>
        <v/>
      </c>
      <c r="AL386" s="1" t="str">
        <f>_xlfn.IFNA(VLOOKUP(Master_Reference[[#This Row],[C-Flex 4000K 3W Part Number]],Lutron_CFlex_Lookup[],MATCH("Lutron Kit PN",Lutron_CFlex_Lookup[#Headers],0),FALSE),"")</f>
        <v/>
      </c>
      <c r="AM386" s="1" t="str">
        <f>_xlfn.IFNA(VLOOKUP(Master_Reference[[#This Row],[C-Flex 5000K 3W Part Number]],Lutron_CFlex_Lookup[],MATCH("Lutron Kit PN",Lutron_CFlex_Lookup[#Headers],0),FALSE),"")</f>
        <v/>
      </c>
      <c r="AN386" s="1" t="b">
        <f>NOT(ISNA(VLOOKUP(Master_Reference[[#This Row],[Model Number]],ObsoleteModels[],1,FALSE)))</f>
        <v>1</v>
      </c>
      <c r="AO386" s="1" t="str">
        <f>IF(LEFT(Master_Reference[[#This Row],[Model Number]],1)="U",LEFT(Master_Reference[[#This Row],[Model Number]],4),LEFT(Master_Reference[[#This Row],[Model Number]],3))</f>
        <v>EHD</v>
      </c>
    </row>
    <row r="387" spans="1:41" x14ac:dyDescent="0.25">
      <c r="A387" s="2" t="s">
        <v>668</v>
      </c>
      <c r="B387" s="1" t="b">
        <v>1</v>
      </c>
      <c r="G387" s="1" t="str">
        <f>IF(OR(LEFT(RIGHT(Master_Reference[[#This Row],[Model Number]],3),1)="C",LEFT(RIGHT(Master_Reference[[#This Row],[Model Number]],4),1)="C"),TRUE,"")</f>
        <v/>
      </c>
      <c r="H387" s="1" t="str">
        <f>IF(LEFT(Master_Reference[[#This Row],[Model Number]],1)="U",TRUE,"")</f>
        <v/>
      </c>
      <c r="I387" s="1" t="str">
        <f>IF(Master_Reference[[#This Row],[Lamp Type]]="T4","",IF(Master_Reference[[#This Row],[Case Type]]="M","",TRUE))</f>
        <v/>
      </c>
      <c r="J387" s="1" t="s">
        <v>297</v>
      </c>
      <c r="K387" s="1">
        <v>24</v>
      </c>
      <c r="L387" s="1" t="s">
        <v>112</v>
      </c>
      <c r="M387" s="1">
        <v>1</v>
      </c>
      <c r="N387" s="1" t="s">
        <v>631</v>
      </c>
      <c r="O387" s="1" t="s">
        <v>632</v>
      </c>
      <c r="Q387" s="1" t="s">
        <v>456</v>
      </c>
      <c r="R387" t="b">
        <f>IF(COUNTBLANK(Master_Reference[[#This Row],[C-Flex 3000K Eco Part Number]:[C-Flex 4000K Eco Part Number]])=3,FALSE,TRUE)</f>
        <v>0</v>
      </c>
      <c r="S387" t="b">
        <f>IF(COUNTBLANK(Master_Reference[[#This Row],[C-Flex 3000K 3W Part Number]:[C-Flex 4000K 3W Part Number]])=3,FALSE,TRUE)</f>
        <v>0</v>
      </c>
      <c r="T387" t="b">
        <f>IF(COUNTBLANK(Master_Reference[[#This Row],[Lutron 3000K Eco Part Number]:[Lutron 4000K Eco Part Number]])=3,FALSE,TRUE)</f>
        <v>0</v>
      </c>
      <c r="U387" t="b">
        <f>IF(COUNTBLANK(Master_Reference[[#This Row],[Lutron 3000K 3W Part Number]:[Lutron 4000K 3W Part Number]])=3,FALSE,TRUE)</f>
        <v>0</v>
      </c>
      <c r="V387" s="12"/>
      <c r="W387" s="12"/>
      <c r="X387" s="12"/>
      <c r="Y387" t="s">
        <v>2125</v>
      </c>
      <c r="Z387" s="12"/>
      <c r="AA387" s="12"/>
      <c r="AB387" s="12"/>
      <c r="AC387" t="s">
        <v>2125</v>
      </c>
      <c r="AD387" t="str">
        <f>SUBSTITUTE(Master_Reference[[#This Row],[C-Flex 4000K Eco Part Number]],"40-","xx-")</f>
        <v/>
      </c>
      <c r="AE387" t="str">
        <f>SUBSTITUTE(Master_Reference[[#This Row],[C-Flex 4000K 3W Part Number]],"40-","xx-")</f>
        <v/>
      </c>
      <c r="AF387" s="1" t="str">
        <f>_xlfn.IFNA(VLOOKUP(Master_Reference[[#This Row],[C-Flex 3000K Eco Part Number]],Lutron_CFlex_Lookup[],MATCH("Lutron Kit PN",Lutron_CFlex_Lookup[#Headers],0),FALSE),"")</f>
        <v/>
      </c>
      <c r="AG387" s="1" t="str">
        <f>_xlfn.IFNA(VLOOKUP(Master_Reference[[#This Row],[C-Flex 3500K Eco Part Number]],Lutron_CFlex_Lookup[],MATCH("Lutron Kit PN",Lutron_CFlex_Lookup[#Headers],0),FALSE),"")</f>
        <v/>
      </c>
      <c r="AH387" s="1" t="str">
        <f>_xlfn.IFNA(VLOOKUP(Master_Reference[[#This Row],[C-Flex 4000K Eco Part Number]],Lutron_CFlex_Lookup[],MATCH("Lutron Kit PN",Lutron_CFlex_Lookup[#Headers],0),FALSE),"")</f>
        <v/>
      </c>
      <c r="AI387" s="1" t="str">
        <f>_xlfn.IFNA(VLOOKUP(Master_Reference[[#This Row],[C-Flex 5000K Eco Part Number]],Lutron_CFlex_Lookup[],MATCH("Lutron Kit PN",Lutron_CFlex_Lookup[#Headers],0),FALSE),"")</f>
        <v/>
      </c>
      <c r="AJ387" s="1" t="str">
        <f>_xlfn.IFNA(VLOOKUP(Master_Reference[[#This Row],[C-Flex 3000K 3W Part Number]],Lutron_CFlex_Lookup[],MATCH("Lutron Kit PN",Lutron_CFlex_Lookup[#Headers],0),FALSE),"")</f>
        <v/>
      </c>
      <c r="AK387" s="1" t="str">
        <f>_xlfn.IFNA(VLOOKUP(Master_Reference[[#This Row],[C-Flex 3500K 3W Part Number]],Lutron_CFlex_Lookup[],MATCH("Lutron Kit PN",Lutron_CFlex_Lookup[#Headers],0),FALSE),"")</f>
        <v/>
      </c>
      <c r="AL387" s="1" t="str">
        <f>_xlfn.IFNA(VLOOKUP(Master_Reference[[#This Row],[C-Flex 4000K 3W Part Number]],Lutron_CFlex_Lookup[],MATCH("Lutron Kit PN",Lutron_CFlex_Lookup[#Headers],0),FALSE),"")</f>
        <v/>
      </c>
      <c r="AM387" s="1" t="str">
        <f>_xlfn.IFNA(VLOOKUP(Master_Reference[[#This Row],[C-Flex 5000K 3W Part Number]],Lutron_CFlex_Lookup[],MATCH("Lutron Kit PN",Lutron_CFlex_Lookup[#Headers],0),FALSE),"")</f>
        <v/>
      </c>
      <c r="AN387" s="1" t="b">
        <f>NOT(ISNA(VLOOKUP(Master_Reference[[#This Row],[Model Number]],ObsoleteModels[],1,FALSE)))</f>
        <v>1</v>
      </c>
      <c r="AO387" s="1" t="str">
        <f>IF(LEFT(Master_Reference[[#This Row],[Model Number]],1)="U",LEFT(Master_Reference[[#This Row],[Model Number]],4),LEFT(Master_Reference[[#This Row],[Model Number]],3))</f>
        <v>EHD</v>
      </c>
    </row>
    <row r="388" spans="1:41" x14ac:dyDescent="0.25">
      <c r="A388" s="2" t="s">
        <v>669</v>
      </c>
      <c r="B388" s="1" t="b">
        <v>1</v>
      </c>
      <c r="G388" s="1" t="str">
        <f>IF(OR(LEFT(RIGHT(Master_Reference[[#This Row],[Model Number]],3),1)="C",LEFT(RIGHT(Master_Reference[[#This Row],[Model Number]],4),1)="C"),TRUE,"")</f>
        <v/>
      </c>
      <c r="H388" s="1" t="str">
        <f>IF(LEFT(Master_Reference[[#This Row],[Model Number]],1)="U",TRUE,"")</f>
        <v/>
      </c>
      <c r="I388" s="1" t="str">
        <f>IF(Master_Reference[[#This Row],[Lamp Type]]="T4","",IF(Master_Reference[[#This Row],[Case Type]]="M","",TRUE))</f>
        <v/>
      </c>
      <c r="J388" s="1" t="s">
        <v>297</v>
      </c>
      <c r="K388" s="1">
        <v>24</v>
      </c>
      <c r="L388" s="1" t="s">
        <v>112</v>
      </c>
      <c r="M388" s="1">
        <v>2</v>
      </c>
      <c r="N388" s="1" t="s">
        <v>631</v>
      </c>
      <c r="O388" s="1" t="s">
        <v>632</v>
      </c>
      <c r="Q388" s="1" t="s">
        <v>456</v>
      </c>
      <c r="R388" t="b">
        <f>IF(COUNTBLANK(Master_Reference[[#This Row],[C-Flex 3000K Eco Part Number]:[C-Flex 4000K Eco Part Number]])=3,FALSE,TRUE)</f>
        <v>0</v>
      </c>
      <c r="S388" t="b">
        <f>IF(COUNTBLANK(Master_Reference[[#This Row],[C-Flex 3000K 3W Part Number]:[C-Flex 4000K 3W Part Number]])=3,FALSE,TRUE)</f>
        <v>0</v>
      </c>
      <c r="T388" t="b">
        <f>IF(COUNTBLANK(Master_Reference[[#This Row],[Lutron 3000K Eco Part Number]:[Lutron 4000K Eco Part Number]])=3,FALSE,TRUE)</f>
        <v>0</v>
      </c>
      <c r="U388" t="b">
        <f>IF(COUNTBLANK(Master_Reference[[#This Row],[Lutron 3000K 3W Part Number]:[Lutron 4000K 3W Part Number]])=3,FALSE,TRUE)</f>
        <v>0</v>
      </c>
      <c r="V388" s="12"/>
      <c r="W388" s="12"/>
      <c r="X388" s="12"/>
      <c r="Y388" t="s">
        <v>2125</v>
      </c>
      <c r="Z388" s="12"/>
      <c r="AA388" s="12"/>
      <c r="AB388" s="12"/>
      <c r="AC388" t="s">
        <v>2125</v>
      </c>
      <c r="AD388" t="str">
        <f>SUBSTITUTE(Master_Reference[[#This Row],[C-Flex 4000K Eco Part Number]],"40-","xx-")</f>
        <v/>
      </c>
      <c r="AE388" t="str">
        <f>SUBSTITUTE(Master_Reference[[#This Row],[C-Flex 4000K 3W Part Number]],"40-","xx-")</f>
        <v/>
      </c>
      <c r="AF388" s="1" t="str">
        <f>_xlfn.IFNA(VLOOKUP(Master_Reference[[#This Row],[C-Flex 3000K Eco Part Number]],Lutron_CFlex_Lookup[],MATCH("Lutron Kit PN",Lutron_CFlex_Lookup[#Headers],0),FALSE),"")</f>
        <v/>
      </c>
      <c r="AG388" s="1" t="str">
        <f>_xlfn.IFNA(VLOOKUP(Master_Reference[[#This Row],[C-Flex 3500K Eco Part Number]],Lutron_CFlex_Lookup[],MATCH("Lutron Kit PN",Lutron_CFlex_Lookup[#Headers],0),FALSE),"")</f>
        <v/>
      </c>
      <c r="AH388" s="1" t="str">
        <f>_xlfn.IFNA(VLOOKUP(Master_Reference[[#This Row],[C-Flex 4000K Eco Part Number]],Lutron_CFlex_Lookup[],MATCH("Lutron Kit PN",Lutron_CFlex_Lookup[#Headers],0),FALSE),"")</f>
        <v/>
      </c>
      <c r="AI388" s="1" t="str">
        <f>_xlfn.IFNA(VLOOKUP(Master_Reference[[#This Row],[C-Flex 5000K Eco Part Number]],Lutron_CFlex_Lookup[],MATCH("Lutron Kit PN",Lutron_CFlex_Lookup[#Headers],0),FALSE),"")</f>
        <v/>
      </c>
      <c r="AJ388" s="1" t="str">
        <f>_xlfn.IFNA(VLOOKUP(Master_Reference[[#This Row],[C-Flex 3000K 3W Part Number]],Lutron_CFlex_Lookup[],MATCH("Lutron Kit PN",Lutron_CFlex_Lookup[#Headers],0),FALSE),"")</f>
        <v/>
      </c>
      <c r="AK388" s="1" t="str">
        <f>_xlfn.IFNA(VLOOKUP(Master_Reference[[#This Row],[C-Flex 3500K 3W Part Number]],Lutron_CFlex_Lookup[],MATCH("Lutron Kit PN",Lutron_CFlex_Lookup[#Headers],0),FALSE),"")</f>
        <v/>
      </c>
      <c r="AL388" s="1" t="str">
        <f>_xlfn.IFNA(VLOOKUP(Master_Reference[[#This Row],[C-Flex 4000K 3W Part Number]],Lutron_CFlex_Lookup[],MATCH("Lutron Kit PN",Lutron_CFlex_Lookup[#Headers],0),FALSE),"")</f>
        <v/>
      </c>
      <c r="AM388" s="1" t="str">
        <f>_xlfn.IFNA(VLOOKUP(Master_Reference[[#This Row],[C-Flex 5000K 3W Part Number]],Lutron_CFlex_Lookup[],MATCH("Lutron Kit PN",Lutron_CFlex_Lookup[#Headers],0),FALSE),"")</f>
        <v/>
      </c>
      <c r="AN388" s="1" t="b">
        <f>NOT(ISNA(VLOOKUP(Master_Reference[[#This Row],[Model Number]],ObsoleteModels[],1,FALSE)))</f>
        <v>1</v>
      </c>
      <c r="AO388" s="1" t="str">
        <f>IF(LEFT(Master_Reference[[#This Row],[Model Number]],1)="U",LEFT(Master_Reference[[#This Row],[Model Number]],4),LEFT(Master_Reference[[#This Row],[Model Number]],3))</f>
        <v>EHD</v>
      </c>
    </row>
    <row r="389" spans="1:41" x14ac:dyDescent="0.25">
      <c r="A389" s="2" t="s">
        <v>670</v>
      </c>
      <c r="B389" s="1" t="b">
        <v>1</v>
      </c>
      <c r="G389" s="1" t="str">
        <f>IF(OR(LEFT(RIGHT(Master_Reference[[#This Row],[Model Number]],3),1)="C",LEFT(RIGHT(Master_Reference[[#This Row],[Model Number]],4),1)="C"),TRUE,"")</f>
        <v/>
      </c>
      <c r="H389" s="1" t="str">
        <f>IF(LEFT(Master_Reference[[#This Row],[Model Number]],1)="U",TRUE,"")</f>
        <v/>
      </c>
      <c r="I389" s="1" t="str">
        <f>IF(Master_Reference[[#This Row],[Lamp Type]]="T4","",IF(Master_Reference[[#This Row],[Case Type]]="M","",TRUE))</f>
        <v/>
      </c>
      <c r="J389" s="1" t="s">
        <v>297</v>
      </c>
      <c r="K389" s="1">
        <v>24</v>
      </c>
      <c r="L389" s="1" t="s">
        <v>112</v>
      </c>
      <c r="M389" s="1">
        <v>2</v>
      </c>
      <c r="N389" s="1" t="s">
        <v>631</v>
      </c>
      <c r="O389" s="1" t="s">
        <v>632</v>
      </c>
      <c r="Q389" s="1" t="s">
        <v>643</v>
      </c>
      <c r="R389" t="b">
        <f>IF(COUNTBLANK(Master_Reference[[#This Row],[C-Flex 3000K Eco Part Number]:[C-Flex 4000K Eco Part Number]])=3,FALSE,TRUE)</f>
        <v>0</v>
      </c>
      <c r="S389" t="b">
        <f>IF(COUNTBLANK(Master_Reference[[#This Row],[C-Flex 3000K 3W Part Number]:[C-Flex 4000K 3W Part Number]])=3,FALSE,TRUE)</f>
        <v>0</v>
      </c>
      <c r="T389" t="b">
        <f>IF(COUNTBLANK(Master_Reference[[#This Row],[Lutron 3000K Eco Part Number]:[Lutron 4000K Eco Part Number]])=3,FALSE,TRUE)</f>
        <v>0</v>
      </c>
      <c r="U389" t="b">
        <f>IF(COUNTBLANK(Master_Reference[[#This Row],[Lutron 3000K 3W Part Number]:[Lutron 4000K 3W Part Number]])=3,FALSE,TRUE)</f>
        <v>0</v>
      </c>
      <c r="V389" s="12"/>
      <c r="W389" s="12"/>
      <c r="X389" s="12"/>
      <c r="Y389" t="s">
        <v>2125</v>
      </c>
      <c r="Z389" s="12"/>
      <c r="AA389" s="12"/>
      <c r="AB389" s="12"/>
      <c r="AC389" t="s">
        <v>2125</v>
      </c>
      <c r="AD389" t="str">
        <f>SUBSTITUTE(Master_Reference[[#This Row],[C-Flex 4000K Eco Part Number]],"40-","xx-")</f>
        <v/>
      </c>
      <c r="AE389" t="str">
        <f>SUBSTITUTE(Master_Reference[[#This Row],[C-Flex 4000K 3W Part Number]],"40-","xx-")</f>
        <v/>
      </c>
      <c r="AF389" s="1" t="str">
        <f>_xlfn.IFNA(VLOOKUP(Master_Reference[[#This Row],[C-Flex 3000K Eco Part Number]],Lutron_CFlex_Lookup[],MATCH("Lutron Kit PN",Lutron_CFlex_Lookup[#Headers],0),FALSE),"")</f>
        <v/>
      </c>
      <c r="AG389" s="1" t="str">
        <f>_xlfn.IFNA(VLOOKUP(Master_Reference[[#This Row],[C-Flex 3500K Eco Part Number]],Lutron_CFlex_Lookup[],MATCH("Lutron Kit PN",Lutron_CFlex_Lookup[#Headers],0),FALSE),"")</f>
        <v/>
      </c>
      <c r="AH389" s="1" t="str">
        <f>_xlfn.IFNA(VLOOKUP(Master_Reference[[#This Row],[C-Flex 4000K Eco Part Number]],Lutron_CFlex_Lookup[],MATCH("Lutron Kit PN",Lutron_CFlex_Lookup[#Headers],0),FALSE),"")</f>
        <v/>
      </c>
      <c r="AI389" s="1" t="str">
        <f>_xlfn.IFNA(VLOOKUP(Master_Reference[[#This Row],[C-Flex 5000K Eco Part Number]],Lutron_CFlex_Lookup[],MATCH("Lutron Kit PN",Lutron_CFlex_Lookup[#Headers],0),FALSE),"")</f>
        <v/>
      </c>
      <c r="AJ389" s="1" t="str">
        <f>_xlfn.IFNA(VLOOKUP(Master_Reference[[#This Row],[C-Flex 3000K 3W Part Number]],Lutron_CFlex_Lookup[],MATCH("Lutron Kit PN",Lutron_CFlex_Lookup[#Headers],0),FALSE),"")</f>
        <v/>
      </c>
      <c r="AK389" s="1" t="str">
        <f>_xlfn.IFNA(VLOOKUP(Master_Reference[[#This Row],[C-Flex 3500K 3W Part Number]],Lutron_CFlex_Lookup[],MATCH("Lutron Kit PN",Lutron_CFlex_Lookup[#Headers],0),FALSE),"")</f>
        <v/>
      </c>
      <c r="AL389" s="1" t="str">
        <f>_xlfn.IFNA(VLOOKUP(Master_Reference[[#This Row],[C-Flex 4000K 3W Part Number]],Lutron_CFlex_Lookup[],MATCH("Lutron Kit PN",Lutron_CFlex_Lookup[#Headers],0),FALSE),"")</f>
        <v/>
      </c>
      <c r="AM389" s="1" t="str">
        <f>_xlfn.IFNA(VLOOKUP(Master_Reference[[#This Row],[C-Flex 5000K 3W Part Number]],Lutron_CFlex_Lookup[],MATCH("Lutron Kit PN",Lutron_CFlex_Lookup[#Headers],0),FALSE),"")</f>
        <v/>
      </c>
      <c r="AN389" s="1" t="b">
        <f>NOT(ISNA(VLOOKUP(Master_Reference[[#This Row],[Model Number]],ObsoleteModels[],1,FALSE)))</f>
        <v>1</v>
      </c>
      <c r="AO389" s="1" t="str">
        <f>IF(LEFT(Master_Reference[[#This Row],[Model Number]],1)="U",LEFT(Master_Reference[[#This Row],[Model Number]],4),LEFT(Master_Reference[[#This Row],[Model Number]],3))</f>
        <v>EHD</v>
      </c>
    </row>
    <row r="390" spans="1:41" x14ac:dyDescent="0.25">
      <c r="A390" s="2" t="s">
        <v>671</v>
      </c>
      <c r="B390" s="1" t="b">
        <v>1</v>
      </c>
      <c r="G390" s="1" t="str">
        <f>IF(OR(LEFT(RIGHT(Master_Reference[[#This Row],[Model Number]],3),1)="C",LEFT(RIGHT(Master_Reference[[#This Row],[Model Number]],4),1)="C"),TRUE,"")</f>
        <v/>
      </c>
      <c r="H390" s="1" t="str">
        <f>IF(LEFT(Master_Reference[[#This Row],[Model Number]],1)="U",TRUE,"")</f>
        <v/>
      </c>
      <c r="I390" s="1" t="str">
        <f>IF(Master_Reference[[#This Row],[Lamp Type]]="T4","",IF(Master_Reference[[#This Row],[Case Type]]="M","",TRUE))</f>
        <v/>
      </c>
      <c r="J390" s="1" t="s">
        <v>297</v>
      </c>
      <c r="K390" s="1">
        <v>24</v>
      </c>
      <c r="L390" s="1" t="s">
        <v>112</v>
      </c>
      <c r="M390" s="1">
        <v>1</v>
      </c>
      <c r="N390" s="1" t="s">
        <v>149</v>
      </c>
      <c r="O390" s="1" t="s">
        <v>632</v>
      </c>
      <c r="R390" t="b">
        <f>IF(COUNTBLANK(Master_Reference[[#This Row],[C-Flex 3000K Eco Part Number]:[C-Flex 4000K Eco Part Number]])=3,FALSE,TRUE)</f>
        <v>1</v>
      </c>
      <c r="S390" t="b">
        <f>IF(COUNTBLANK(Master_Reference[[#This Row],[C-Flex 3000K 3W Part Number]:[C-Flex 4000K 3W Part Number]])=3,FALSE,TRUE)</f>
        <v>0</v>
      </c>
      <c r="T390" t="b">
        <f>IF(COUNTBLANK(Master_Reference[[#This Row],[Lutron 3000K Eco Part Number]:[Lutron 4000K Eco Part Number]])=3,FALSE,TRUE)</f>
        <v>1</v>
      </c>
      <c r="U390" t="b">
        <f>IF(COUNTBLANK(Master_Reference[[#This Row],[Lutron 3000K 3W Part Number]:[Lutron 4000K 3W Part Number]])=3,FALSE,TRUE)</f>
        <v>0</v>
      </c>
      <c r="V390" s="12" t="s">
        <v>355</v>
      </c>
      <c r="W390" s="12" t="s">
        <v>356</v>
      </c>
      <c r="X390" s="12" t="s">
        <v>357</v>
      </c>
      <c r="Y390" t="s">
        <v>1721</v>
      </c>
      <c r="Z390" s="12"/>
      <c r="AA390" s="12"/>
      <c r="AB390" s="12"/>
      <c r="AC390" t="s">
        <v>2125</v>
      </c>
      <c r="AD390" t="str">
        <f>SUBSTITUTE(Master_Reference[[#This Row],[C-Flex 4000K Eco Part Number]],"40-","xx-")</f>
        <v>RP-T5HO-2FT-1L-8xx-E1-M-G2</v>
      </c>
      <c r="AE390" t="str">
        <f>SUBSTITUTE(Master_Reference[[#This Row],[C-Flex 4000K 3W Part Number]],"40-","xx-")</f>
        <v/>
      </c>
      <c r="AF390" s="1" t="str">
        <f>_xlfn.IFNA(VLOOKUP(Master_Reference[[#This Row],[C-Flex 3000K Eco Part Number]],Lutron_CFlex_Lookup[],MATCH("Lutron Kit PN",Lutron_CFlex_Lookup[#Headers],0),FALSE),"")</f>
        <v>ELD2T5H-1M30-q</v>
      </c>
      <c r="AG390" s="1" t="str">
        <f>_xlfn.IFNA(VLOOKUP(Master_Reference[[#This Row],[C-Flex 3500K Eco Part Number]],Lutron_CFlex_Lookup[],MATCH("Lutron Kit PN",Lutron_CFlex_Lookup[#Headers],0),FALSE),"")</f>
        <v>ELD2T5H-1M35-q</v>
      </c>
      <c r="AH390" s="1" t="str">
        <f>_xlfn.IFNA(VLOOKUP(Master_Reference[[#This Row],[C-Flex 4000K Eco Part Number]],Lutron_CFlex_Lookup[],MATCH("Lutron Kit PN",Lutron_CFlex_Lookup[#Headers],0),FALSE),"")</f>
        <v>ELD2T5H-1M40-q</v>
      </c>
      <c r="AI390" s="1" t="str">
        <f>_xlfn.IFNA(VLOOKUP(Master_Reference[[#This Row],[C-Flex 5000K Eco Part Number]],Lutron_CFlex_Lookup[],MATCH("Lutron Kit PN",Lutron_CFlex_Lookup[#Headers],0),FALSE),"")</f>
        <v>ELD2T5H-1M50-q</v>
      </c>
      <c r="AJ390" s="1" t="str">
        <f>_xlfn.IFNA(VLOOKUP(Master_Reference[[#This Row],[C-Flex 3000K 3W Part Number]],Lutron_CFlex_Lookup[],MATCH("Lutron Kit PN",Lutron_CFlex_Lookup[#Headers],0),FALSE),"")</f>
        <v/>
      </c>
      <c r="AK390" s="1" t="str">
        <f>_xlfn.IFNA(VLOOKUP(Master_Reference[[#This Row],[C-Flex 3500K 3W Part Number]],Lutron_CFlex_Lookup[],MATCH("Lutron Kit PN",Lutron_CFlex_Lookup[#Headers],0),FALSE),"")</f>
        <v/>
      </c>
      <c r="AL390" s="1" t="str">
        <f>_xlfn.IFNA(VLOOKUP(Master_Reference[[#This Row],[C-Flex 4000K 3W Part Number]],Lutron_CFlex_Lookup[],MATCH("Lutron Kit PN",Lutron_CFlex_Lookup[#Headers],0),FALSE),"")</f>
        <v/>
      </c>
      <c r="AM390" s="1" t="str">
        <f>_xlfn.IFNA(VLOOKUP(Master_Reference[[#This Row],[C-Flex 5000K 3W Part Number]],Lutron_CFlex_Lookup[],MATCH("Lutron Kit PN",Lutron_CFlex_Lookup[#Headers],0),FALSE),"")</f>
        <v/>
      </c>
      <c r="AN390" s="1" t="b">
        <f>NOT(ISNA(VLOOKUP(Master_Reference[[#This Row],[Model Number]],ObsoleteModels[],1,FALSE)))</f>
        <v>1</v>
      </c>
      <c r="AO390" s="1" t="str">
        <f>IF(LEFT(Master_Reference[[#This Row],[Model Number]],1)="U",LEFT(Master_Reference[[#This Row],[Model Number]],4),LEFT(Master_Reference[[#This Row],[Model Number]],3))</f>
        <v>EHD</v>
      </c>
    </row>
    <row r="391" spans="1:41" x14ac:dyDescent="0.25">
      <c r="A391" s="2" t="s">
        <v>672</v>
      </c>
      <c r="B391" s="1" t="b">
        <v>1</v>
      </c>
      <c r="G391" s="1" t="str">
        <f>IF(OR(LEFT(RIGHT(Master_Reference[[#This Row],[Model Number]],3),1)="C",LEFT(RIGHT(Master_Reference[[#This Row],[Model Number]],4),1)="C"),TRUE,"")</f>
        <v/>
      </c>
      <c r="H391" s="1" t="str">
        <f>IF(LEFT(Master_Reference[[#This Row],[Model Number]],1)="U",TRUE,"")</f>
        <v/>
      </c>
      <c r="I391" s="1" t="str">
        <f>IF(Master_Reference[[#This Row],[Lamp Type]]="T4","",IF(Master_Reference[[#This Row],[Case Type]]="M","",TRUE))</f>
        <v/>
      </c>
      <c r="J391" s="1" t="s">
        <v>297</v>
      </c>
      <c r="K391" s="1">
        <v>24</v>
      </c>
      <c r="L391" s="1" t="s">
        <v>112</v>
      </c>
      <c r="M391" s="1">
        <v>1</v>
      </c>
      <c r="N391" s="1" t="s">
        <v>149</v>
      </c>
      <c r="O391" s="1" t="s">
        <v>632</v>
      </c>
      <c r="Q391" s="1" t="s">
        <v>91</v>
      </c>
      <c r="R391" t="b">
        <f>IF(COUNTBLANK(Master_Reference[[#This Row],[C-Flex 3000K Eco Part Number]:[C-Flex 4000K Eco Part Number]])=3,FALSE,TRUE)</f>
        <v>0</v>
      </c>
      <c r="S391" t="b">
        <f>IF(COUNTBLANK(Master_Reference[[#This Row],[C-Flex 3000K 3W Part Number]:[C-Flex 4000K 3W Part Number]])=3,FALSE,TRUE)</f>
        <v>0</v>
      </c>
      <c r="T391" t="b">
        <f>IF(COUNTBLANK(Master_Reference[[#This Row],[Lutron 3000K Eco Part Number]:[Lutron 4000K Eco Part Number]])=3,FALSE,TRUE)</f>
        <v>0</v>
      </c>
      <c r="U391" t="b">
        <f>IF(COUNTBLANK(Master_Reference[[#This Row],[Lutron 3000K 3W Part Number]:[Lutron 4000K 3W Part Number]])=3,FALSE,TRUE)</f>
        <v>0</v>
      </c>
      <c r="V391" s="12"/>
      <c r="W391" s="12"/>
      <c r="X391" s="12"/>
      <c r="Y391" t="s">
        <v>2125</v>
      </c>
      <c r="Z391" s="12"/>
      <c r="AA391" s="12"/>
      <c r="AB391" s="12"/>
      <c r="AC391" t="s">
        <v>2125</v>
      </c>
      <c r="AD391" t="str">
        <f>SUBSTITUTE(Master_Reference[[#This Row],[C-Flex 4000K Eco Part Number]],"40-","xx-")</f>
        <v/>
      </c>
      <c r="AE391" t="str">
        <f>SUBSTITUTE(Master_Reference[[#This Row],[C-Flex 4000K 3W Part Number]],"40-","xx-")</f>
        <v/>
      </c>
      <c r="AF391" s="1" t="str">
        <f>_xlfn.IFNA(VLOOKUP(Master_Reference[[#This Row],[C-Flex 3000K Eco Part Number]],Lutron_CFlex_Lookup[],MATCH("Lutron Kit PN",Lutron_CFlex_Lookup[#Headers],0),FALSE),"")</f>
        <v/>
      </c>
      <c r="AG391" s="1" t="str">
        <f>_xlfn.IFNA(VLOOKUP(Master_Reference[[#This Row],[C-Flex 3500K Eco Part Number]],Lutron_CFlex_Lookup[],MATCH("Lutron Kit PN",Lutron_CFlex_Lookup[#Headers],0),FALSE),"")</f>
        <v/>
      </c>
      <c r="AH391" s="1" t="str">
        <f>_xlfn.IFNA(VLOOKUP(Master_Reference[[#This Row],[C-Flex 4000K Eco Part Number]],Lutron_CFlex_Lookup[],MATCH("Lutron Kit PN",Lutron_CFlex_Lookup[#Headers],0),FALSE),"")</f>
        <v/>
      </c>
      <c r="AI391" s="1" t="str">
        <f>_xlfn.IFNA(VLOOKUP(Master_Reference[[#This Row],[C-Flex 5000K Eco Part Number]],Lutron_CFlex_Lookup[],MATCH("Lutron Kit PN",Lutron_CFlex_Lookup[#Headers],0),FALSE),"")</f>
        <v/>
      </c>
      <c r="AJ391" s="1" t="str">
        <f>_xlfn.IFNA(VLOOKUP(Master_Reference[[#This Row],[C-Flex 3000K 3W Part Number]],Lutron_CFlex_Lookup[],MATCH("Lutron Kit PN",Lutron_CFlex_Lookup[#Headers],0),FALSE),"")</f>
        <v/>
      </c>
      <c r="AK391" s="1" t="str">
        <f>_xlfn.IFNA(VLOOKUP(Master_Reference[[#This Row],[C-Flex 3500K 3W Part Number]],Lutron_CFlex_Lookup[],MATCH("Lutron Kit PN",Lutron_CFlex_Lookup[#Headers],0),FALSE),"")</f>
        <v/>
      </c>
      <c r="AL391" s="1" t="str">
        <f>_xlfn.IFNA(VLOOKUP(Master_Reference[[#This Row],[C-Flex 4000K 3W Part Number]],Lutron_CFlex_Lookup[],MATCH("Lutron Kit PN",Lutron_CFlex_Lookup[#Headers],0),FALSE),"")</f>
        <v/>
      </c>
      <c r="AM391" s="1" t="str">
        <f>_xlfn.IFNA(VLOOKUP(Master_Reference[[#This Row],[C-Flex 5000K 3W Part Number]],Lutron_CFlex_Lookup[],MATCH("Lutron Kit PN",Lutron_CFlex_Lookup[#Headers],0),FALSE),"")</f>
        <v/>
      </c>
      <c r="AN391" s="1" t="b">
        <f>NOT(ISNA(VLOOKUP(Master_Reference[[#This Row],[Model Number]],ObsoleteModels[],1,FALSE)))</f>
        <v>1</v>
      </c>
      <c r="AO391" s="1" t="str">
        <f>IF(LEFT(Master_Reference[[#This Row],[Model Number]],1)="U",LEFT(Master_Reference[[#This Row],[Model Number]],4),LEFT(Master_Reference[[#This Row],[Model Number]],3))</f>
        <v>EHD</v>
      </c>
    </row>
    <row r="392" spans="1:41" x14ac:dyDescent="0.25">
      <c r="A392" s="2" t="s">
        <v>673</v>
      </c>
      <c r="B392" s="1" t="b">
        <v>1</v>
      </c>
      <c r="G392" s="1" t="b">
        <f>IF(OR(LEFT(RIGHT(Master_Reference[[#This Row],[Model Number]],3),1)="C",LEFT(RIGHT(Master_Reference[[#This Row],[Model Number]],4),1)="C"),TRUE,"")</f>
        <v>1</v>
      </c>
      <c r="H392" s="1" t="str">
        <f>IF(LEFT(Master_Reference[[#This Row],[Model Number]],1)="U",TRUE,"")</f>
        <v/>
      </c>
      <c r="I392" s="1" t="str">
        <f>IF(Master_Reference[[#This Row],[Lamp Type]]="T4","",IF(Master_Reference[[#This Row],[Case Type]]="M","",TRUE))</f>
        <v/>
      </c>
      <c r="J392" s="1" t="s">
        <v>297</v>
      </c>
      <c r="K392" s="1">
        <v>24</v>
      </c>
      <c r="L392" s="1" t="s">
        <v>112</v>
      </c>
      <c r="M392" s="1">
        <v>1</v>
      </c>
      <c r="N392" s="1" t="s">
        <v>149</v>
      </c>
      <c r="O392" s="1" t="s">
        <v>632</v>
      </c>
      <c r="R392" t="b">
        <f>IF(COUNTBLANK(Master_Reference[[#This Row],[C-Flex 3000K Eco Part Number]:[C-Flex 4000K Eco Part Number]])=3,FALSE,TRUE)</f>
        <v>1</v>
      </c>
      <c r="S392" t="b">
        <f>IF(COUNTBLANK(Master_Reference[[#This Row],[C-Flex 3000K 3W Part Number]:[C-Flex 4000K 3W Part Number]])=3,FALSE,TRUE)</f>
        <v>0</v>
      </c>
      <c r="T392" t="b">
        <f>IF(COUNTBLANK(Master_Reference[[#This Row],[Lutron 3000K Eco Part Number]:[Lutron 4000K Eco Part Number]])=3,FALSE,TRUE)</f>
        <v>1</v>
      </c>
      <c r="U392" t="b">
        <f>IF(COUNTBLANK(Master_Reference[[#This Row],[Lutron 3000K 3W Part Number]:[Lutron 4000K 3W Part Number]])=3,FALSE,TRUE)</f>
        <v>0</v>
      </c>
      <c r="V392" s="12" t="s">
        <v>355</v>
      </c>
      <c r="W392" s="12" t="s">
        <v>356</v>
      </c>
      <c r="X392" s="12" t="s">
        <v>357</v>
      </c>
      <c r="Y392" t="s">
        <v>1721</v>
      </c>
      <c r="Z392" s="12"/>
      <c r="AA392" s="12"/>
      <c r="AB392" s="12"/>
      <c r="AC392" t="s">
        <v>2125</v>
      </c>
      <c r="AD392" t="str">
        <f>SUBSTITUTE(Master_Reference[[#This Row],[C-Flex 4000K Eco Part Number]],"40-","xx-")</f>
        <v>RP-T5HO-2FT-1L-8xx-E1-M-G2</v>
      </c>
      <c r="AE392" t="str">
        <f>SUBSTITUTE(Master_Reference[[#This Row],[C-Flex 4000K 3W Part Number]],"40-","xx-")</f>
        <v/>
      </c>
      <c r="AF392" s="1" t="str">
        <f>_xlfn.IFNA(VLOOKUP(Master_Reference[[#This Row],[C-Flex 3000K Eco Part Number]],Lutron_CFlex_Lookup[],MATCH("Lutron Kit PN",Lutron_CFlex_Lookup[#Headers],0),FALSE),"")</f>
        <v>ELD2T5H-1M30-q</v>
      </c>
      <c r="AG392" s="1" t="str">
        <f>_xlfn.IFNA(VLOOKUP(Master_Reference[[#This Row],[C-Flex 3500K Eco Part Number]],Lutron_CFlex_Lookup[],MATCH("Lutron Kit PN",Lutron_CFlex_Lookup[#Headers],0),FALSE),"")</f>
        <v>ELD2T5H-1M35-q</v>
      </c>
      <c r="AH392" s="1" t="str">
        <f>_xlfn.IFNA(VLOOKUP(Master_Reference[[#This Row],[C-Flex 4000K Eco Part Number]],Lutron_CFlex_Lookup[],MATCH("Lutron Kit PN",Lutron_CFlex_Lookup[#Headers],0),FALSE),"")</f>
        <v>ELD2T5H-1M40-q</v>
      </c>
      <c r="AI392" s="1" t="str">
        <f>_xlfn.IFNA(VLOOKUP(Master_Reference[[#This Row],[C-Flex 5000K Eco Part Number]],Lutron_CFlex_Lookup[],MATCH("Lutron Kit PN",Lutron_CFlex_Lookup[#Headers],0),FALSE),"")</f>
        <v>ELD2T5H-1M50-q</v>
      </c>
      <c r="AJ392" s="1" t="str">
        <f>_xlfn.IFNA(VLOOKUP(Master_Reference[[#This Row],[C-Flex 3000K 3W Part Number]],Lutron_CFlex_Lookup[],MATCH("Lutron Kit PN",Lutron_CFlex_Lookup[#Headers],0),FALSE),"")</f>
        <v/>
      </c>
      <c r="AK392" s="1" t="str">
        <f>_xlfn.IFNA(VLOOKUP(Master_Reference[[#This Row],[C-Flex 3500K 3W Part Number]],Lutron_CFlex_Lookup[],MATCH("Lutron Kit PN",Lutron_CFlex_Lookup[#Headers],0),FALSE),"")</f>
        <v/>
      </c>
      <c r="AL392" s="1" t="str">
        <f>_xlfn.IFNA(VLOOKUP(Master_Reference[[#This Row],[C-Flex 4000K 3W Part Number]],Lutron_CFlex_Lookup[],MATCH("Lutron Kit PN",Lutron_CFlex_Lookup[#Headers],0),FALSE),"")</f>
        <v/>
      </c>
      <c r="AM392" s="1" t="str">
        <f>_xlfn.IFNA(VLOOKUP(Master_Reference[[#This Row],[C-Flex 5000K 3W Part Number]],Lutron_CFlex_Lookup[],MATCH("Lutron Kit PN",Lutron_CFlex_Lookup[#Headers],0),FALSE),"")</f>
        <v/>
      </c>
      <c r="AN392" s="1" t="b">
        <f>NOT(ISNA(VLOOKUP(Master_Reference[[#This Row],[Model Number]],ObsoleteModels[],1,FALSE)))</f>
        <v>1</v>
      </c>
      <c r="AO392" s="1" t="str">
        <f>IF(LEFT(Master_Reference[[#This Row],[Model Number]],1)="U",LEFT(Master_Reference[[#This Row],[Model Number]],4),LEFT(Master_Reference[[#This Row],[Model Number]],3))</f>
        <v>EHD</v>
      </c>
    </row>
    <row r="393" spans="1:41" x14ac:dyDescent="0.25">
      <c r="A393" s="2" t="s">
        <v>674</v>
      </c>
      <c r="B393" s="1" t="b">
        <v>1</v>
      </c>
      <c r="G393" s="1" t="str">
        <f>IF(OR(LEFT(RIGHT(Master_Reference[[#This Row],[Model Number]],3),1)="C",LEFT(RIGHT(Master_Reference[[#This Row],[Model Number]],4),1)="C"),TRUE,"")</f>
        <v/>
      </c>
      <c r="H393" s="1" t="str">
        <f>IF(LEFT(Master_Reference[[#This Row],[Model Number]],1)="U",TRUE,"")</f>
        <v/>
      </c>
      <c r="I393" s="1" t="str">
        <f>IF(Master_Reference[[#This Row],[Lamp Type]]="T4","",IF(Master_Reference[[#This Row],[Case Type]]="M","",TRUE))</f>
        <v/>
      </c>
      <c r="J393" s="1" t="s">
        <v>297</v>
      </c>
      <c r="K393" s="1">
        <v>24</v>
      </c>
      <c r="L393" s="1" t="s">
        <v>112</v>
      </c>
      <c r="M393" s="1">
        <v>2</v>
      </c>
      <c r="N393" s="1" t="s">
        <v>149</v>
      </c>
      <c r="O393" s="1" t="s">
        <v>632</v>
      </c>
      <c r="R393" t="b">
        <f>IF(COUNTBLANK(Master_Reference[[#This Row],[C-Flex 3000K Eco Part Number]:[C-Flex 4000K Eco Part Number]])=3,FALSE,TRUE)</f>
        <v>1</v>
      </c>
      <c r="S393" t="b">
        <f>IF(COUNTBLANK(Master_Reference[[#This Row],[C-Flex 3000K 3W Part Number]:[C-Flex 4000K 3W Part Number]])=3,FALSE,TRUE)</f>
        <v>0</v>
      </c>
      <c r="T393" t="b">
        <f>IF(COUNTBLANK(Master_Reference[[#This Row],[Lutron 3000K Eco Part Number]:[Lutron 4000K Eco Part Number]])=3,FALSE,TRUE)</f>
        <v>1</v>
      </c>
      <c r="U393" t="b">
        <f>IF(COUNTBLANK(Master_Reference[[#This Row],[Lutron 3000K 3W Part Number]:[Lutron 4000K 3W Part Number]])=3,FALSE,TRUE)</f>
        <v>0</v>
      </c>
      <c r="V393" s="12" t="s">
        <v>362</v>
      </c>
      <c r="W393" s="12" t="s">
        <v>363</v>
      </c>
      <c r="X393" s="12" t="s">
        <v>364</v>
      </c>
      <c r="Y393" t="s">
        <v>1722</v>
      </c>
      <c r="Z393" s="12"/>
      <c r="AA393" s="12"/>
      <c r="AB393" s="12"/>
      <c r="AC393" t="s">
        <v>2125</v>
      </c>
      <c r="AD393" t="str">
        <f>SUBSTITUTE(Master_Reference[[#This Row],[C-Flex 4000K Eco Part Number]],"40-","xx-")</f>
        <v>RP-T5HO-2FT-2L-8xx-E1-M-G2</v>
      </c>
      <c r="AE393" t="str">
        <f>SUBSTITUTE(Master_Reference[[#This Row],[C-Flex 4000K 3W Part Number]],"40-","xx-")</f>
        <v/>
      </c>
      <c r="AF393" s="1" t="str">
        <f>_xlfn.IFNA(VLOOKUP(Master_Reference[[#This Row],[C-Flex 3000K Eco Part Number]],Lutron_CFlex_Lookup[],MATCH("Lutron Kit PN",Lutron_CFlex_Lookup[#Headers],0),FALSE),"")</f>
        <v>ELD2T5H-2M30-q</v>
      </c>
      <c r="AG393" s="1" t="str">
        <f>_xlfn.IFNA(VLOOKUP(Master_Reference[[#This Row],[C-Flex 3500K Eco Part Number]],Lutron_CFlex_Lookup[],MATCH("Lutron Kit PN",Lutron_CFlex_Lookup[#Headers],0),FALSE),"")</f>
        <v>ELD2T5H-2M35-q</v>
      </c>
      <c r="AH393" s="1" t="str">
        <f>_xlfn.IFNA(VLOOKUP(Master_Reference[[#This Row],[C-Flex 4000K Eco Part Number]],Lutron_CFlex_Lookup[],MATCH("Lutron Kit PN",Lutron_CFlex_Lookup[#Headers],0),FALSE),"")</f>
        <v>ELD2T5H-2M40-q</v>
      </c>
      <c r="AI393" s="1" t="str">
        <f>_xlfn.IFNA(VLOOKUP(Master_Reference[[#This Row],[C-Flex 5000K Eco Part Number]],Lutron_CFlex_Lookup[],MATCH("Lutron Kit PN",Lutron_CFlex_Lookup[#Headers],0),FALSE),"")</f>
        <v>ELD2T5H-2M50-q</v>
      </c>
      <c r="AJ393" s="1" t="str">
        <f>_xlfn.IFNA(VLOOKUP(Master_Reference[[#This Row],[C-Flex 3000K 3W Part Number]],Lutron_CFlex_Lookup[],MATCH("Lutron Kit PN",Lutron_CFlex_Lookup[#Headers],0),FALSE),"")</f>
        <v/>
      </c>
      <c r="AK393" s="1" t="str">
        <f>_xlfn.IFNA(VLOOKUP(Master_Reference[[#This Row],[C-Flex 3500K 3W Part Number]],Lutron_CFlex_Lookup[],MATCH("Lutron Kit PN",Lutron_CFlex_Lookup[#Headers],0),FALSE),"")</f>
        <v/>
      </c>
      <c r="AL393" s="1" t="str">
        <f>_xlfn.IFNA(VLOOKUP(Master_Reference[[#This Row],[C-Flex 4000K 3W Part Number]],Lutron_CFlex_Lookup[],MATCH("Lutron Kit PN",Lutron_CFlex_Lookup[#Headers],0),FALSE),"")</f>
        <v/>
      </c>
      <c r="AM393" s="1" t="str">
        <f>_xlfn.IFNA(VLOOKUP(Master_Reference[[#This Row],[C-Flex 5000K 3W Part Number]],Lutron_CFlex_Lookup[],MATCH("Lutron Kit PN",Lutron_CFlex_Lookup[#Headers],0),FALSE),"")</f>
        <v/>
      </c>
      <c r="AN393" s="1" t="b">
        <f>NOT(ISNA(VLOOKUP(Master_Reference[[#This Row],[Model Number]],ObsoleteModels[],1,FALSE)))</f>
        <v>1</v>
      </c>
      <c r="AO393" s="1" t="str">
        <f>IF(LEFT(Master_Reference[[#This Row],[Model Number]],1)="U",LEFT(Master_Reference[[#This Row],[Model Number]],4),LEFT(Master_Reference[[#This Row],[Model Number]],3))</f>
        <v>EHD</v>
      </c>
    </row>
    <row r="394" spans="1:41" x14ac:dyDescent="0.25">
      <c r="A394" s="2" t="s">
        <v>675</v>
      </c>
      <c r="B394" s="1" t="b">
        <v>1</v>
      </c>
      <c r="G394" s="1" t="str">
        <f>IF(OR(LEFT(RIGHT(Master_Reference[[#This Row],[Model Number]],3),1)="C",LEFT(RIGHT(Master_Reference[[#This Row],[Model Number]],4),1)="C"),TRUE,"")</f>
        <v/>
      </c>
      <c r="H394" s="1" t="str">
        <f>IF(LEFT(Master_Reference[[#This Row],[Model Number]],1)="U",TRUE,"")</f>
        <v/>
      </c>
      <c r="I394" s="1" t="str">
        <f>IF(Master_Reference[[#This Row],[Lamp Type]]="T4","",IF(Master_Reference[[#This Row],[Case Type]]="M","",TRUE))</f>
        <v/>
      </c>
      <c r="J394" s="1" t="s">
        <v>297</v>
      </c>
      <c r="K394" s="1">
        <v>24</v>
      </c>
      <c r="L394" s="1" t="s">
        <v>112</v>
      </c>
      <c r="M394" s="1">
        <v>2</v>
      </c>
      <c r="N394" s="1" t="s">
        <v>149</v>
      </c>
      <c r="O394" s="1" t="s">
        <v>632</v>
      </c>
      <c r="Q394" s="1" t="s">
        <v>91</v>
      </c>
      <c r="R394" t="b">
        <f>IF(COUNTBLANK(Master_Reference[[#This Row],[C-Flex 3000K Eco Part Number]:[C-Flex 4000K Eco Part Number]])=3,FALSE,TRUE)</f>
        <v>0</v>
      </c>
      <c r="S394" t="b">
        <f>IF(COUNTBLANK(Master_Reference[[#This Row],[C-Flex 3000K 3W Part Number]:[C-Flex 4000K 3W Part Number]])=3,FALSE,TRUE)</f>
        <v>0</v>
      </c>
      <c r="T394" t="b">
        <f>IF(COUNTBLANK(Master_Reference[[#This Row],[Lutron 3000K Eco Part Number]:[Lutron 4000K Eco Part Number]])=3,FALSE,TRUE)</f>
        <v>0</v>
      </c>
      <c r="U394" t="b">
        <f>IF(COUNTBLANK(Master_Reference[[#This Row],[Lutron 3000K 3W Part Number]:[Lutron 4000K 3W Part Number]])=3,FALSE,TRUE)</f>
        <v>0</v>
      </c>
      <c r="V394" s="12"/>
      <c r="W394" s="12"/>
      <c r="X394" s="12"/>
      <c r="Y394" t="s">
        <v>2125</v>
      </c>
      <c r="Z394" s="12"/>
      <c r="AA394" s="12"/>
      <c r="AB394" s="12"/>
      <c r="AC394" t="s">
        <v>2125</v>
      </c>
      <c r="AD394" t="str">
        <f>SUBSTITUTE(Master_Reference[[#This Row],[C-Flex 4000K Eco Part Number]],"40-","xx-")</f>
        <v/>
      </c>
      <c r="AE394" t="str">
        <f>SUBSTITUTE(Master_Reference[[#This Row],[C-Flex 4000K 3W Part Number]],"40-","xx-")</f>
        <v/>
      </c>
      <c r="AF394" s="1" t="str">
        <f>_xlfn.IFNA(VLOOKUP(Master_Reference[[#This Row],[C-Flex 3000K Eco Part Number]],Lutron_CFlex_Lookup[],MATCH("Lutron Kit PN",Lutron_CFlex_Lookup[#Headers],0),FALSE),"")</f>
        <v/>
      </c>
      <c r="AG394" s="1" t="str">
        <f>_xlfn.IFNA(VLOOKUP(Master_Reference[[#This Row],[C-Flex 3500K Eco Part Number]],Lutron_CFlex_Lookup[],MATCH("Lutron Kit PN",Lutron_CFlex_Lookup[#Headers],0),FALSE),"")</f>
        <v/>
      </c>
      <c r="AH394" s="1" t="str">
        <f>_xlfn.IFNA(VLOOKUP(Master_Reference[[#This Row],[C-Flex 4000K Eco Part Number]],Lutron_CFlex_Lookup[],MATCH("Lutron Kit PN",Lutron_CFlex_Lookup[#Headers],0),FALSE),"")</f>
        <v/>
      </c>
      <c r="AI394" s="1" t="str">
        <f>_xlfn.IFNA(VLOOKUP(Master_Reference[[#This Row],[C-Flex 5000K Eco Part Number]],Lutron_CFlex_Lookup[],MATCH("Lutron Kit PN",Lutron_CFlex_Lookup[#Headers],0),FALSE),"")</f>
        <v/>
      </c>
      <c r="AJ394" s="1" t="str">
        <f>_xlfn.IFNA(VLOOKUP(Master_Reference[[#This Row],[C-Flex 3000K 3W Part Number]],Lutron_CFlex_Lookup[],MATCH("Lutron Kit PN",Lutron_CFlex_Lookup[#Headers],0),FALSE),"")</f>
        <v/>
      </c>
      <c r="AK394" s="1" t="str">
        <f>_xlfn.IFNA(VLOOKUP(Master_Reference[[#This Row],[C-Flex 3500K 3W Part Number]],Lutron_CFlex_Lookup[],MATCH("Lutron Kit PN",Lutron_CFlex_Lookup[#Headers],0),FALSE),"")</f>
        <v/>
      </c>
      <c r="AL394" s="1" t="str">
        <f>_xlfn.IFNA(VLOOKUP(Master_Reference[[#This Row],[C-Flex 4000K 3W Part Number]],Lutron_CFlex_Lookup[],MATCH("Lutron Kit PN",Lutron_CFlex_Lookup[#Headers],0),FALSE),"")</f>
        <v/>
      </c>
      <c r="AM394" s="1" t="str">
        <f>_xlfn.IFNA(VLOOKUP(Master_Reference[[#This Row],[C-Flex 5000K 3W Part Number]],Lutron_CFlex_Lookup[],MATCH("Lutron Kit PN",Lutron_CFlex_Lookup[#Headers],0),FALSE),"")</f>
        <v/>
      </c>
      <c r="AN394" s="1" t="b">
        <f>NOT(ISNA(VLOOKUP(Master_Reference[[#This Row],[Model Number]],ObsoleteModels[],1,FALSE)))</f>
        <v>1</v>
      </c>
      <c r="AO394" s="1" t="str">
        <f>IF(LEFT(Master_Reference[[#This Row],[Model Number]],1)="U",LEFT(Master_Reference[[#This Row],[Model Number]],4),LEFT(Master_Reference[[#This Row],[Model Number]],3))</f>
        <v>EHD</v>
      </c>
    </row>
    <row r="395" spans="1:41" x14ac:dyDescent="0.25">
      <c r="A395" s="2" t="s">
        <v>676</v>
      </c>
      <c r="B395" s="1" t="b">
        <v>1</v>
      </c>
      <c r="G395" s="1" t="b">
        <v>1</v>
      </c>
      <c r="H395" s="1" t="str">
        <f>IF(LEFT(Master_Reference[[#This Row],[Model Number]],1)="U",TRUE,"")</f>
        <v/>
      </c>
      <c r="I395" s="1" t="str">
        <f>IF(Master_Reference[[#This Row],[Lamp Type]]="T4","",IF(Master_Reference[[#This Row],[Case Type]]="M","",TRUE))</f>
        <v/>
      </c>
      <c r="J395" s="1" t="str">
        <f>RIGHT(LEFT(A395,5),2)</f>
        <v>T5</v>
      </c>
      <c r="K395" s="1">
        <v>25</v>
      </c>
      <c r="L395" s="1" t="s">
        <v>118</v>
      </c>
      <c r="M395" s="1">
        <v>1</v>
      </c>
      <c r="N395" s="1" t="s">
        <v>631</v>
      </c>
      <c r="O395" s="1" t="s">
        <v>632</v>
      </c>
      <c r="Q395" s="1" t="s">
        <v>643</v>
      </c>
      <c r="R395" t="b">
        <f>IF(COUNTBLANK(Master_Reference[[#This Row],[C-Flex 3000K Eco Part Number]:[C-Flex 4000K Eco Part Number]])=3,FALSE,TRUE)</f>
        <v>0</v>
      </c>
      <c r="S395" t="b">
        <f>IF(COUNTBLANK(Master_Reference[[#This Row],[C-Flex 3000K 3W Part Number]:[C-Flex 4000K 3W Part Number]])=3,FALSE,TRUE)</f>
        <v>0</v>
      </c>
      <c r="T395" t="b">
        <f>IF(COUNTBLANK(Master_Reference[[#This Row],[Lutron 3000K Eco Part Number]:[Lutron 4000K Eco Part Number]])=3,FALSE,TRUE)</f>
        <v>0</v>
      </c>
      <c r="U395" t="b">
        <f>IF(COUNTBLANK(Master_Reference[[#This Row],[Lutron 3000K 3W Part Number]:[Lutron 4000K 3W Part Number]])=3,FALSE,TRUE)</f>
        <v>0</v>
      </c>
      <c r="V395" s="12"/>
      <c r="W395" s="12"/>
      <c r="X395" s="12"/>
      <c r="Y395" t="s">
        <v>2125</v>
      </c>
      <c r="Z395" s="12"/>
      <c r="AA395" s="12"/>
      <c r="AB395" s="12"/>
      <c r="AC395" t="s">
        <v>2125</v>
      </c>
      <c r="AD395" t="str">
        <f>SUBSTITUTE(Master_Reference[[#This Row],[C-Flex 4000K Eco Part Number]],"40-","xx-")</f>
        <v/>
      </c>
      <c r="AE395" t="str">
        <f>SUBSTITUTE(Master_Reference[[#This Row],[C-Flex 4000K 3W Part Number]],"40-","xx-")</f>
        <v/>
      </c>
      <c r="AF395" s="1" t="str">
        <f>_xlfn.IFNA(VLOOKUP(Master_Reference[[#This Row],[C-Flex 3000K Eco Part Number]],Lutron_CFlex_Lookup[],MATCH("Lutron Kit PN",Lutron_CFlex_Lookup[#Headers],0),FALSE),"")</f>
        <v/>
      </c>
      <c r="AG395" s="1" t="str">
        <f>_xlfn.IFNA(VLOOKUP(Master_Reference[[#This Row],[C-Flex 3500K Eco Part Number]],Lutron_CFlex_Lookup[],MATCH("Lutron Kit PN",Lutron_CFlex_Lookup[#Headers],0),FALSE),"")</f>
        <v/>
      </c>
      <c r="AH395" s="1" t="str">
        <f>_xlfn.IFNA(VLOOKUP(Master_Reference[[#This Row],[C-Flex 4000K Eco Part Number]],Lutron_CFlex_Lookup[],MATCH("Lutron Kit PN",Lutron_CFlex_Lookup[#Headers],0),FALSE),"")</f>
        <v/>
      </c>
      <c r="AI395" s="1" t="str">
        <f>_xlfn.IFNA(VLOOKUP(Master_Reference[[#This Row],[C-Flex 5000K Eco Part Number]],Lutron_CFlex_Lookup[],MATCH("Lutron Kit PN",Lutron_CFlex_Lookup[#Headers],0),FALSE),"")</f>
        <v/>
      </c>
      <c r="AJ395" s="1" t="str">
        <f>_xlfn.IFNA(VLOOKUP(Master_Reference[[#This Row],[C-Flex 3000K 3W Part Number]],Lutron_CFlex_Lookup[],MATCH("Lutron Kit PN",Lutron_CFlex_Lookup[#Headers],0),FALSE),"")</f>
        <v/>
      </c>
      <c r="AK395" s="1" t="str">
        <f>_xlfn.IFNA(VLOOKUP(Master_Reference[[#This Row],[C-Flex 3500K 3W Part Number]],Lutron_CFlex_Lookup[],MATCH("Lutron Kit PN",Lutron_CFlex_Lookup[#Headers],0),FALSE),"")</f>
        <v/>
      </c>
      <c r="AL395" s="1" t="str">
        <f>_xlfn.IFNA(VLOOKUP(Master_Reference[[#This Row],[C-Flex 4000K 3W Part Number]],Lutron_CFlex_Lookup[],MATCH("Lutron Kit PN",Lutron_CFlex_Lookup[#Headers],0),FALSE),"")</f>
        <v/>
      </c>
      <c r="AM395" s="1" t="str">
        <f>_xlfn.IFNA(VLOOKUP(Master_Reference[[#This Row],[C-Flex 5000K 3W Part Number]],Lutron_CFlex_Lookup[],MATCH("Lutron Kit PN",Lutron_CFlex_Lookup[#Headers],0),FALSE),"")</f>
        <v/>
      </c>
      <c r="AN395" s="1" t="b">
        <f>NOT(ISNA(VLOOKUP(Master_Reference[[#This Row],[Model Number]],ObsoleteModels[],1,FALSE)))</f>
        <v>1</v>
      </c>
      <c r="AO395" s="1" t="str">
        <f>IF(LEFT(Master_Reference[[#This Row],[Model Number]],1)="U",LEFT(Master_Reference[[#This Row],[Model Number]],4),LEFT(Master_Reference[[#This Row],[Model Number]],3))</f>
        <v>EHD</v>
      </c>
    </row>
    <row r="396" spans="1:41" x14ac:dyDescent="0.25">
      <c r="A396" s="2" t="s">
        <v>677</v>
      </c>
      <c r="B396" s="1" t="b">
        <v>1</v>
      </c>
      <c r="G396" s="1" t="b">
        <v>1</v>
      </c>
      <c r="H396" s="1" t="str">
        <f>IF(LEFT(Master_Reference[[#This Row],[Model Number]],1)="U",TRUE,"")</f>
        <v/>
      </c>
      <c r="I396" s="1" t="str">
        <f>IF(Master_Reference[[#This Row],[Lamp Type]]="T4","",IF(Master_Reference[[#This Row],[Case Type]]="M","",TRUE))</f>
        <v/>
      </c>
      <c r="J396" s="1" t="str">
        <f>RIGHT(LEFT(A396,5),2)</f>
        <v>T5</v>
      </c>
      <c r="K396" s="1">
        <v>25</v>
      </c>
      <c r="L396" s="1" t="s">
        <v>118</v>
      </c>
      <c r="M396" s="1">
        <v>2</v>
      </c>
      <c r="N396" s="1" t="s">
        <v>631</v>
      </c>
      <c r="O396" s="1" t="s">
        <v>632</v>
      </c>
      <c r="Q396" s="1" t="s">
        <v>643</v>
      </c>
      <c r="R396" t="b">
        <f>IF(COUNTBLANK(Master_Reference[[#This Row],[C-Flex 3000K Eco Part Number]:[C-Flex 4000K Eco Part Number]])=3,FALSE,TRUE)</f>
        <v>0</v>
      </c>
      <c r="S396" t="b">
        <f>IF(COUNTBLANK(Master_Reference[[#This Row],[C-Flex 3000K 3W Part Number]:[C-Flex 4000K 3W Part Number]])=3,FALSE,TRUE)</f>
        <v>0</v>
      </c>
      <c r="T396" t="b">
        <f>IF(COUNTBLANK(Master_Reference[[#This Row],[Lutron 3000K Eco Part Number]:[Lutron 4000K Eco Part Number]])=3,FALSE,TRUE)</f>
        <v>0</v>
      </c>
      <c r="U396" t="b">
        <f>IF(COUNTBLANK(Master_Reference[[#This Row],[Lutron 3000K 3W Part Number]:[Lutron 4000K 3W Part Number]])=3,FALSE,TRUE)</f>
        <v>0</v>
      </c>
      <c r="V396" s="12"/>
      <c r="W396" s="12"/>
      <c r="X396" s="12"/>
      <c r="Y396" t="s">
        <v>2125</v>
      </c>
      <c r="Z396" s="12"/>
      <c r="AA396" s="12"/>
      <c r="AB396" s="12"/>
      <c r="AC396" t="s">
        <v>2125</v>
      </c>
      <c r="AD396" t="str">
        <f>SUBSTITUTE(Master_Reference[[#This Row],[C-Flex 4000K Eco Part Number]],"40-","xx-")</f>
        <v/>
      </c>
      <c r="AE396" t="str">
        <f>SUBSTITUTE(Master_Reference[[#This Row],[C-Flex 4000K 3W Part Number]],"40-","xx-")</f>
        <v/>
      </c>
      <c r="AF396" s="1" t="str">
        <f>_xlfn.IFNA(VLOOKUP(Master_Reference[[#This Row],[C-Flex 3000K Eco Part Number]],Lutron_CFlex_Lookup[],MATCH("Lutron Kit PN",Lutron_CFlex_Lookup[#Headers],0),FALSE),"")</f>
        <v/>
      </c>
      <c r="AG396" s="1" t="str">
        <f>_xlfn.IFNA(VLOOKUP(Master_Reference[[#This Row],[C-Flex 3500K Eco Part Number]],Lutron_CFlex_Lookup[],MATCH("Lutron Kit PN",Lutron_CFlex_Lookup[#Headers],0),FALSE),"")</f>
        <v/>
      </c>
      <c r="AH396" s="1" t="str">
        <f>_xlfn.IFNA(VLOOKUP(Master_Reference[[#This Row],[C-Flex 4000K Eco Part Number]],Lutron_CFlex_Lookup[],MATCH("Lutron Kit PN",Lutron_CFlex_Lookup[#Headers],0),FALSE),"")</f>
        <v/>
      </c>
      <c r="AI396" s="1" t="str">
        <f>_xlfn.IFNA(VLOOKUP(Master_Reference[[#This Row],[C-Flex 5000K Eco Part Number]],Lutron_CFlex_Lookup[],MATCH("Lutron Kit PN",Lutron_CFlex_Lookup[#Headers],0),FALSE),"")</f>
        <v/>
      </c>
      <c r="AJ396" s="1" t="str">
        <f>_xlfn.IFNA(VLOOKUP(Master_Reference[[#This Row],[C-Flex 3000K 3W Part Number]],Lutron_CFlex_Lookup[],MATCH("Lutron Kit PN",Lutron_CFlex_Lookup[#Headers],0),FALSE),"")</f>
        <v/>
      </c>
      <c r="AK396" s="1" t="str">
        <f>_xlfn.IFNA(VLOOKUP(Master_Reference[[#This Row],[C-Flex 3500K 3W Part Number]],Lutron_CFlex_Lookup[],MATCH("Lutron Kit PN",Lutron_CFlex_Lookup[#Headers],0),FALSE),"")</f>
        <v/>
      </c>
      <c r="AL396" s="1" t="str">
        <f>_xlfn.IFNA(VLOOKUP(Master_Reference[[#This Row],[C-Flex 4000K 3W Part Number]],Lutron_CFlex_Lookup[],MATCH("Lutron Kit PN",Lutron_CFlex_Lookup[#Headers],0),FALSE),"")</f>
        <v/>
      </c>
      <c r="AM396" s="1" t="str">
        <f>_xlfn.IFNA(VLOOKUP(Master_Reference[[#This Row],[C-Flex 5000K 3W Part Number]],Lutron_CFlex_Lookup[],MATCH("Lutron Kit PN",Lutron_CFlex_Lookup[#Headers],0),FALSE),"")</f>
        <v/>
      </c>
      <c r="AN396" s="1" t="b">
        <f>NOT(ISNA(VLOOKUP(Master_Reference[[#This Row],[Model Number]],ObsoleteModels[],1,FALSE)))</f>
        <v>1</v>
      </c>
      <c r="AO396" s="1" t="str">
        <f>IF(LEFT(Master_Reference[[#This Row],[Model Number]],1)="U",LEFT(Master_Reference[[#This Row],[Model Number]],4),LEFT(Master_Reference[[#This Row],[Model Number]],3))</f>
        <v>EHD</v>
      </c>
    </row>
    <row r="397" spans="1:41" x14ac:dyDescent="0.25">
      <c r="A397" s="2" t="s">
        <v>678</v>
      </c>
      <c r="B397" s="1" t="b">
        <v>1</v>
      </c>
      <c r="G397" s="1" t="b">
        <v>1</v>
      </c>
      <c r="H397" s="1" t="str">
        <f>IF(LEFT(Master_Reference[[#This Row],[Model Number]],1)="U",TRUE,"")</f>
        <v/>
      </c>
      <c r="I397" s="1" t="str">
        <f>IF(Master_Reference[[#This Row],[Lamp Type]]="T4","",IF(Master_Reference[[#This Row],[Case Type]]="M","",TRUE))</f>
        <v/>
      </c>
      <c r="J397" s="1" t="str">
        <f>RIGHT(LEFT(A397,5),2)</f>
        <v>T5</v>
      </c>
      <c r="K397" s="1">
        <v>25</v>
      </c>
      <c r="L397" s="1" t="s">
        <v>118</v>
      </c>
      <c r="M397" s="1">
        <v>1</v>
      </c>
      <c r="N397" s="1" t="s">
        <v>149</v>
      </c>
      <c r="O397" s="1" t="s">
        <v>632</v>
      </c>
      <c r="Q397" s="1" t="s">
        <v>91</v>
      </c>
      <c r="R397" t="b">
        <f>IF(COUNTBLANK(Master_Reference[[#This Row],[C-Flex 3000K Eco Part Number]:[C-Flex 4000K Eco Part Number]])=3,FALSE,TRUE)</f>
        <v>0</v>
      </c>
      <c r="S397" t="b">
        <f>IF(COUNTBLANK(Master_Reference[[#This Row],[C-Flex 3000K 3W Part Number]:[C-Flex 4000K 3W Part Number]])=3,FALSE,TRUE)</f>
        <v>0</v>
      </c>
      <c r="T397" t="b">
        <f>IF(COUNTBLANK(Master_Reference[[#This Row],[Lutron 3000K Eco Part Number]:[Lutron 4000K Eco Part Number]])=3,FALSE,TRUE)</f>
        <v>0</v>
      </c>
      <c r="U397" t="b">
        <f>IF(COUNTBLANK(Master_Reference[[#This Row],[Lutron 3000K 3W Part Number]:[Lutron 4000K 3W Part Number]])=3,FALSE,TRUE)</f>
        <v>0</v>
      </c>
      <c r="V397" s="12"/>
      <c r="W397" s="12"/>
      <c r="X397" s="12"/>
      <c r="Y397" t="s">
        <v>2125</v>
      </c>
      <c r="Z397" s="12"/>
      <c r="AA397" s="12"/>
      <c r="AB397" s="12"/>
      <c r="AC397" t="s">
        <v>2125</v>
      </c>
      <c r="AD397" t="str">
        <f>SUBSTITUTE(Master_Reference[[#This Row],[C-Flex 4000K Eco Part Number]],"40-","xx-")</f>
        <v/>
      </c>
      <c r="AE397" t="str">
        <f>SUBSTITUTE(Master_Reference[[#This Row],[C-Flex 4000K 3W Part Number]],"40-","xx-")</f>
        <v/>
      </c>
      <c r="AF397" s="1" t="str">
        <f>_xlfn.IFNA(VLOOKUP(Master_Reference[[#This Row],[C-Flex 3000K Eco Part Number]],Lutron_CFlex_Lookup[],MATCH("Lutron Kit PN",Lutron_CFlex_Lookup[#Headers],0),FALSE),"")</f>
        <v/>
      </c>
      <c r="AG397" s="1" t="str">
        <f>_xlfn.IFNA(VLOOKUP(Master_Reference[[#This Row],[C-Flex 3500K Eco Part Number]],Lutron_CFlex_Lookup[],MATCH("Lutron Kit PN",Lutron_CFlex_Lookup[#Headers],0),FALSE),"")</f>
        <v/>
      </c>
      <c r="AH397" s="1" t="str">
        <f>_xlfn.IFNA(VLOOKUP(Master_Reference[[#This Row],[C-Flex 4000K Eco Part Number]],Lutron_CFlex_Lookup[],MATCH("Lutron Kit PN",Lutron_CFlex_Lookup[#Headers],0),FALSE),"")</f>
        <v/>
      </c>
      <c r="AI397" s="1" t="str">
        <f>_xlfn.IFNA(VLOOKUP(Master_Reference[[#This Row],[C-Flex 5000K Eco Part Number]],Lutron_CFlex_Lookup[],MATCH("Lutron Kit PN",Lutron_CFlex_Lookup[#Headers],0),FALSE),"")</f>
        <v/>
      </c>
      <c r="AJ397" s="1" t="str">
        <f>_xlfn.IFNA(VLOOKUP(Master_Reference[[#This Row],[C-Flex 3000K 3W Part Number]],Lutron_CFlex_Lookup[],MATCH("Lutron Kit PN",Lutron_CFlex_Lookup[#Headers],0),FALSE),"")</f>
        <v/>
      </c>
      <c r="AK397" s="1" t="str">
        <f>_xlfn.IFNA(VLOOKUP(Master_Reference[[#This Row],[C-Flex 3500K 3W Part Number]],Lutron_CFlex_Lookup[],MATCH("Lutron Kit PN",Lutron_CFlex_Lookup[#Headers],0),FALSE),"")</f>
        <v/>
      </c>
      <c r="AL397" s="1" t="str">
        <f>_xlfn.IFNA(VLOOKUP(Master_Reference[[#This Row],[C-Flex 4000K 3W Part Number]],Lutron_CFlex_Lookup[],MATCH("Lutron Kit PN",Lutron_CFlex_Lookup[#Headers],0),FALSE),"")</f>
        <v/>
      </c>
      <c r="AM397" s="1" t="str">
        <f>_xlfn.IFNA(VLOOKUP(Master_Reference[[#This Row],[C-Flex 5000K 3W Part Number]],Lutron_CFlex_Lookup[],MATCH("Lutron Kit PN",Lutron_CFlex_Lookup[#Headers],0),FALSE),"")</f>
        <v/>
      </c>
      <c r="AN397" s="1" t="b">
        <f>NOT(ISNA(VLOOKUP(Master_Reference[[#This Row],[Model Number]],ObsoleteModels[],1,FALSE)))</f>
        <v>1</v>
      </c>
      <c r="AO397" s="1" t="str">
        <f>IF(LEFT(Master_Reference[[#This Row],[Model Number]],1)="U",LEFT(Master_Reference[[#This Row],[Model Number]],4),LEFT(Master_Reference[[#This Row],[Model Number]],3))</f>
        <v>EHD</v>
      </c>
    </row>
    <row r="398" spans="1:41" x14ac:dyDescent="0.25">
      <c r="A398" s="2" t="s">
        <v>679</v>
      </c>
      <c r="B398" s="1" t="b">
        <v>1</v>
      </c>
      <c r="G398" s="1" t="b">
        <v>1</v>
      </c>
      <c r="H398" s="1" t="str">
        <f>IF(LEFT(Master_Reference[[#This Row],[Model Number]],1)="U",TRUE,"")</f>
        <v/>
      </c>
      <c r="I398" s="1" t="str">
        <f>IF(Master_Reference[[#This Row],[Lamp Type]]="T4","",IF(Master_Reference[[#This Row],[Case Type]]="M","",TRUE))</f>
        <v/>
      </c>
      <c r="J398" s="1" t="str">
        <f>RIGHT(LEFT(A398,5),2)</f>
        <v>T5</v>
      </c>
      <c r="K398" s="1">
        <v>25</v>
      </c>
      <c r="L398" s="1" t="s">
        <v>118</v>
      </c>
      <c r="M398" s="1">
        <v>2</v>
      </c>
      <c r="N398" s="1" t="s">
        <v>149</v>
      </c>
      <c r="O398" s="1" t="s">
        <v>632</v>
      </c>
      <c r="R398" t="b">
        <f>IF(COUNTBLANK(Master_Reference[[#This Row],[C-Flex 3000K Eco Part Number]:[C-Flex 4000K Eco Part Number]])=3,FALSE,TRUE)</f>
        <v>1</v>
      </c>
      <c r="S398" t="b">
        <f>IF(COUNTBLANK(Master_Reference[[#This Row],[C-Flex 3000K 3W Part Number]:[C-Flex 4000K 3W Part Number]])=3,FALSE,TRUE)</f>
        <v>0</v>
      </c>
      <c r="T398" t="b">
        <f>IF(COUNTBLANK(Master_Reference[[#This Row],[Lutron 3000K Eco Part Number]:[Lutron 4000K Eco Part Number]])=3,FALSE,TRUE)</f>
        <v>1</v>
      </c>
      <c r="U398" t="b">
        <f>IF(COUNTBLANK(Master_Reference[[#This Row],[Lutron 3000K 3W Part Number]:[Lutron 4000K 3W Part Number]])=3,FALSE,TRUE)</f>
        <v>0</v>
      </c>
      <c r="V398" s="12" t="s">
        <v>290</v>
      </c>
      <c r="W398" s="12" t="s">
        <v>291</v>
      </c>
      <c r="X398" s="12" t="s">
        <v>292</v>
      </c>
      <c r="Y398" t="s">
        <v>1720</v>
      </c>
      <c r="Z398" s="12"/>
      <c r="AA398" s="12"/>
      <c r="AB398" s="12"/>
      <c r="AC398" t="s">
        <v>2125</v>
      </c>
      <c r="AD398" t="str">
        <f>SUBSTITUTE(Master_Reference[[#This Row],[C-Flex 4000K Eco Part Number]],"40-","xx-")</f>
        <v>RP-T5-4FT-2L-8xx-E1-M-G2</v>
      </c>
      <c r="AE398" t="str">
        <f>SUBSTITUTE(Master_Reference[[#This Row],[C-Flex 4000K 3W Part Number]],"40-","xx-")</f>
        <v/>
      </c>
      <c r="AF398" s="1" t="str">
        <f>_xlfn.IFNA(VLOOKUP(Master_Reference[[#This Row],[C-Flex 3000K Eco Part Number]],Lutron_CFlex_Lookup[],MATCH("Lutron Kit PN",Lutron_CFlex_Lookup[#Headers],0),FALSE),"")</f>
        <v>ELD4T5-2M30-q</v>
      </c>
      <c r="AG398" s="1" t="str">
        <f>_xlfn.IFNA(VLOOKUP(Master_Reference[[#This Row],[C-Flex 3500K Eco Part Number]],Lutron_CFlex_Lookup[],MATCH("Lutron Kit PN",Lutron_CFlex_Lookup[#Headers],0),FALSE),"")</f>
        <v>ELD4T5-2M35-q</v>
      </c>
      <c r="AH398" s="1" t="str">
        <f>_xlfn.IFNA(VLOOKUP(Master_Reference[[#This Row],[C-Flex 4000K Eco Part Number]],Lutron_CFlex_Lookup[],MATCH("Lutron Kit PN",Lutron_CFlex_Lookup[#Headers],0),FALSE),"")</f>
        <v>ELD4T5-2M40-q</v>
      </c>
      <c r="AI398" s="1" t="str">
        <f>_xlfn.IFNA(VLOOKUP(Master_Reference[[#This Row],[C-Flex 5000K Eco Part Number]],Lutron_CFlex_Lookup[],MATCH("Lutron Kit PN",Lutron_CFlex_Lookup[#Headers],0),FALSE),"")</f>
        <v>ELD4T5-2M50-q</v>
      </c>
      <c r="AJ398" s="1" t="str">
        <f>_xlfn.IFNA(VLOOKUP(Master_Reference[[#This Row],[C-Flex 3000K 3W Part Number]],Lutron_CFlex_Lookup[],MATCH("Lutron Kit PN",Lutron_CFlex_Lookup[#Headers],0),FALSE),"")</f>
        <v/>
      </c>
      <c r="AK398" s="1" t="str">
        <f>_xlfn.IFNA(VLOOKUP(Master_Reference[[#This Row],[C-Flex 3500K 3W Part Number]],Lutron_CFlex_Lookup[],MATCH("Lutron Kit PN",Lutron_CFlex_Lookup[#Headers],0),FALSE),"")</f>
        <v/>
      </c>
      <c r="AL398" s="1" t="str">
        <f>_xlfn.IFNA(VLOOKUP(Master_Reference[[#This Row],[C-Flex 4000K 3W Part Number]],Lutron_CFlex_Lookup[],MATCH("Lutron Kit PN",Lutron_CFlex_Lookup[#Headers],0),FALSE),"")</f>
        <v/>
      </c>
      <c r="AM398" s="1" t="str">
        <f>_xlfn.IFNA(VLOOKUP(Master_Reference[[#This Row],[C-Flex 5000K 3W Part Number]],Lutron_CFlex_Lookup[],MATCH("Lutron Kit PN",Lutron_CFlex_Lookup[#Headers],0),FALSE),"")</f>
        <v/>
      </c>
      <c r="AN398" s="1" t="b">
        <f>NOT(ISNA(VLOOKUP(Master_Reference[[#This Row],[Model Number]],ObsoleteModels[],1,FALSE)))</f>
        <v>1</v>
      </c>
      <c r="AO398" s="1" t="str">
        <f>IF(LEFT(Master_Reference[[#This Row],[Model Number]],1)="U",LEFT(Master_Reference[[#This Row],[Model Number]],4),LEFT(Master_Reference[[#This Row],[Model Number]],3))</f>
        <v>EHD</v>
      </c>
    </row>
    <row r="399" spans="1:41" x14ac:dyDescent="0.25">
      <c r="A399" s="2" t="s">
        <v>680</v>
      </c>
      <c r="B399" s="1" t="b">
        <v>1</v>
      </c>
      <c r="G399" s="1" t="b">
        <v>1</v>
      </c>
      <c r="H399" s="1" t="str">
        <f>IF(LEFT(Master_Reference[[#This Row],[Model Number]],1)="U",TRUE,"")</f>
        <v/>
      </c>
      <c r="I399" s="1" t="str">
        <f>IF(Master_Reference[[#This Row],[Lamp Type]]="T4","",IF(Master_Reference[[#This Row],[Case Type]]="M","",TRUE))</f>
        <v/>
      </c>
      <c r="J399" s="1" t="str">
        <f>RIGHT(LEFT(A399,5),2)</f>
        <v>T5</v>
      </c>
      <c r="K399" s="1">
        <v>25</v>
      </c>
      <c r="L399" s="1" t="s">
        <v>118</v>
      </c>
      <c r="M399" s="1">
        <v>2</v>
      </c>
      <c r="N399" s="1" t="s">
        <v>149</v>
      </c>
      <c r="O399" s="1" t="s">
        <v>632</v>
      </c>
      <c r="Q399" s="1" t="s">
        <v>91</v>
      </c>
      <c r="R399" t="b">
        <f>IF(COUNTBLANK(Master_Reference[[#This Row],[C-Flex 3000K Eco Part Number]:[C-Flex 4000K Eco Part Number]])=3,FALSE,TRUE)</f>
        <v>0</v>
      </c>
      <c r="S399" t="b">
        <f>IF(COUNTBLANK(Master_Reference[[#This Row],[C-Flex 3000K 3W Part Number]:[C-Flex 4000K 3W Part Number]])=3,FALSE,TRUE)</f>
        <v>0</v>
      </c>
      <c r="T399" t="b">
        <f>IF(COUNTBLANK(Master_Reference[[#This Row],[Lutron 3000K Eco Part Number]:[Lutron 4000K Eco Part Number]])=3,FALSE,TRUE)</f>
        <v>0</v>
      </c>
      <c r="U399" t="b">
        <f>IF(COUNTBLANK(Master_Reference[[#This Row],[Lutron 3000K 3W Part Number]:[Lutron 4000K 3W Part Number]])=3,FALSE,TRUE)</f>
        <v>0</v>
      </c>
      <c r="V399" s="12"/>
      <c r="W399" s="12"/>
      <c r="X399" s="12"/>
      <c r="Y399" t="s">
        <v>2125</v>
      </c>
      <c r="Z399" s="12"/>
      <c r="AA399" s="12"/>
      <c r="AB399" s="12"/>
      <c r="AC399" t="s">
        <v>2125</v>
      </c>
      <c r="AD399" t="str">
        <f>SUBSTITUTE(Master_Reference[[#This Row],[C-Flex 4000K Eco Part Number]],"40-","xx-")</f>
        <v/>
      </c>
      <c r="AE399" t="str">
        <f>SUBSTITUTE(Master_Reference[[#This Row],[C-Flex 4000K 3W Part Number]],"40-","xx-")</f>
        <v/>
      </c>
      <c r="AF399" s="1" t="str">
        <f>_xlfn.IFNA(VLOOKUP(Master_Reference[[#This Row],[C-Flex 3000K Eco Part Number]],Lutron_CFlex_Lookup[],MATCH("Lutron Kit PN",Lutron_CFlex_Lookup[#Headers],0),FALSE),"")</f>
        <v/>
      </c>
      <c r="AG399" s="1" t="str">
        <f>_xlfn.IFNA(VLOOKUP(Master_Reference[[#This Row],[C-Flex 3500K Eco Part Number]],Lutron_CFlex_Lookup[],MATCH("Lutron Kit PN",Lutron_CFlex_Lookup[#Headers],0),FALSE),"")</f>
        <v/>
      </c>
      <c r="AH399" s="1" t="str">
        <f>_xlfn.IFNA(VLOOKUP(Master_Reference[[#This Row],[C-Flex 4000K Eco Part Number]],Lutron_CFlex_Lookup[],MATCH("Lutron Kit PN",Lutron_CFlex_Lookup[#Headers],0),FALSE),"")</f>
        <v/>
      </c>
      <c r="AI399" s="1" t="str">
        <f>_xlfn.IFNA(VLOOKUP(Master_Reference[[#This Row],[C-Flex 5000K Eco Part Number]],Lutron_CFlex_Lookup[],MATCH("Lutron Kit PN",Lutron_CFlex_Lookup[#Headers],0),FALSE),"")</f>
        <v/>
      </c>
      <c r="AJ399" s="1" t="str">
        <f>_xlfn.IFNA(VLOOKUP(Master_Reference[[#This Row],[C-Flex 3000K 3W Part Number]],Lutron_CFlex_Lookup[],MATCH("Lutron Kit PN",Lutron_CFlex_Lookup[#Headers],0),FALSE),"")</f>
        <v/>
      </c>
      <c r="AK399" s="1" t="str">
        <f>_xlfn.IFNA(VLOOKUP(Master_Reference[[#This Row],[C-Flex 3500K 3W Part Number]],Lutron_CFlex_Lookup[],MATCH("Lutron Kit PN",Lutron_CFlex_Lookup[#Headers],0),FALSE),"")</f>
        <v/>
      </c>
      <c r="AL399" s="1" t="str">
        <f>_xlfn.IFNA(VLOOKUP(Master_Reference[[#This Row],[C-Flex 4000K 3W Part Number]],Lutron_CFlex_Lookup[],MATCH("Lutron Kit PN",Lutron_CFlex_Lookup[#Headers],0),FALSE),"")</f>
        <v/>
      </c>
      <c r="AM399" s="1" t="str">
        <f>_xlfn.IFNA(VLOOKUP(Master_Reference[[#This Row],[C-Flex 5000K 3W Part Number]],Lutron_CFlex_Lookup[],MATCH("Lutron Kit PN",Lutron_CFlex_Lookup[#Headers],0),FALSE),"")</f>
        <v/>
      </c>
      <c r="AN399" s="1" t="b">
        <f>NOT(ISNA(VLOOKUP(Master_Reference[[#This Row],[Model Number]],ObsoleteModels[],1,FALSE)))</f>
        <v>1</v>
      </c>
      <c r="AO399" s="1" t="str">
        <f>IF(LEFT(Master_Reference[[#This Row],[Model Number]],1)="U",LEFT(Master_Reference[[#This Row],[Model Number]],4),LEFT(Master_Reference[[#This Row],[Model Number]],3))</f>
        <v>EHD</v>
      </c>
    </row>
    <row r="400" spans="1:41" x14ac:dyDescent="0.25">
      <c r="A400" s="2" t="s">
        <v>681</v>
      </c>
      <c r="B400" s="1" t="b">
        <v>1</v>
      </c>
      <c r="G400" s="1" t="str">
        <f>IF(OR(LEFT(RIGHT(Master_Reference[[#This Row],[Model Number]],3),1)="C",LEFT(RIGHT(Master_Reference[[#This Row],[Model Number]],4),1)="C"),TRUE,"")</f>
        <v/>
      </c>
      <c r="H400" s="1" t="str">
        <f>IF(LEFT(Master_Reference[[#This Row],[Model Number]],1)="U",TRUE,"")</f>
        <v/>
      </c>
      <c r="I400" s="1" t="b">
        <f>IF(Master_Reference[[#This Row],[Lamp Type]]="T4","",IF(Master_Reference[[#This Row],[Case Type]]="M","",TRUE))</f>
        <v>1</v>
      </c>
      <c r="J400" s="1" t="s">
        <v>123</v>
      </c>
      <c r="K400" s="1">
        <v>28</v>
      </c>
      <c r="L400" s="1" t="s">
        <v>118</v>
      </c>
      <c r="M400" s="1">
        <v>1</v>
      </c>
      <c r="N400" s="1">
        <v>347</v>
      </c>
      <c r="O400" s="1" t="s">
        <v>113</v>
      </c>
      <c r="Q400" s="1" t="s">
        <v>535</v>
      </c>
      <c r="R400" t="b">
        <f>IF(COUNTBLANK(Master_Reference[[#This Row],[C-Flex 3000K Eco Part Number]:[C-Flex 4000K Eco Part Number]])=3,FALSE,TRUE)</f>
        <v>0</v>
      </c>
      <c r="S400" t="b">
        <f>IF(COUNTBLANK(Master_Reference[[#This Row],[C-Flex 3000K 3W Part Number]:[C-Flex 4000K 3W Part Number]])=3,FALSE,TRUE)</f>
        <v>0</v>
      </c>
      <c r="T400" t="b">
        <f>IF(COUNTBLANK(Master_Reference[[#This Row],[Lutron 3000K Eco Part Number]:[Lutron 4000K Eco Part Number]])=3,FALSE,TRUE)</f>
        <v>0</v>
      </c>
      <c r="U400" t="b">
        <f>IF(COUNTBLANK(Master_Reference[[#This Row],[Lutron 3000K 3W Part Number]:[Lutron 4000K 3W Part Number]])=3,FALSE,TRUE)</f>
        <v>0</v>
      </c>
      <c r="V400" s="12"/>
      <c r="W400" s="12"/>
      <c r="X400" s="12"/>
      <c r="Y400" t="s">
        <v>2125</v>
      </c>
      <c r="Z400" s="12"/>
      <c r="AA400" s="12"/>
      <c r="AB400" s="12"/>
      <c r="AC400" t="s">
        <v>2125</v>
      </c>
      <c r="AD400" t="str">
        <f>SUBSTITUTE(Master_Reference[[#This Row],[C-Flex 4000K Eco Part Number]],"40-","xx-")</f>
        <v/>
      </c>
      <c r="AE400" t="str">
        <f>SUBSTITUTE(Master_Reference[[#This Row],[C-Flex 4000K 3W Part Number]],"40-","xx-")</f>
        <v/>
      </c>
      <c r="AF400" s="1" t="str">
        <f>_xlfn.IFNA(VLOOKUP(Master_Reference[[#This Row],[C-Flex 3000K Eco Part Number]],Lutron_CFlex_Lookup[],MATCH("Lutron Kit PN",Lutron_CFlex_Lookup[#Headers],0),FALSE),"")</f>
        <v/>
      </c>
      <c r="AG400" s="1" t="str">
        <f>_xlfn.IFNA(VLOOKUP(Master_Reference[[#This Row],[C-Flex 3500K Eco Part Number]],Lutron_CFlex_Lookup[],MATCH("Lutron Kit PN",Lutron_CFlex_Lookup[#Headers],0),FALSE),"")</f>
        <v/>
      </c>
      <c r="AH400" s="1" t="str">
        <f>_xlfn.IFNA(VLOOKUP(Master_Reference[[#This Row],[C-Flex 4000K Eco Part Number]],Lutron_CFlex_Lookup[],MATCH("Lutron Kit PN",Lutron_CFlex_Lookup[#Headers],0),FALSE),"")</f>
        <v/>
      </c>
      <c r="AI400" s="1" t="str">
        <f>_xlfn.IFNA(VLOOKUP(Master_Reference[[#This Row],[C-Flex 5000K Eco Part Number]],Lutron_CFlex_Lookup[],MATCH("Lutron Kit PN",Lutron_CFlex_Lookup[#Headers],0),FALSE),"")</f>
        <v/>
      </c>
      <c r="AJ400" s="1" t="str">
        <f>_xlfn.IFNA(VLOOKUP(Master_Reference[[#This Row],[C-Flex 3000K 3W Part Number]],Lutron_CFlex_Lookup[],MATCH("Lutron Kit PN",Lutron_CFlex_Lookup[#Headers],0),FALSE),"")</f>
        <v/>
      </c>
      <c r="AK400" s="1" t="str">
        <f>_xlfn.IFNA(VLOOKUP(Master_Reference[[#This Row],[C-Flex 3500K 3W Part Number]],Lutron_CFlex_Lookup[],MATCH("Lutron Kit PN",Lutron_CFlex_Lookup[#Headers],0),FALSE),"")</f>
        <v/>
      </c>
      <c r="AL400" s="1" t="str">
        <f>_xlfn.IFNA(VLOOKUP(Master_Reference[[#This Row],[C-Flex 4000K 3W Part Number]],Lutron_CFlex_Lookup[],MATCH("Lutron Kit PN",Lutron_CFlex_Lookup[#Headers],0),FALSE),"")</f>
        <v/>
      </c>
      <c r="AM400" s="1" t="str">
        <f>_xlfn.IFNA(VLOOKUP(Master_Reference[[#This Row],[C-Flex 5000K 3W Part Number]],Lutron_CFlex_Lookup[],MATCH("Lutron Kit PN",Lutron_CFlex_Lookup[#Headers],0),FALSE),"")</f>
        <v/>
      </c>
      <c r="AN400" s="1" t="b">
        <f>NOT(ISNA(VLOOKUP(Master_Reference[[#This Row],[Model Number]],ObsoleteModels[],1,FALSE)))</f>
        <v>1</v>
      </c>
      <c r="AO400" s="1" t="str">
        <f>IF(LEFT(Master_Reference[[#This Row],[Model Number]],1)="U",LEFT(Master_Reference[[#This Row],[Model Number]],4),LEFT(Master_Reference[[#This Row],[Model Number]],3))</f>
        <v>EHD</v>
      </c>
    </row>
    <row r="401" spans="1:41" x14ac:dyDescent="0.25">
      <c r="A401" s="2" t="s">
        <v>682</v>
      </c>
      <c r="B401" s="1" t="b">
        <v>1</v>
      </c>
      <c r="G401" s="1" t="str">
        <f>IF(OR(LEFT(RIGHT(Master_Reference[[#This Row],[Model Number]],3),1)="C",LEFT(RIGHT(Master_Reference[[#This Row],[Model Number]],4),1)="C"),TRUE,"")</f>
        <v/>
      </c>
      <c r="H401" s="1" t="str">
        <f>IF(LEFT(Master_Reference[[#This Row],[Model Number]],1)="U",TRUE,"")</f>
        <v/>
      </c>
      <c r="I401" s="1" t="b">
        <f>IF(Master_Reference[[#This Row],[Lamp Type]]="T4","",IF(Master_Reference[[#This Row],[Case Type]]="M","",TRUE))</f>
        <v>1</v>
      </c>
      <c r="J401" s="1" t="s">
        <v>123</v>
      </c>
      <c r="K401" s="1">
        <v>28</v>
      </c>
      <c r="L401" s="1" t="s">
        <v>118</v>
      </c>
      <c r="M401" s="1">
        <v>2</v>
      </c>
      <c r="N401" s="1">
        <v>347</v>
      </c>
      <c r="O401" s="1" t="s">
        <v>113</v>
      </c>
      <c r="Q401" s="1" t="s">
        <v>535</v>
      </c>
      <c r="R401" t="b">
        <f>IF(COUNTBLANK(Master_Reference[[#This Row],[C-Flex 3000K Eco Part Number]:[C-Flex 4000K Eco Part Number]])=3,FALSE,TRUE)</f>
        <v>0</v>
      </c>
      <c r="S401" t="b">
        <f>IF(COUNTBLANK(Master_Reference[[#This Row],[C-Flex 3000K 3W Part Number]:[C-Flex 4000K 3W Part Number]])=3,FALSE,TRUE)</f>
        <v>0</v>
      </c>
      <c r="T401" t="b">
        <f>IF(COUNTBLANK(Master_Reference[[#This Row],[Lutron 3000K Eco Part Number]:[Lutron 4000K Eco Part Number]])=3,FALSE,TRUE)</f>
        <v>0</v>
      </c>
      <c r="U401" t="b">
        <f>IF(COUNTBLANK(Master_Reference[[#This Row],[Lutron 3000K 3W Part Number]:[Lutron 4000K 3W Part Number]])=3,FALSE,TRUE)</f>
        <v>0</v>
      </c>
      <c r="V401" s="12"/>
      <c r="W401" s="12"/>
      <c r="X401" s="12"/>
      <c r="Y401" t="s">
        <v>2125</v>
      </c>
      <c r="Z401" s="12"/>
      <c r="AA401" s="12"/>
      <c r="AB401" s="12"/>
      <c r="AC401" t="s">
        <v>2125</v>
      </c>
      <c r="AD401" t="str">
        <f>SUBSTITUTE(Master_Reference[[#This Row],[C-Flex 4000K Eco Part Number]],"40-","xx-")</f>
        <v/>
      </c>
      <c r="AE401" t="str">
        <f>SUBSTITUTE(Master_Reference[[#This Row],[C-Flex 4000K 3W Part Number]],"40-","xx-")</f>
        <v/>
      </c>
      <c r="AF401" s="1" t="str">
        <f>_xlfn.IFNA(VLOOKUP(Master_Reference[[#This Row],[C-Flex 3000K Eco Part Number]],Lutron_CFlex_Lookup[],MATCH("Lutron Kit PN",Lutron_CFlex_Lookup[#Headers],0),FALSE),"")</f>
        <v/>
      </c>
      <c r="AG401" s="1" t="str">
        <f>_xlfn.IFNA(VLOOKUP(Master_Reference[[#This Row],[C-Flex 3500K Eco Part Number]],Lutron_CFlex_Lookup[],MATCH("Lutron Kit PN",Lutron_CFlex_Lookup[#Headers],0),FALSE),"")</f>
        <v/>
      </c>
      <c r="AH401" s="1" t="str">
        <f>_xlfn.IFNA(VLOOKUP(Master_Reference[[#This Row],[C-Flex 4000K Eco Part Number]],Lutron_CFlex_Lookup[],MATCH("Lutron Kit PN",Lutron_CFlex_Lookup[#Headers],0),FALSE),"")</f>
        <v/>
      </c>
      <c r="AI401" s="1" t="str">
        <f>_xlfn.IFNA(VLOOKUP(Master_Reference[[#This Row],[C-Flex 5000K Eco Part Number]],Lutron_CFlex_Lookup[],MATCH("Lutron Kit PN",Lutron_CFlex_Lookup[#Headers],0),FALSE),"")</f>
        <v/>
      </c>
      <c r="AJ401" s="1" t="str">
        <f>_xlfn.IFNA(VLOOKUP(Master_Reference[[#This Row],[C-Flex 3000K 3W Part Number]],Lutron_CFlex_Lookup[],MATCH("Lutron Kit PN",Lutron_CFlex_Lookup[#Headers],0),FALSE),"")</f>
        <v/>
      </c>
      <c r="AK401" s="1" t="str">
        <f>_xlfn.IFNA(VLOOKUP(Master_Reference[[#This Row],[C-Flex 3500K 3W Part Number]],Lutron_CFlex_Lookup[],MATCH("Lutron Kit PN",Lutron_CFlex_Lookup[#Headers],0),FALSE),"")</f>
        <v/>
      </c>
      <c r="AL401" s="1" t="str">
        <f>_xlfn.IFNA(VLOOKUP(Master_Reference[[#This Row],[C-Flex 4000K 3W Part Number]],Lutron_CFlex_Lookup[],MATCH("Lutron Kit PN",Lutron_CFlex_Lookup[#Headers],0),FALSE),"")</f>
        <v/>
      </c>
      <c r="AM401" s="1" t="str">
        <f>_xlfn.IFNA(VLOOKUP(Master_Reference[[#This Row],[C-Flex 5000K 3W Part Number]],Lutron_CFlex_Lookup[],MATCH("Lutron Kit PN",Lutron_CFlex_Lookup[#Headers],0),FALSE),"")</f>
        <v/>
      </c>
      <c r="AN401" s="1" t="b">
        <f>NOT(ISNA(VLOOKUP(Master_Reference[[#This Row],[Model Number]],ObsoleteModels[],1,FALSE)))</f>
        <v>1</v>
      </c>
      <c r="AO401" s="1" t="str">
        <f>IF(LEFT(Master_Reference[[#This Row],[Model Number]],1)="U",LEFT(Master_Reference[[#This Row],[Model Number]],4),LEFT(Master_Reference[[#This Row],[Model Number]],3))</f>
        <v>EHD</v>
      </c>
    </row>
    <row r="402" spans="1:41" x14ac:dyDescent="0.25">
      <c r="A402" s="2" t="s">
        <v>683</v>
      </c>
      <c r="B402" s="1" t="b">
        <v>1</v>
      </c>
      <c r="G402" s="1" t="str">
        <f>IF(OR(LEFT(RIGHT(Master_Reference[[#This Row],[Model Number]],3),1)="C",LEFT(RIGHT(Master_Reference[[#This Row],[Model Number]],4),1)="C"),TRUE,"")</f>
        <v/>
      </c>
      <c r="H402" s="1" t="str">
        <f>IF(LEFT(Master_Reference[[#This Row],[Model Number]],1)="U",TRUE,"")</f>
        <v/>
      </c>
      <c r="I402" s="1" t="b">
        <f>IF(Master_Reference[[#This Row],[Lamp Type]]="T4","",IF(Master_Reference[[#This Row],[Case Type]]="M","",TRUE))</f>
        <v>1</v>
      </c>
      <c r="J402" s="1" t="s">
        <v>123</v>
      </c>
      <c r="K402" s="1">
        <v>28</v>
      </c>
      <c r="L402" s="1" t="s">
        <v>118</v>
      </c>
      <c r="M402" s="1">
        <v>1</v>
      </c>
      <c r="N402" s="1" t="s">
        <v>149</v>
      </c>
      <c r="O402" s="1" t="s">
        <v>113</v>
      </c>
      <c r="R402" t="b">
        <f>IF(COUNTBLANK(Master_Reference[[#This Row],[C-Flex 3000K Eco Part Number]:[C-Flex 4000K Eco Part Number]])=3,FALSE,TRUE)</f>
        <v>1</v>
      </c>
      <c r="S402" t="b">
        <f>IF(COUNTBLANK(Master_Reference[[#This Row],[C-Flex 3000K 3W Part Number]:[C-Flex 4000K 3W Part Number]])=3,FALSE,TRUE)</f>
        <v>0</v>
      </c>
      <c r="T402" t="b">
        <f>IF(COUNTBLANK(Master_Reference[[#This Row],[Lutron 3000K Eco Part Number]:[Lutron 4000K Eco Part Number]])=3,FALSE,TRUE)</f>
        <v>1</v>
      </c>
      <c r="U402" t="b">
        <f>IF(COUNTBLANK(Master_Reference[[#This Row],[Lutron 3000K 3W Part Number]:[Lutron 4000K 3W Part Number]])=3,FALSE,TRUE)</f>
        <v>0</v>
      </c>
      <c r="V402" s="12" t="s">
        <v>283</v>
      </c>
      <c r="W402" s="12" t="s">
        <v>284</v>
      </c>
      <c r="X402" s="12" t="s">
        <v>285</v>
      </c>
      <c r="Y402" t="s">
        <v>1719</v>
      </c>
      <c r="Z402" s="12"/>
      <c r="AA402" s="12"/>
      <c r="AB402" s="12"/>
      <c r="AC402" t="s">
        <v>2125</v>
      </c>
      <c r="AD402" t="str">
        <f>SUBSTITUTE(Master_Reference[[#This Row],[C-Flex 4000K Eco Part Number]],"40-","xx-")</f>
        <v>RP-T5-4FT-1L-8xx-E1-M-G2</v>
      </c>
      <c r="AE402" t="str">
        <f>SUBSTITUTE(Master_Reference[[#This Row],[C-Flex 4000K 3W Part Number]],"40-","xx-")</f>
        <v/>
      </c>
      <c r="AF402" s="1" t="str">
        <f>_xlfn.IFNA(VLOOKUP(Master_Reference[[#This Row],[C-Flex 3000K Eco Part Number]],Lutron_CFlex_Lookup[],MATCH("Lutron Kit PN",Lutron_CFlex_Lookup[#Headers],0),FALSE),"")</f>
        <v>ELD4T5-1M30-q</v>
      </c>
      <c r="AG402" s="1" t="str">
        <f>_xlfn.IFNA(VLOOKUP(Master_Reference[[#This Row],[C-Flex 3500K Eco Part Number]],Lutron_CFlex_Lookup[],MATCH("Lutron Kit PN",Lutron_CFlex_Lookup[#Headers],0),FALSE),"")</f>
        <v>ELD4T5-1M35-q</v>
      </c>
      <c r="AH402" s="1" t="str">
        <f>_xlfn.IFNA(VLOOKUP(Master_Reference[[#This Row],[C-Flex 4000K Eco Part Number]],Lutron_CFlex_Lookup[],MATCH("Lutron Kit PN",Lutron_CFlex_Lookup[#Headers],0),FALSE),"")</f>
        <v>ELD4T5-1M40-q</v>
      </c>
      <c r="AI402" s="1" t="str">
        <f>_xlfn.IFNA(VLOOKUP(Master_Reference[[#This Row],[C-Flex 5000K Eco Part Number]],Lutron_CFlex_Lookup[],MATCH("Lutron Kit PN",Lutron_CFlex_Lookup[#Headers],0),FALSE),"")</f>
        <v>ELD4T5-1M50-q</v>
      </c>
      <c r="AJ402" s="1" t="str">
        <f>_xlfn.IFNA(VLOOKUP(Master_Reference[[#This Row],[C-Flex 3000K 3W Part Number]],Lutron_CFlex_Lookup[],MATCH("Lutron Kit PN",Lutron_CFlex_Lookup[#Headers],0),FALSE),"")</f>
        <v/>
      </c>
      <c r="AK402" s="1" t="str">
        <f>_xlfn.IFNA(VLOOKUP(Master_Reference[[#This Row],[C-Flex 3500K 3W Part Number]],Lutron_CFlex_Lookup[],MATCH("Lutron Kit PN",Lutron_CFlex_Lookup[#Headers],0),FALSE),"")</f>
        <v/>
      </c>
      <c r="AL402" s="1" t="str">
        <f>_xlfn.IFNA(VLOOKUP(Master_Reference[[#This Row],[C-Flex 4000K 3W Part Number]],Lutron_CFlex_Lookup[],MATCH("Lutron Kit PN",Lutron_CFlex_Lookup[#Headers],0),FALSE),"")</f>
        <v/>
      </c>
      <c r="AM402" s="1" t="str">
        <f>_xlfn.IFNA(VLOOKUP(Master_Reference[[#This Row],[C-Flex 5000K 3W Part Number]],Lutron_CFlex_Lookup[],MATCH("Lutron Kit PN",Lutron_CFlex_Lookup[#Headers],0),FALSE),"")</f>
        <v/>
      </c>
      <c r="AN402" s="1" t="b">
        <f>NOT(ISNA(VLOOKUP(Master_Reference[[#This Row],[Model Number]],ObsoleteModels[],1,FALSE)))</f>
        <v>1</v>
      </c>
      <c r="AO402" s="1" t="str">
        <f>IF(LEFT(Master_Reference[[#This Row],[Model Number]],1)="U",LEFT(Master_Reference[[#This Row],[Model Number]],4),LEFT(Master_Reference[[#This Row],[Model Number]],3))</f>
        <v>EHD</v>
      </c>
    </row>
    <row r="403" spans="1:41" x14ac:dyDescent="0.25">
      <c r="A403" s="2" t="s">
        <v>684</v>
      </c>
      <c r="B403" s="1" t="b">
        <v>1</v>
      </c>
      <c r="G403" s="1" t="str">
        <f>IF(OR(LEFT(RIGHT(Master_Reference[[#This Row],[Model Number]],3),1)="C",LEFT(RIGHT(Master_Reference[[#This Row],[Model Number]],4),1)="C"),TRUE,"")</f>
        <v/>
      </c>
      <c r="H403" s="1" t="str">
        <f>IF(LEFT(Master_Reference[[#This Row],[Model Number]],1)="U",TRUE,"")</f>
        <v/>
      </c>
      <c r="I403" s="1" t="b">
        <f>IF(Master_Reference[[#This Row],[Lamp Type]]="T4","",IF(Master_Reference[[#This Row],[Case Type]]="M","",TRUE))</f>
        <v>1</v>
      </c>
      <c r="J403" s="1" t="s">
        <v>123</v>
      </c>
      <c r="K403" s="1">
        <v>28</v>
      </c>
      <c r="L403" s="1" t="s">
        <v>118</v>
      </c>
      <c r="M403" s="1">
        <v>1</v>
      </c>
      <c r="N403" s="1" t="s">
        <v>149</v>
      </c>
      <c r="O403" s="1" t="s">
        <v>113</v>
      </c>
      <c r="R403" t="b">
        <f>IF(COUNTBLANK(Master_Reference[[#This Row],[C-Flex 3000K Eco Part Number]:[C-Flex 4000K Eco Part Number]])=3,FALSE,TRUE)</f>
        <v>1</v>
      </c>
      <c r="S403" t="b">
        <f>IF(COUNTBLANK(Master_Reference[[#This Row],[C-Flex 3000K 3W Part Number]:[C-Flex 4000K 3W Part Number]])=3,FALSE,TRUE)</f>
        <v>0</v>
      </c>
      <c r="T403" t="b">
        <f>IF(COUNTBLANK(Master_Reference[[#This Row],[Lutron 3000K Eco Part Number]:[Lutron 4000K Eco Part Number]])=3,FALSE,TRUE)</f>
        <v>1</v>
      </c>
      <c r="U403" t="b">
        <f>IF(COUNTBLANK(Master_Reference[[#This Row],[Lutron 3000K 3W Part Number]:[Lutron 4000K 3W Part Number]])=3,FALSE,TRUE)</f>
        <v>0</v>
      </c>
      <c r="V403" s="12" t="s">
        <v>283</v>
      </c>
      <c r="W403" s="12" t="s">
        <v>284</v>
      </c>
      <c r="X403" s="12" t="s">
        <v>285</v>
      </c>
      <c r="Y403" t="s">
        <v>1719</v>
      </c>
      <c r="Z403" s="12"/>
      <c r="AA403" s="12"/>
      <c r="AB403" s="12"/>
      <c r="AC403" t="s">
        <v>2125</v>
      </c>
      <c r="AD403" t="str">
        <f>SUBSTITUTE(Master_Reference[[#This Row],[C-Flex 4000K Eco Part Number]],"40-","xx-")</f>
        <v>RP-T5-4FT-1L-8xx-E1-M-G2</v>
      </c>
      <c r="AE403" t="str">
        <f>SUBSTITUTE(Master_Reference[[#This Row],[C-Flex 4000K 3W Part Number]],"40-","xx-")</f>
        <v/>
      </c>
      <c r="AF403" s="1" t="str">
        <f>_xlfn.IFNA(VLOOKUP(Master_Reference[[#This Row],[C-Flex 3000K Eco Part Number]],Lutron_CFlex_Lookup[],MATCH("Lutron Kit PN",Lutron_CFlex_Lookup[#Headers],0),FALSE),"")</f>
        <v>ELD4T5-1M30-q</v>
      </c>
      <c r="AG403" s="1" t="str">
        <f>_xlfn.IFNA(VLOOKUP(Master_Reference[[#This Row],[C-Flex 3500K Eco Part Number]],Lutron_CFlex_Lookup[],MATCH("Lutron Kit PN",Lutron_CFlex_Lookup[#Headers],0),FALSE),"")</f>
        <v>ELD4T5-1M35-q</v>
      </c>
      <c r="AH403" s="1" t="str">
        <f>_xlfn.IFNA(VLOOKUP(Master_Reference[[#This Row],[C-Flex 4000K Eco Part Number]],Lutron_CFlex_Lookup[],MATCH("Lutron Kit PN",Lutron_CFlex_Lookup[#Headers],0),FALSE),"")</f>
        <v>ELD4T5-1M40-q</v>
      </c>
      <c r="AI403" s="1" t="str">
        <f>_xlfn.IFNA(VLOOKUP(Master_Reference[[#This Row],[C-Flex 5000K Eco Part Number]],Lutron_CFlex_Lookup[],MATCH("Lutron Kit PN",Lutron_CFlex_Lookup[#Headers],0),FALSE),"")</f>
        <v>ELD4T5-1M50-q</v>
      </c>
      <c r="AJ403" s="1" t="str">
        <f>_xlfn.IFNA(VLOOKUP(Master_Reference[[#This Row],[C-Flex 3000K 3W Part Number]],Lutron_CFlex_Lookup[],MATCH("Lutron Kit PN",Lutron_CFlex_Lookup[#Headers],0),FALSE),"")</f>
        <v/>
      </c>
      <c r="AK403" s="1" t="str">
        <f>_xlfn.IFNA(VLOOKUP(Master_Reference[[#This Row],[C-Flex 3500K 3W Part Number]],Lutron_CFlex_Lookup[],MATCH("Lutron Kit PN",Lutron_CFlex_Lookup[#Headers],0),FALSE),"")</f>
        <v/>
      </c>
      <c r="AL403" s="1" t="str">
        <f>_xlfn.IFNA(VLOOKUP(Master_Reference[[#This Row],[C-Flex 4000K 3W Part Number]],Lutron_CFlex_Lookup[],MATCH("Lutron Kit PN",Lutron_CFlex_Lookup[#Headers],0),FALSE),"")</f>
        <v/>
      </c>
      <c r="AM403" s="1" t="str">
        <f>_xlfn.IFNA(VLOOKUP(Master_Reference[[#This Row],[C-Flex 5000K 3W Part Number]],Lutron_CFlex_Lookup[],MATCH("Lutron Kit PN",Lutron_CFlex_Lookup[#Headers],0),FALSE),"")</f>
        <v/>
      </c>
      <c r="AN403" s="1" t="b">
        <f>NOT(ISNA(VLOOKUP(Master_Reference[[#This Row],[Model Number]],ObsoleteModels[],1,FALSE)))</f>
        <v>1</v>
      </c>
      <c r="AO403" s="1" t="str">
        <f>IF(LEFT(Master_Reference[[#This Row],[Model Number]],1)="U",LEFT(Master_Reference[[#This Row],[Model Number]],4),LEFT(Master_Reference[[#This Row],[Model Number]],3))</f>
        <v>EHD</v>
      </c>
    </row>
    <row r="404" spans="1:41" x14ac:dyDescent="0.25">
      <c r="A404" s="2" t="s">
        <v>685</v>
      </c>
      <c r="B404" s="1" t="b">
        <v>1</v>
      </c>
      <c r="G404" s="1" t="str">
        <f>IF(OR(LEFT(RIGHT(Master_Reference[[#This Row],[Model Number]],3),1)="C",LEFT(RIGHT(Master_Reference[[#This Row],[Model Number]],4),1)="C"),TRUE,"")</f>
        <v/>
      </c>
      <c r="H404" s="1" t="str">
        <f>IF(LEFT(Master_Reference[[#This Row],[Model Number]],1)="U",TRUE,"")</f>
        <v/>
      </c>
      <c r="I404" s="1" t="b">
        <f>IF(Master_Reference[[#This Row],[Lamp Type]]="T4","",IF(Master_Reference[[#This Row],[Case Type]]="M","",TRUE))</f>
        <v>1</v>
      </c>
      <c r="J404" s="1" t="s">
        <v>123</v>
      </c>
      <c r="K404" s="1">
        <v>28</v>
      </c>
      <c r="L404" s="1" t="s">
        <v>118</v>
      </c>
      <c r="M404" s="1">
        <v>2</v>
      </c>
      <c r="N404" s="1" t="s">
        <v>149</v>
      </c>
      <c r="O404" s="1" t="s">
        <v>113</v>
      </c>
      <c r="R404" t="b">
        <f>IF(COUNTBLANK(Master_Reference[[#This Row],[C-Flex 3000K Eco Part Number]:[C-Flex 4000K Eco Part Number]])=3,FALSE,TRUE)</f>
        <v>1</v>
      </c>
      <c r="S404" t="b">
        <f>IF(COUNTBLANK(Master_Reference[[#This Row],[C-Flex 3000K 3W Part Number]:[C-Flex 4000K 3W Part Number]])=3,FALSE,TRUE)</f>
        <v>0</v>
      </c>
      <c r="T404" t="b">
        <f>IF(COUNTBLANK(Master_Reference[[#This Row],[Lutron 3000K Eco Part Number]:[Lutron 4000K Eco Part Number]])=3,FALSE,TRUE)</f>
        <v>1</v>
      </c>
      <c r="U404" t="b">
        <f>IF(COUNTBLANK(Master_Reference[[#This Row],[Lutron 3000K 3W Part Number]:[Lutron 4000K 3W Part Number]])=3,FALSE,TRUE)</f>
        <v>0</v>
      </c>
      <c r="V404" s="12" t="s">
        <v>290</v>
      </c>
      <c r="W404" s="12" t="s">
        <v>291</v>
      </c>
      <c r="X404" s="12" t="s">
        <v>292</v>
      </c>
      <c r="Y404" t="s">
        <v>1720</v>
      </c>
      <c r="Z404" s="12"/>
      <c r="AA404" s="12"/>
      <c r="AB404" s="12"/>
      <c r="AC404" t="s">
        <v>2125</v>
      </c>
      <c r="AD404" t="str">
        <f>SUBSTITUTE(Master_Reference[[#This Row],[C-Flex 4000K Eco Part Number]],"40-","xx-")</f>
        <v>RP-T5-4FT-2L-8xx-E1-M-G2</v>
      </c>
      <c r="AE404" t="str">
        <f>SUBSTITUTE(Master_Reference[[#This Row],[C-Flex 4000K 3W Part Number]],"40-","xx-")</f>
        <v/>
      </c>
      <c r="AF404" s="1" t="str">
        <f>_xlfn.IFNA(VLOOKUP(Master_Reference[[#This Row],[C-Flex 3000K Eco Part Number]],Lutron_CFlex_Lookup[],MATCH("Lutron Kit PN",Lutron_CFlex_Lookup[#Headers],0),FALSE),"")</f>
        <v>ELD4T5-2M30-q</v>
      </c>
      <c r="AG404" s="1" t="str">
        <f>_xlfn.IFNA(VLOOKUP(Master_Reference[[#This Row],[C-Flex 3500K Eco Part Number]],Lutron_CFlex_Lookup[],MATCH("Lutron Kit PN",Lutron_CFlex_Lookup[#Headers],0),FALSE),"")</f>
        <v>ELD4T5-2M35-q</v>
      </c>
      <c r="AH404" s="1" t="str">
        <f>_xlfn.IFNA(VLOOKUP(Master_Reference[[#This Row],[C-Flex 4000K Eco Part Number]],Lutron_CFlex_Lookup[],MATCH("Lutron Kit PN",Lutron_CFlex_Lookup[#Headers],0),FALSE),"")</f>
        <v>ELD4T5-2M40-q</v>
      </c>
      <c r="AI404" s="1" t="str">
        <f>_xlfn.IFNA(VLOOKUP(Master_Reference[[#This Row],[C-Flex 5000K Eco Part Number]],Lutron_CFlex_Lookup[],MATCH("Lutron Kit PN",Lutron_CFlex_Lookup[#Headers],0),FALSE),"")</f>
        <v>ELD4T5-2M50-q</v>
      </c>
      <c r="AJ404" s="1" t="str">
        <f>_xlfn.IFNA(VLOOKUP(Master_Reference[[#This Row],[C-Flex 3000K 3W Part Number]],Lutron_CFlex_Lookup[],MATCH("Lutron Kit PN",Lutron_CFlex_Lookup[#Headers],0),FALSE),"")</f>
        <v/>
      </c>
      <c r="AK404" s="1" t="str">
        <f>_xlfn.IFNA(VLOOKUP(Master_Reference[[#This Row],[C-Flex 3500K 3W Part Number]],Lutron_CFlex_Lookup[],MATCH("Lutron Kit PN",Lutron_CFlex_Lookup[#Headers],0),FALSE),"")</f>
        <v/>
      </c>
      <c r="AL404" s="1" t="str">
        <f>_xlfn.IFNA(VLOOKUP(Master_Reference[[#This Row],[C-Flex 4000K 3W Part Number]],Lutron_CFlex_Lookup[],MATCH("Lutron Kit PN",Lutron_CFlex_Lookup[#Headers],0),FALSE),"")</f>
        <v/>
      </c>
      <c r="AM404" s="1" t="str">
        <f>_xlfn.IFNA(VLOOKUP(Master_Reference[[#This Row],[C-Flex 5000K 3W Part Number]],Lutron_CFlex_Lookup[],MATCH("Lutron Kit PN",Lutron_CFlex_Lookup[#Headers],0),FALSE),"")</f>
        <v/>
      </c>
      <c r="AN404" s="1" t="b">
        <f>NOT(ISNA(VLOOKUP(Master_Reference[[#This Row],[Model Number]],ObsoleteModels[],1,FALSE)))</f>
        <v>1</v>
      </c>
      <c r="AO404" s="1" t="str">
        <f>IF(LEFT(Master_Reference[[#This Row],[Model Number]],1)="U",LEFT(Master_Reference[[#This Row],[Model Number]],4),LEFT(Master_Reference[[#This Row],[Model Number]],3))</f>
        <v>EHD</v>
      </c>
    </row>
    <row r="405" spans="1:41" x14ac:dyDescent="0.25">
      <c r="A405" s="2" t="s">
        <v>686</v>
      </c>
      <c r="B405" s="1" t="b">
        <v>1</v>
      </c>
      <c r="G405" s="1" t="str">
        <f>IF(OR(LEFT(RIGHT(Master_Reference[[#This Row],[Model Number]],3),1)="C",LEFT(RIGHT(Master_Reference[[#This Row],[Model Number]],4),1)="C"),TRUE,"")</f>
        <v/>
      </c>
      <c r="H405" s="1" t="str">
        <f>IF(LEFT(Master_Reference[[#This Row],[Model Number]],1)="U",TRUE,"")</f>
        <v/>
      </c>
      <c r="I405" s="1" t="b">
        <f>IF(Master_Reference[[#This Row],[Lamp Type]]="T4","",IF(Master_Reference[[#This Row],[Case Type]]="M","",TRUE))</f>
        <v>1</v>
      </c>
      <c r="J405" s="1" t="s">
        <v>123</v>
      </c>
      <c r="K405" s="1">
        <v>28</v>
      </c>
      <c r="L405" s="1" t="s">
        <v>118</v>
      </c>
      <c r="M405" s="1">
        <v>2</v>
      </c>
      <c r="N405" s="1" t="s">
        <v>149</v>
      </c>
      <c r="O405" s="1" t="s">
        <v>113</v>
      </c>
      <c r="R405" t="b">
        <f>IF(COUNTBLANK(Master_Reference[[#This Row],[C-Flex 3000K Eco Part Number]:[C-Flex 4000K Eco Part Number]])=3,FALSE,TRUE)</f>
        <v>1</v>
      </c>
      <c r="S405" t="b">
        <f>IF(COUNTBLANK(Master_Reference[[#This Row],[C-Flex 3000K 3W Part Number]:[C-Flex 4000K 3W Part Number]])=3,FALSE,TRUE)</f>
        <v>0</v>
      </c>
      <c r="T405" t="b">
        <f>IF(COUNTBLANK(Master_Reference[[#This Row],[Lutron 3000K Eco Part Number]:[Lutron 4000K Eco Part Number]])=3,FALSE,TRUE)</f>
        <v>1</v>
      </c>
      <c r="U405" t="b">
        <f>IF(COUNTBLANK(Master_Reference[[#This Row],[Lutron 3000K 3W Part Number]:[Lutron 4000K 3W Part Number]])=3,FALSE,TRUE)</f>
        <v>0</v>
      </c>
      <c r="V405" s="12" t="s">
        <v>290</v>
      </c>
      <c r="W405" s="12" t="s">
        <v>291</v>
      </c>
      <c r="X405" s="12" t="s">
        <v>292</v>
      </c>
      <c r="Y405" t="s">
        <v>1720</v>
      </c>
      <c r="Z405" s="12"/>
      <c r="AA405" s="12"/>
      <c r="AB405" s="12"/>
      <c r="AC405" t="s">
        <v>2125</v>
      </c>
      <c r="AD405" t="str">
        <f>SUBSTITUTE(Master_Reference[[#This Row],[C-Flex 4000K Eco Part Number]],"40-","xx-")</f>
        <v>RP-T5-4FT-2L-8xx-E1-M-G2</v>
      </c>
      <c r="AE405" t="str">
        <f>SUBSTITUTE(Master_Reference[[#This Row],[C-Flex 4000K 3W Part Number]],"40-","xx-")</f>
        <v/>
      </c>
      <c r="AF405" s="1" t="str">
        <f>_xlfn.IFNA(VLOOKUP(Master_Reference[[#This Row],[C-Flex 3000K Eco Part Number]],Lutron_CFlex_Lookup[],MATCH("Lutron Kit PN",Lutron_CFlex_Lookup[#Headers],0),FALSE),"")</f>
        <v>ELD4T5-2M30-q</v>
      </c>
      <c r="AG405" s="1" t="str">
        <f>_xlfn.IFNA(VLOOKUP(Master_Reference[[#This Row],[C-Flex 3500K Eco Part Number]],Lutron_CFlex_Lookup[],MATCH("Lutron Kit PN",Lutron_CFlex_Lookup[#Headers],0),FALSE),"")</f>
        <v>ELD4T5-2M35-q</v>
      </c>
      <c r="AH405" s="1" t="str">
        <f>_xlfn.IFNA(VLOOKUP(Master_Reference[[#This Row],[C-Flex 4000K Eco Part Number]],Lutron_CFlex_Lookup[],MATCH("Lutron Kit PN",Lutron_CFlex_Lookup[#Headers],0),FALSE),"")</f>
        <v>ELD4T5-2M40-q</v>
      </c>
      <c r="AI405" s="1" t="str">
        <f>_xlfn.IFNA(VLOOKUP(Master_Reference[[#This Row],[C-Flex 5000K Eco Part Number]],Lutron_CFlex_Lookup[],MATCH("Lutron Kit PN",Lutron_CFlex_Lookup[#Headers],0),FALSE),"")</f>
        <v>ELD4T5-2M50-q</v>
      </c>
      <c r="AJ405" s="1" t="str">
        <f>_xlfn.IFNA(VLOOKUP(Master_Reference[[#This Row],[C-Flex 3000K 3W Part Number]],Lutron_CFlex_Lookup[],MATCH("Lutron Kit PN",Lutron_CFlex_Lookup[#Headers],0),FALSE),"")</f>
        <v/>
      </c>
      <c r="AK405" s="1" t="str">
        <f>_xlfn.IFNA(VLOOKUP(Master_Reference[[#This Row],[C-Flex 3500K 3W Part Number]],Lutron_CFlex_Lookup[],MATCH("Lutron Kit PN",Lutron_CFlex_Lookup[#Headers],0),FALSE),"")</f>
        <v/>
      </c>
      <c r="AL405" s="1" t="str">
        <f>_xlfn.IFNA(VLOOKUP(Master_Reference[[#This Row],[C-Flex 4000K 3W Part Number]],Lutron_CFlex_Lookup[],MATCH("Lutron Kit PN",Lutron_CFlex_Lookup[#Headers],0),FALSE),"")</f>
        <v/>
      </c>
      <c r="AM405" s="1" t="str">
        <f>_xlfn.IFNA(VLOOKUP(Master_Reference[[#This Row],[C-Flex 5000K 3W Part Number]],Lutron_CFlex_Lookup[],MATCH("Lutron Kit PN",Lutron_CFlex_Lookup[#Headers],0),FALSE),"")</f>
        <v/>
      </c>
      <c r="AN405" s="1" t="b">
        <f>NOT(ISNA(VLOOKUP(Master_Reference[[#This Row],[Model Number]],ObsoleteModels[],1,FALSE)))</f>
        <v>1</v>
      </c>
      <c r="AO405" s="1" t="str">
        <f>IF(LEFT(Master_Reference[[#This Row],[Model Number]],1)="U",LEFT(Master_Reference[[#This Row],[Model Number]],4),LEFT(Master_Reference[[#This Row],[Model Number]],3))</f>
        <v>EHD</v>
      </c>
    </row>
    <row r="406" spans="1:41" x14ac:dyDescent="0.25">
      <c r="A406" s="2" t="s">
        <v>687</v>
      </c>
      <c r="B406" s="1" t="b">
        <v>1</v>
      </c>
      <c r="G406" s="1" t="str">
        <f>IF(OR(LEFT(RIGHT(Master_Reference[[#This Row],[Model Number]],3),1)="C",LEFT(RIGHT(Master_Reference[[#This Row],[Model Number]],4),1)="C"),TRUE,"")</f>
        <v/>
      </c>
      <c r="H406" s="1" t="str">
        <f>IF(LEFT(Master_Reference[[#This Row],[Model Number]],1)="U",TRUE,"")</f>
        <v/>
      </c>
      <c r="I406" s="1" t="str">
        <f>IF(Master_Reference[[#This Row],[Lamp Type]]="T4","",IF(Master_Reference[[#This Row],[Case Type]]="M","",TRUE))</f>
        <v/>
      </c>
      <c r="J406" s="1" t="s">
        <v>123</v>
      </c>
      <c r="K406" s="1">
        <v>28</v>
      </c>
      <c r="L406" s="1" t="s">
        <v>118</v>
      </c>
      <c r="M406" s="1">
        <v>1</v>
      </c>
      <c r="N406" s="1" t="s">
        <v>631</v>
      </c>
      <c r="O406" s="1" t="s">
        <v>632</v>
      </c>
      <c r="Q406" s="1" t="s">
        <v>456</v>
      </c>
      <c r="R406" t="b">
        <f>IF(COUNTBLANK(Master_Reference[[#This Row],[C-Flex 3000K Eco Part Number]:[C-Flex 4000K Eco Part Number]])=3,FALSE,TRUE)</f>
        <v>0</v>
      </c>
      <c r="S406" t="b">
        <f>IF(COUNTBLANK(Master_Reference[[#This Row],[C-Flex 3000K 3W Part Number]:[C-Flex 4000K 3W Part Number]])=3,FALSE,TRUE)</f>
        <v>0</v>
      </c>
      <c r="T406" t="b">
        <f>IF(COUNTBLANK(Master_Reference[[#This Row],[Lutron 3000K Eco Part Number]:[Lutron 4000K Eco Part Number]])=3,FALSE,TRUE)</f>
        <v>0</v>
      </c>
      <c r="U406" t="b">
        <f>IF(COUNTBLANK(Master_Reference[[#This Row],[Lutron 3000K 3W Part Number]:[Lutron 4000K 3W Part Number]])=3,FALSE,TRUE)</f>
        <v>0</v>
      </c>
      <c r="V406" s="12"/>
      <c r="W406" s="12"/>
      <c r="X406" s="12"/>
      <c r="Y406" t="s">
        <v>2125</v>
      </c>
      <c r="Z406" s="12"/>
      <c r="AA406" s="12"/>
      <c r="AB406" s="12"/>
      <c r="AC406" t="s">
        <v>2125</v>
      </c>
      <c r="AD406" t="str">
        <f>SUBSTITUTE(Master_Reference[[#This Row],[C-Flex 4000K Eco Part Number]],"40-","xx-")</f>
        <v/>
      </c>
      <c r="AE406" t="str">
        <f>SUBSTITUTE(Master_Reference[[#This Row],[C-Flex 4000K 3W Part Number]],"40-","xx-")</f>
        <v/>
      </c>
      <c r="AF406" s="1" t="str">
        <f>_xlfn.IFNA(VLOOKUP(Master_Reference[[#This Row],[C-Flex 3000K Eco Part Number]],Lutron_CFlex_Lookup[],MATCH("Lutron Kit PN",Lutron_CFlex_Lookup[#Headers],0),FALSE),"")</f>
        <v/>
      </c>
      <c r="AG406" s="1" t="str">
        <f>_xlfn.IFNA(VLOOKUP(Master_Reference[[#This Row],[C-Flex 3500K Eco Part Number]],Lutron_CFlex_Lookup[],MATCH("Lutron Kit PN",Lutron_CFlex_Lookup[#Headers],0),FALSE),"")</f>
        <v/>
      </c>
      <c r="AH406" s="1" t="str">
        <f>_xlfn.IFNA(VLOOKUP(Master_Reference[[#This Row],[C-Flex 4000K Eco Part Number]],Lutron_CFlex_Lookup[],MATCH("Lutron Kit PN",Lutron_CFlex_Lookup[#Headers],0),FALSE),"")</f>
        <v/>
      </c>
      <c r="AI406" s="1" t="str">
        <f>_xlfn.IFNA(VLOOKUP(Master_Reference[[#This Row],[C-Flex 5000K Eco Part Number]],Lutron_CFlex_Lookup[],MATCH("Lutron Kit PN",Lutron_CFlex_Lookup[#Headers],0),FALSE),"")</f>
        <v/>
      </c>
      <c r="AJ406" s="1" t="str">
        <f>_xlfn.IFNA(VLOOKUP(Master_Reference[[#This Row],[C-Flex 3000K 3W Part Number]],Lutron_CFlex_Lookup[],MATCH("Lutron Kit PN",Lutron_CFlex_Lookup[#Headers],0),FALSE),"")</f>
        <v/>
      </c>
      <c r="AK406" s="1" t="str">
        <f>_xlfn.IFNA(VLOOKUP(Master_Reference[[#This Row],[C-Flex 3500K 3W Part Number]],Lutron_CFlex_Lookup[],MATCH("Lutron Kit PN",Lutron_CFlex_Lookup[#Headers],0),FALSE),"")</f>
        <v/>
      </c>
      <c r="AL406" s="1" t="str">
        <f>_xlfn.IFNA(VLOOKUP(Master_Reference[[#This Row],[C-Flex 4000K 3W Part Number]],Lutron_CFlex_Lookup[],MATCH("Lutron Kit PN",Lutron_CFlex_Lookup[#Headers],0),FALSE),"")</f>
        <v/>
      </c>
      <c r="AM406" s="1" t="str">
        <f>_xlfn.IFNA(VLOOKUP(Master_Reference[[#This Row],[C-Flex 5000K 3W Part Number]],Lutron_CFlex_Lookup[],MATCH("Lutron Kit PN",Lutron_CFlex_Lookup[#Headers],0),FALSE),"")</f>
        <v/>
      </c>
      <c r="AN406" s="1" t="b">
        <f>NOT(ISNA(VLOOKUP(Master_Reference[[#This Row],[Model Number]],ObsoleteModels[],1,FALSE)))</f>
        <v>1</v>
      </c>
      <c r="AO406" s="1" t="str">
        <f>IF(LEFT(Master_Reference[[#This Row],[Model Number]],1)="U",LEFT(Master_Reference[[#This Row],[Model Number]],4),LEFT(Master_Reference[[#This Row],[Model Number]],3))</f>
        <v>EHD</v>
      </c>
    </row>
    <row r="407" spans="1:41" x14ac:dyDescent="0.25">
      <c r="A407" s="2" t="s">
        <v>688</v>
      </c>
      <c r="B407" s="1" t="b">
        <v>1</v>
      </c>
      <c r="G407" s="1" t="str">
        <f>IF(OR(LEFT(RIGHT(Master_Reference[[#This Row],[Model Number]],3),1)="C",LEFT(RIGHT(Master_Reference[[#This Row],[Model Number]],4),1)="C"),TRUE,"")</f>
        <v/>
      </c>
      <c r="H407" s="1" t="str">
        <f>IF(LEFT(Master_Reference[[#This Row],[Model Number]],1)="U",TRUE,"")</f>
        <v/>
      </c>
      <c r="I407" s="1" t="str">
        <f>IF(Master_Reference[[#This Row],[Lamp Type]]="T4","",IF(Master_Reference[[#This Row],[Case Type]]="M","",TRUE))</f>
        <v/>
      </c>
      <c r="J407" s="1" t="s">
        <v>123</v>
      </c>
      <c r="K407" s="1">
        <v>28</v>
      </c>
      <c r="L407" s="1" t="s">
        <v>118</v>
      </c>
      <c r="M407" s="1">
        <v>1</v>
      </c>
      <c r="N407" s="1" t="s">
        <v>631</v>
      </c>
      <c r="O407" s="1" t="s">
        <v>632</v>
      </c>
      <c r="Q407" s="1" t="s">
        <v>643</v>
      </c>
      <c r="R407" t="b">
        <f>IF(COUNTBLANK(Master_Reference[[#This Row],[C-Flex 3000K Eco Part Number]:[C-Flex 4000K Eco Part Number]])=3,FALSE,TRUE)</f>
        <v>0</v>
      </c>
      <c r="S407" t="b">
        <f>IF(COUNTBLANK(Master_Reference[[#This Row],[C-Flex 3000K 3W Part Number]:[C-Flex 4000K 3W Part Number]])=3,FALSE,TRUE)</f>
        <v>0</v>
      </c>
      <c r="T407" t="b">
        <f>IF(COUNTBLANK(Master_Reference[[#This Row],[Lutron 3000K Eco Part Number]:[Lutron 4000K Eco Part Number]])=3,FALSE,TRUE)</f>
        <v>0</v>
      </c>
      <c r="U407" t="b">
        <f>IF(COUNTBLANK(Master_Reference[[#This Row],[Lutron 3000K 3W Part Number]:[Lutron 4000K 3W Part Number]])=3,FALSE,TRUE)</f>
        <v>0</v>
      </c>
      <c r="V407" s="12"/>
      <c r="W407" s="12"/>
      <c r="X407" s="12"/>
      <c r="Y407" t="s">
        <v>2125</v>
      </c>
      <c r="Z407" s="12"/>
      <c r="AA407" s="12"/>
      <c r="AB407" s="12"/>
      <c r="AC407" t="s">
        <v>2125</v>
      </c>
      <c r="AD407" t="str">
        <f>SUBSTITUTE(Master_Reference[[#This Row],[C-Flex 4000K Eco Part Number]],"40-","xx-")</f>
        <v/>
      </c>
      <c r="AE407" t="str">
        <f>SUBSTITUTE(Master_Reference[[#This Row],[C-Flex 4000K 3W Part Number]],"40-","xx-")</f>
        <v/>
      </c>
      <c r="AF407" s="1" t="str">
        <f>_xlfn.IFNA(VLOOKUP(Master_Reference[[#This Row],[C-Flex 3000K Eco Part Number]],Lutron_CFlex_Lookup[],MATCH("Lutron Kit PN",Lutron_CFlex_Lookup[#Headers],0),FALSE),"")</f>
        <v/>
      </c>
      <c r="AG407" s="1" t="str">
        <f>_xlfn.IFNA(VLOOKUP(Master_Reference[[#This Row],[C-Flex 3500K Eco Part Number]],Lutron_CFlex_Lookup[],MATCH("Lutron Kit PN",Lutron_CFlex_Lookup[#Headers],0),FALSE),"")</f>
        <v/>
      </c>
      <c r="AH407" s="1" t="str">
        <f>_xlfn.IFNA(VLOOKUP(Master_Reference[[#This Row],[C-Flex 4000K Eco Part Number]],Lutron_CFlex_Lookup[],MATCH("Lutron Kit PN",Lutron_CFlex_Lookup[#Headers],0),FALSE),"")</f>
        <v/>
      </c>
      <c r="AI407" s="1" t="str">
        <f>_xlfn.IFNA(VLOOKUP(Master_Reference[[#This Row],[C-Flex 5000K Eco Part Number]],Lutron_CFlex_Lookup[],MATCH("Lutron Kit PN",Lutron_CFlex_Lookup[#Headers],0),FALSE),"")</f>
        <v/>
      </c>
      <c r="AJ407" s="1" t="str">
        <f>_xlfn.IFNA(VLOOKUP(Master_Reference[[#This Row],[C-Flex 3000K 3W Part Number]],Lutron_CFlex_Lookup[],MATCH("Lutron Kit PN",Lutron_CFlex_Lookup[#Headers],0),FALSE),"")</f>
        <v/>
      </c>
      <c r="AK407" s="1" t="str">
        <f>_xlfn.IFNA(VLOOKUP(Master_Reference[[#This Row],[C-Flex 3500K 3W Part Number]],Lutron_CFlex_Lookup[],MATCH("Lutron Kit PN",Lutron_CFlex_Lookup[#Headers],0),FALSE),"")</f>
        <v/>
      </c>
      <c r="AL407" s="1" t="str">
        <f>_xlfn.IFNA(VLOOKUP(Master_Reference[[#This Row],[C-Flex 4000K 3W Part Number]],Lutron_CFlex_Lookup[],MATCH("Lutron Kit PN",Lutron_CFlex_Lookup[#Headers],0),FALSE),"")</f>
        <v/>
      </c>
      <c r="AM407" s="1" t="str">
        <f>_xlfn.IFNA(VLOOKUP(Master_Reference[[#This Row],[C-Flex 5000K 3W Part Number]],Lutron_CFlex_Lookup[],MATCH("Lutron Kit PN",Lutron_CFlex_Lookup[#Headers],0),FALSE),"")</f>
        <v/>
      </c>
      <c r="AN407" s="1" t="b">
        <f>NOT(ISNA(VLOOKUP(Master_Reference[[#This Row],[Model Number]],ObsoleteModels[],1,FALSE)))</f>
        <v>1</v>
      </c>
      <c r="AO407" s="1" t="str">
        <f>IF(LEFT(Master_Reference[[#This Row],[Model Number]],1)="U",LEFT(Master_Reference[[#This Row],[Model Number]],4),LEFT(Master_Reference[[#This Row],[Model Number]],3))</f>
        <v>EHD</v>
      </c>
    </row>
    <row r="408" spans="1:41" x14ac:dyDescent="0.25">
      <c r="A408" s="2" t="s">
        <v>689</v>
      </c>
      <c r="B408" s="1" t="b">
        <v>1</v>
      </c>
      <c r="G408" s="1" t="str">
        <f>IF(OR(LEFT(RIGHT(Master_Reference[[#This Row],[Model Number]],3),1)="C",LEFT(RIGHT(Master_Reference[[#This Row],[Model Number]],4),1)="C"),TRUE,"")</f>
        <v/>
      </c>
      <c r="H408" s="1" t="str">
        <f>IF(LEFT(Master_Reference[[#This Row],[Model Number]],1)="U",TRUE,"")</f>
        <v/>
      </c>
      <c r="I408" s="1" t="str">
        <f>IF(Master_Reference[[#This Row],[Lamp Type]]="T4","",IF(Master_Reference[[#This Row],[Case Type]]="M","",TRUE))</f>
        <v/>
      </c>
      <c r="J408" s="1" t="s">
        <v>123</v>
      </c>
      <c r="K408" s="1">
        <v>28</v>
      </c>
      <c r="L408" s="1" t="s">
        <v>118</v>
      </c>
      <c r="M408" s="1">
        <v>1</v>
      </c>
      <c r="N408" s="1" t="s">
        <v>631</v>
      </c>
      <c r="O408" s="1" t="s">
        <v>632</v>
      </c>
      <c r="Q408" s="1" t="s">
        <v>640</v>
      </c>
      <c r="R408" t="b">
        <f>IF(COUNTBLANK(Master_Reference[[#This Row],[C-Flex 3000K Eco Part Number]:[C-Flex 4000K Eco Part Number]])=3,FALSE,TRUE)</f>
        <v>0</v>
      </c>
      <c r="S408" t="b">
        <f>IF(COUNTBLANK(Master_Reference[[#This Row],[C-Flex 3000K 3W Part Number]:[C-Flex 4000K 3W Part Number]])=3,FALSE,TRUE)</f>
        <v>0</v>
      </c>
      <c r="T408" t="b">
        <f>IF(COUNTBLANK(Master_Reference[[#This Row],[Lutron 3000K Eco Part Number]:[Lutron 4000K Eco Part Number]])=3,FALSE,TRUE)</f>
        <v>0</v>
      </c>
      <c r="U408" t="b">
        <f>IF(COUNTBLANK(Master_Reference[[#This Row],[Lutron 3000K 3W Part Number]:[Lutron 4000K 3W Part Number]])=3,FALSE,TRUE)</f>
        <v>0</v>
      </c>
      <c r="V408" s="12"/>
      <c r="W408" s="12"/>
      <c r="X408" s="12"/>
      <c r="Y408" t="s">
        <v>2125</v>
      </c>
      <c r="Z408" s="12"/>
      <c r="AA408" s="12"/>
      <c r="AB408" s="12"/>
      <c r="AC408" t="s">
        <v>2125</v>
      </c>
      <c r="AD408" t="str">
        <f>SUBSTITUTE(Master_Reference[[#This Row],[C-Flex 4000K Eco Part Number]],"40-","xx-")</f>
        <v/>
      </c>
      <c r="AE408" t="str">
        <f>SUBSTITUTE(Master_Reference[[#This Row],[C-Flex 4000K 3W Part Number]],"40-","xx-")</f>
        <v/>
      </c>
      <c r="AF408" s="1" t="str">
        <f>_xlfn.IFNA(VLOOKUP(Master_Reference[[#This Row],[C-Flex 3000K Eco Part Number]],Lutron_CFlex_Lookup[],MATCH("Lutron Kit PN",Lutron_CFlex_Lookup[#Headers],0),FALSE),"")</f>
        <v/>
      </c>
      <c r="AG408" s="1" t="str">
        <f>_xlfn.IFNA(VLOOKUP(Master_Reference[[#This Row],[C-Flex 3500K Eco Part Number]],Lutron_CFlex_Lookup[],MATCH("Lutron Kit PN",Lutron_CFlex_Lookup[#Headers],0),FALSE),"")</f>
        <v/>
      </c>
      <c r="AH408" s="1" t="str">
        <f>_xlfn.IFNA(VLOOKUP(Master_Reference[[#This Row],[C-Flex 4000K Eco Part Number]],Lutron_CFlex_Lookup[],MATCH("Lutron Kit PN",Lutron_CFlex_Lookup[#Headers],0),FALSE),"")</f>
        <v/>
      </c>
      <c r="AI408" s="1" t="str">
        <f>_xlfn.IFNA(VLOOKUP(Master_Reference[[#This Row],[C-Flex 5000K Eco Part Number]],Lutron_CFlex_Lookup[],MATCH("Lutron Kit PN",Lutron_CFlex_Lookup[#Headers],0),FALSE),"")</f>
        <v/>
      </c>
      <c r="AJ408" s="1" t="str">
        <f>_xlfn.IFNA(VLOOKUP(Master_Reference[[#This Row],[C-Flex 3000K 3W Part Number]],Lutron_CFlex_Lookup[],MATCH("Lutron Kit PN",Lutron_CFlex_Lookup[#Headers],0),FALSE),"")</f>
        <v/>
      </c>
      <c r="AK408" s="1" t="str">
        <f>_xlfn.IFNA(VLOOKUP(Master_Reference[[#This Row],[C-Flex 3500K 3W Part Number]],Lutron_CFlex_Lookup[],MATCH("Lutron Kit PN",Lutron_CFlex_Lookup[#Headers],0),FALSE),"")</f>
        <v/>
      </c>
      <c r="AL408" s="1" t="str">
        <f>_xlfn.IFNA(VLOOKUP(Master_Reference[[#This Row],[C-Flex 4000K 3W Part Number]],Lutron_CFlex_Lookup[],MATCH("Lutron Kit PN",Lutron_CFlex_Lookup[#Headers],0),FALSE),"")</f>
        <v/>
      </c>
      <c r="AM408" s="1" t="str">
        <f>_xlfn.IFNA(VLOOKUP(Master_Reference[[#This Row],[C-Flex 5000K 3W Part Number]],Lutron_CFlex_Lookup[],MATCH("Lutron Kit PN",Lutron_CFlex_Lookup[#Headers],0),FALSE),"")</f>
        <v/>
      </c>
      <c r="AN408" s="1" t="b">
        <f>NOT(ISNA(VLOOKUP(Master_Reference[[#This Row],[Model Number]],ObsoleteModels[],1,FALSE)))</f>
        <v>1</v>
      </c>
      <c r="AO408" s="1" t="str">
        <f>IF(LEFT(Master_Reference[[#This Row],[Model Number]],1)="U",LEFT(Master_Reference[[#This Row],[Model Number]],4),LEFT(Master_Reference[[#This Row],[Model Number]],3))</f>
        <v>EHD</v>
      </c>
    </row>
    <row r="409" spans="1:41" x14ac:dyDescent="0.25">
      <c r="A409" s="2" t="s">
        <v>690</v>
      </c>
      <c r="B409" s="1" t="b">
        <v>1</v>
      </c>
      <c r="G409" s="1" t="str">
        <f>IF(OR(LEFT(RIGHT(Master_Reference[[#This Row],[Model Number]],3),1)="C",LEFT(RIGHT(Master_Reference[[#This Row],[Model Number]],4),1)="C"),TRUE,"")</f>
        <v/>
      </c>
      <c r="H409" s="1" t="str">
        <f>IF(LEFT(Master_Reference[[#This Row],[Model Number]],1)="U",TRUE,"")</f>
        <v/>
      </c>
      <c r="I409" s="1" t="str">
        <f>IF(Master_Reference[[#This Row],[Lamp Type]]="T4","",IF(Master_Reference[[#This Row],[Case Type]]="M","",TRUE))</f>
        <v/>
      </c>
      <c r="J409" s="1" t="s">
        <v>123</v>
      </c>
      <c r="K409" s="1">
        <v>28</v>
      </c>
      <c r="L409" s="1" t="s">
        <v>118</v>
      </c>
      <c r="M409" s="1">
        <v>2</v>
      </c>
      <c r="N409" s="1" t="s">
        <v>631</v>
      </c>
      <c r="O409" s="1" t="s">
        <v>632</v>
      </c>
      <c r="Q409" s="1" t="s">
        <v>456</v>
      </c>
      <c r="R409" t="b">
        <f>IF(COUNTBLANK(Master_Reference[[#This Row],[C-Flex 3000K Eco Part Number]:[C-Flex 4000K Eco Part Number]])=3,FALSE,TRUE)</f>
        <v>0</v>
      </c>
      <c r="S409" t="b">
        <f>IF(COUNTBLANK(Master_Reference[[#This Row],[C-Flex 3000K 3W Part Number]:[C-Flex 4000K 3W Part Number]])=3,FALSE,TRUE)</f>
        <v>0</v>
      </c>
      <c r="T409" t="b">
        <f>IF(COUNTBLANK(Master_Reference[[#This Row],[Lutron 3000K Eco Part Number]:[Lutron 4000K Eco Part Number]])=3,FALSE,TRUE)</f>
        <v>0</v>
      </c>
      <c r="U409" t="b">
        <f>IF(COUNTBLANK(Master_Reference[[#This Row],[Lutron 3000K 3W Part Number]:[Lutron 4000K 3W Part Number]])=3,FALSE,TRUE)</f>
        <v>0</v>
      </c>
      <c r="V409" s="12"/>
      <c r="W409" s="12"/>
      <c r="X409" s="12"/>
      <c r="Y409" t="s">
        <v>2125</v>
      </c>
      <c r="Z409" s="12"/>
      <c r="AA409" s="12"/>
      <c r="AB409" s="12"/>
      <c r="AC409" t="s">
        <v>2125</v>
      </c>
      <c r="AD409" t="str">
        <f>SUBSTITUTE(Master_Reference[[#This Row],[C-Flex 4000K Eco Part Number]],"40-","xx-")</f>
        <v/>
      </c>
      <c r="AE409" t="str">
        <f>SUBSTITUTE(Master_Reference[[#This Row],[C-Flex 4000K 3W Part Number]],"40-","xx-")</f>
        <v/>
      </c>
      <c r="AF409" s="1" t="str">
        <f>_xlfn.IFNA(VLOOKUP(Master_Reference[[#This Row],[C-Flex 3000K Eco Part Number]],Lutron_CFlex_Lookup[],MATCH("Lutron Kit PN",Lutron_CFlex_Lookup[#Headers],0),FALSE),"")</f>
        <v/>
      </c>
      <c r="AG409" s="1" t="str">
        <f>_xlfn.IFNA(VLOOKUP(Master_Reference[[#This Row],[C-Flex 3500K Eco Part Number]],Lutron_CFlex_Lookup[],MATCH("Lutron Kit PN",Lutron_CFlex_Lookup[#Headers],0),FALSE),"")</f>
        <v/>
      </c>
      <c r="AH409" s="1" t="str">
        <f>_xlfn.IFNA(VLOOKUP(Master_Reference[[#This Row],[C-Flex 4000K Eco Part Number]],Lutron_CFlex_Lookup[],MATCH("Lutron Kit PN",Lutron_CFlex_Lookup[#Headers],0),FALSE),"")</f>
        <v/>
      </c>
      <c r="AI409" s="1" t="str">
        <f>_xlfn.IFNA(VLOOKUP(Master_Reference[[#This Row],[C-Flex 5000K Eco Part Number]],Lutron_CFlex_Lookup[],MATCH("Lutron Kit PN",Lutron_CFlex_Lookup[#Headers],0),FALSE),"")</f>
        <v/>
      </c>
      <c r="AJ409" s="1" t="str">
        <f>_xlfn.IFNA(VLOOKUP(Master_Reference[[#This Row],[C-Flex 3000K 3W Part Number]],Lutron_CFlex_Lookup[],MATCH("Lutron Kit PN",Lutron_CFlex_Lookup[#Headers],0),FALSE),"")</f>
        <v/>
      </c>
      <c r="AK409" s="1" t="str">
        <f>_xlfn.IFNA(VLOOKUP(Master_Reference[[#This Row],[C-Flex 3500K 3W Part Number]],Lutron_CFlex_Lookup[],MATCH("Lutron Kit PN",Lutron_CFlex_Lookup[#Headers],0),FALSE),"")</f>
        <v/>
      </c>
      <c r="AL409" s="1" t="str">
        <f>_xlfn.IFNA(VLOOKUP(Master_Reference[[#This Row],[C-Flex 4000K 3W Part Number]],Lutron_CFlex_Lookup[],MATCH("Lutron Kit PN",Lutron_CFlex_Lookup[#Headers],0),FALSE),"")</f>
        <v/>
      </c>
      <c r="AM409" s="1" t="str">
        <f>_xlfn.IFNA(VLOOKUP(Master_Reference[[#This Row],[C-Flex 5000K 3W Part Number]],Lutron_CFlex_Lookup[],MATCH("Lutron Kit PN",Lutron_CFlex_Lookup[#Headers],0),FALSE),"")</f>
        <v/>
      </c>
      <c r="AN409" s="1" t="b">
        <f>NOT(ISNA(VLOOKUP(Master_Reference[[#This Row],[Model Number]],ObsoleteModels[],1,FALSE)))</f>
        <v>1</v>
      </c>
      <c r="AO409" s="1" t="str">
        <f>IF(LEFT(Master_Reference[[#This Row],[Model Number]],1)="U",LEFT(Master_Reference[[#This Row],[Model Number]],4),LEFT(Master_Reference[[#This Row],[Model Number]],3))</f>
        <v>EHD</v>
      </c>
    </row>
    <row r="410" spans="1:41" x14ac:dyDescent="0.25">
      <c r="A410" s="2" t="s">
        <v>691</v>
      </c>
      <c r="B410" s="1" t="b">
        <v>1</v>
      </c>
      <c r="G410" s="1" t="str">
        <f>IF(OR(LEFT(RIGHT(Master_Reference[[#This Row],[Model Number]],3),1)="C",LEFT(RIGHT(Master_Reference[[#This Row],[Model Number]],4),1)="C"),TRUE,"")</f>
        <v/>
      </c>
      <c r="H410" s="1" t="str">
        <f>IF(LEFT(Master_Reference[[#This Row],[Model Number]],1)="U",TRUE,"")</f>
        <v/>
      </c>
      <c r="I410" s="1" t="str">
        <f>IF(Master_Reference[[#This Row],[Lamp Type]]="T4","",IF(Master_Reference[[#This Row],[Case Type]]="M","",TRUE))</f>
        <v/>
      </c>
      <c r="J410" s="1" t="s">
        <v>123</v>
      </c>
      <c r="K410" s="1">
        <v>28</v>
      </c>
      <c r="L410" s="1" t="s">
        <v>118</v>
      </c>
      <c r="M410" s="1">
        <v>2</v>
      </c>
      <c r="N410" s="1" t="s">
        <v>631</v>
      </c>
      <c r="O410" s="1" t="s">
        <v>632</v>
      </c>
      <c r="Q410" s="1" t="s">
        <v>643</v>
      </c>
      <c r="R410" t="b">
        <f>IF(COUNTBLANK(Master_Reference[[#This Row],[C-Flex 3000K Eco Part Number]:[C-Flex 4000K Eco Part Number]])=3,FALSE,TRUE)</f>
        <v>0</v>
      </c>
      <c r="S410" t="b">
        <f>IF(COUNTBLANK(Master_Reference[[#This Row],[C-Flex 3000K 3W Part Number]:[C-Flex 4000K 3W Part Number]])=3,FALSE,TRUE)</f>
        <v>0</v>
      </c>
      <c r="T410" t="b">
        <f>IF(COUNTBLANK(Master_Reference[[#This Row],[Lutron 3000K Eco Part Number]:[Lutron 4000K Eco Part Number]])=3,FALSE,TRUE)</f>
        <v>0</v>
      </c>
      <c r="U410" t="b">
        <f>IF(COUNTBLANK(Master_Reference[[#This Row],[Lutron 3000K 3W Part Number]:[Lutron 4000K 3W Part Number]])=3,FALSE,TRUE)</f>
        <v>0</v>
      </c>
      <c r="V410" s="12"/>
      <c r="W410" s="12"/>
      <c r="X410" s="12"/>
      <c r="Y410" t="s">
        <v>2125</v>
      </c>
      <c r="Z410" s="12"/>
      <c r="AA410" s="12"/>
      <c r="AB410" s="12"/>
      <c r="AC410" t="s">
        <v>2125</v>
      </c>
      <c r="AD410" t="str">
        <f>SUBSTITUTE(Master_Reference[[#This Row],[C-Flex 4000K Eco Part Number]],"40-","xx-")</f>
        <v/>
      </c>
      <c r="AE410" t="str">
        <f>SUBSTITUTE(Master_Reference[[#This Row],[C-Flex 4000K 3W Part Number]],"40-","xx-")</f>
        <v/>
      </c>
      <c r="AF410" s="1" t="str">
        <f>_xlfn.IFNA(VLOOKUP(Master_Reference[[#This Row],[C-Flex 3000K Eco Part Number]],Lutron_CFlex_Lookup[],MATCH("Lutron Kit PN",Lutron_CFlex_Lookup[#Headers],0),FALSE),"")</f>
        <v/>
      </c>
      <c r="AG410" s="1" t="str">
        <f>_xlfn.IFNA(VLOOKUP(Master_Reference[[#This Row],[C-Flex 3500K Eco Part Number]],Lutron_CFlex_Lookup[],MATCH("Lutron Kit PN",Lutron_CFlex_Lookup[#Headers],0),FALSE),"")</f>
        <v/>
      </c>
      <c r="AH410" s="1" t="str">
        <f>_xlfn.IFNA(VLOOKUP(Master_Reference[[#This Row],[C-Flex 4000K Eco Part Number]],Lutron_CFlex_Lookup[],MATCH("Lutron Kit PN",Lutron_CFlex_Lookup[#Headers],0),FALSE),"")</f>
        <v/>
      </c>
      <c r="AI410" s="1" t="str">
        <f>_xlfn.IFNA(VLOOKUP(Master_Reference[[#This Row],[C-Flex 5000K Eco Part Number]],Lutron_CFlex_Lookup[],MATCH("Lutron Kit PN",Lutron_CFlex_Lookup[#Headers],0),FALSE),"")</f>
        <v/>
      </c>
      <c r="AJ410" s="1" t="str">
        <f>_xlfn.IFNA(VLOOKUP(Master_Reference[[#This Row],[C-Flex 3000K 3W Part Number]],Lutron_CFlex_Lookup[],MATCH("Lutron Kit PN",Lutron_CFlex_Lookup[#Headers],0),FALSE),"")</f>
        <v/>
      </c>
      <c r="AK410" s="1" t="str">
        <f>_xlfn.IFNA(VLOOKUP(Master_Reference[[#This Row],[C-Flex 3500K 3W Part Number]],Lutron_CFlex_Lookup[],MATCH("Lutron Kit PN",Lutron_CFlex_Lookup[#Headers],0),FALSE),"")</f>
        <v/>
      </c>
      <c r="AL410" s="1" t="str">
        <f>_xlfn.IFNA(VLOOKUP(Master_Reference[[#This Row],[C-Flex 4000K 3W Part Number]],Lutron_CFlex_Lookup[],MATCH("Lutron Kit PN",Lutron_CFlex_Lookup[#Headers],0),FALSE),"")</f>
        <v/>
      </c>
      <c r="AM410" s="1" t="str">
        <f>_xlfn.IFNA(VLOOKUP(Master_Reference[[#This Row],[C-Flex 5000K 3W Part Number]],Lutron_CFlex_Lookup[],MATCH("Lutron Kit PN",Lutron_CFlex_Lookup[#Headers],0),FALSE),"")</f>
        <v/>
      </c>
      <c r="AN410" s="1" t="b">
        <f>NOT(ISNA(VLOOKUP(Master_Reference[[#This Row],[Model Number]],ObsoleteModels[],1,FALSE)))</f>
        <v>1</v>
      </c>
      <c r="AO410" s="1" t="str">
        <f>IF(LEFT(Master_Reference[[#This Row],[Model Number]],1)="U",LEFT(Master_Reference[[#This Row],[Model Number]],4),LEFT(Master_Reference[[#This Row],[Model Number]],3))</f>
        <v>EHD</v>
      </c>
    </row>
    <row r="411" spans="1:41" x14ac:dyDescent="0.25">
      <c r="A411" s="2" t="s">
        <v>692</v>
      </c>
      <c r="B411" s="1" t="b">
        <v>1</v>
      </c>
      <c r="G411" s="1" t="str">
        <f>IF(OR(LEFT(RIGHT(Master_Reference[[#This Row],[Model Number]],3),1)="C",LEFT(RIGHT(Master_Reference[[#This Row],[Model Number]],4),1)="C"),TRUE,"")</f>
        <v/>
      </c>
      <c r="H411" s="1" t="str">
        <f>IF(LEFT(Master_Reference[[#This Row],[Model Number]],1)="U",TRUE,"")</f>
        <v/>
      </c>
      <c r="I411" s="1" t="str">
        <f>IF(Master_Reference[[#This Row],[Lamp Type]]="T4","",IF(Master_Reference[[#This Row],[Case Type]]="M","",TRUE))</f>
        <v/>
      </c>
      <c r="J411" s="1" t="s">
        <v>123</v>
      </c>
      <c r="K411" s="1">
        <v>28</v>
      </c>
      <c r="L411" s="1" t="s">
        <v>118</v>
      </c>
      <c r="M411" s="1">
        <v>2</v>
      </c>
      <c r="N411" s="1" t="s">
        <v>631</v>
      </c>
      <c r="O411" s="1" t="s">
        <v>632</v>
      </c>
      <c r="Q411" s="1" t="s">
        <v>640</v>
      </c>
      <c r="R411" t="b">
        <f>IF(COUNTBLANK(Master_Reference[[#This Row],[C-Flex 3000K Eco Part Number]:[C-Flex 4000K Eco Part Number]])=3,FALSE,TRUE)</f>
        <v>0</v>
      </c>
      <c r="S411" t="b">
        <f>IF(COUNTBLANK(Master_Reference[[#This Row],[C-Flex 3000K 3W Part Number]:[C-Flex 4000K 3W Part Number]])=3,FALSE,TRUE)</f>
        <v>0</v>
      </c>
      <c r="T411" t="b">
        <f>IF(COUNTBLANK(Master_Reference[[#This Row],[Lutron 3000K Eco Part Number]:[Lutron 4000K Eco Part Number]])=3,FALSE,TRUE)</f>
        <v>0</v>
      </c>
      <c r="U411" t="b">
        <f>IF(COUNTBLANK(Master_Reference[[#This Row],[Lutron 3000K 3W Part Number]:[Lutron 4000K 3W Part Number]])=3,FALSE,TRUE)</f>
        <v>0</v>
      </c>
      <c r="V411" s="12"/>
      <c r="W411" s="12"/>
      <c r="X411" s="12"/>
      <c r="Y411" t="s">
        <v>2125</v>
      </c>
      <c r="Z411" s="12"/>
      <c r="AA411" s="12"/>
      <c r="AB411" s="12"/>
      <c r="AC411" t="s">
        <v>2125</v>
      </c>
      <c r="AD411" t="str">
        <f>SUBSTITUTE(Master_Reference[[#This Row],[C-Flex 4000K Eco Part Number]],"40-","xx-")</f>
        <v/>
      </c>
      <c r="AE411" t="str">
        <f>SUBSTITUTE(Master_Reference[[#This Row],[C-Flex 4000K 3W Part Number]],"40-","xx-")</f>
        <v/>
      </c>
      <c r="AF411" s="1" t="str">
        <f>_xlfn.IFNA(VLOOKUP(Master_Reference[[#This Row],[C-Flex 3000K Eco Part Number]],Lutron_CFlex_Lookup[],MATCH("Lutron Kit PN",Lutron_CFlex_Lookup[#Headers],0),FALSE),"")</f>
        <v/>
      </c>
      <c r="AG411" s="1" t="str">
        <f>_xlfn.IFNA(VLOOKUP(Master_Reference[[#This Row],[C-Flex 3500K Eco Part Number]],Lutron_CFlex_Lookup[],MATCH("Lutron Kit PN",Lutron_CFlex_Lookup[#Headers],0),FALSE),"")</f>
        <v/>
      </c>
      <c r="AH411" s="1" t="str">
        <f>_xlfn.IFNA(VLOOKUP(Master_Reference[[#This Row],[C-Flex 4000K Eco Part Number]],Lutron_CFlex_Lookup[],MATCH("Lutron Kit PN",Lutron_CFlex_Lookup[#Headers],0),FALSE),"")</f>
        <v/>
      </c>
      <c r="AI411" s="1" t="str">
        <f>_xlfn.IFNA(VLOOKUP(Master_Reference[[#This Row],[C-Flex 5000K Eco Part Number]],Lutron_CFlex_Lookup[],MATCH("Lutron Kit PN",Lutron_CFlex_Lookup[#Headers],0),FALSE),"")</f>
        <v/>
      </c>
      <c r="AJ411" s="1" t="str">
        <f>_xlfn.IFNA(VLOOKUP(Master_Reference[[#This Row],[C-Flex 3000K 3W Part Number]],Lutron_CFlex_Lookup[],MATCH("Lutron Kit PN",Lutron_CFlex_Lookup[#Headers],0),FALSE),"")</f>
        <v/>
      </c>
      <c r="AK411" s="1" t="str">
        <f>_xlfn.IFNA(VLOOKUP(Master_Reference[[#This Row],[C-Flex 3500K 3W Part Number]],Lutron_CFlex_Lookup[],MATCH("Lutron Kit PN",Lutron_CFlex_Lookup[#Headers],0),FALSE),"")</f>
        <v/>
      </c>
      <c r="AL411" s="1" t="str">
        <f>_xlfn.IFNA(VLOOKUP(Master_Reference[[#This Row],[C-Flex 4000K 3W Part Number]],Lutron_CFlex_Lookup[],MATCH("Lutron Kit PN",Lutron_CFlex_Lookup[#Headers],0),FALSE),"")</f>
        <v/>
      </c>
      <c r="AM411" s="1" t="str">
        <f>_xlfn.IFNA(VLOOKUP(Master_Reference[[#This Row],[C-Flex 5000K 3W Part Number]],Lutron_CFlex_Lookup[],MATCH("Lutron Kit PN",Lutron_CFlex_Lookup[#Headers],0),FALSE),"")</f>
        <v/>
      </c>
      <c r="AN411" s="1" t="b">
        <f>NOT(ISNA(VLOOKUP(Master_Reference[[#This Row],[Model Number]],ObsoleteModels[],1,FALSE)))</f>
        <v>1</v>
      </c>
      <c r="AO411" s="1" t="str">
        <f>IF(LEFT(Master_Reference[[#This Row],[Model Number]],1)="U",LEFT(Master_Reference[[#This Row],[Model Number]],4),LEFT(Master_Reference[[#This Row],[Model Number]],3))</f>
        <v>EHD</v>
      </c>
    </row>
    <row r="412" spans="1:41" x14ac:dyDescent="0.25">
      <c r="A412" s="2" t="s">
        <v>693</v>
      </c>
      <c r="B412" s="1" t="b">
        <v>1</v>
      </c>
      <c r="G412" s="1" t="str">
        <f>IF(OR(LEFT(RIGHT(Master_Reference[[#This Row],[Model Number]],3),1)="C",LEFT(RIGHT(Master_Reference[[#This Row],[Model Number]],4),1)="C"),TRUE,"")</f>
        <v/>
      </c>
      <c r="H412" s="1" t="str">
        <f>IF(LEFT(Master_Reference[[#This Row],[Model Number]],1)="U",TRUE,"")</f>
        <v/>
      </c>
      <c r="I412" s="1" t="str">
        <f>IF(Master_Reference[[#This Row],[Lamp Type]]="T4","",IF(Master_Reference[[#This Row],[Case Type]]="M","",TRUE))</f>
        <v/>
      </c>
      <c r="J412" s="1" t="s">
        <v>123</v>
      </c>
      <c r="K412" s="1">
        <v>28</v>
      </c>
      <c r="L412" s="1" t="s">
        <v>118</v>
      </c>
      <c r="M412" s="1">
        <v>2</v>
      </c>
      <c r="N412" s="1" t="s">
        <v>631</v>
      </c>
      <c r="O412" s="1" t="s">
        <v>632</v>
      </c>
      <c r="Q412" s="1" t="s">
        <v>646</v>
      </c>
      <c r="R412" t="b">
        <f>IF(COUNTBLANK(Master_Reference[[#This Row],[C-Flex 3000K Eco Part Number]:[C-Flex 4000K Eco Part Number]])=3,FALSE,TRUE)</f>
        <v>0</v>
      </c>
      <c r="S412" t="b">
        <f>IF(COUNTBLANK(Master_Reference[[#This Row],[C-Flex 3000K 3W Part Number]:[C-Flex 4000K 3W Part Number]])=3,FALSE,TRUE)</f>
        <v>0</v>
      </c>
      <c r="T412" t="b">
        <f>IF(COUNTBLANK(Master_Reference[[#This Row],[Lutron 3000K Eco Part Number]:[Lutron 4000K Eco Part Number]])=3,FALSE,TRUE)</f>
        <v>0</v>
      </c>
      <c r="U412" t="b">
        <f>IF(COUNTBLANK(Master_Reference[[#This Row],[Lutron 3000K 3W Part Number]:[Lutron 4000K 3W Part Number]])=3,FALSE,TRUE)</f>
        <v>0</v>
      </c>
      <c r="V412" s="12"/>
      <c r="W412" s="12"/>
      <c r="X412" s="12"/>
      <c r="Y412" t="s">
        <v>2125</v>
      </c>
      <c r="Z412" s="12"/>
      <c r="AA412" s="12"/>
      <c r="AB412" s="12"/>
      <c r="AC412" t="s">
        <v>2125</v>
      </c>
      <c r="AD412" t="str">
        <f>SUBSTITUTE(Master_Reference[[#This Row],[C-Flex 4000K Eco Part Number]],"40-","xx-")</f>
        <v/>
      </c>
      <c r="AE412" t="str">
        <f>SUBSTITUTE(Master_Reference[[#This Row],[C-Flex 4000K 3W Part Number]],"40-","xx-")</f>
        <v/>
      </c>
      <c r="AF412" s="1" t="str">
        <f>_xlfn.IFNA(VLOOKUP(Master_Reference[[#This Row],[C-Flex 3000K Eco Part Number]],Lutron_CFlex_Lookup[],MATCH("Lutron Kit PN",Lutron_CFlex_Lookup[#Headers],0),FALSE),"")</f>
        <v/>
      </c>
      <c r="AG412" s="1" t="str">
        <f>_xlfn.IFNA(VLOOKUP(Master_Reference[[#This Row],[C-Flex 3500K Eco Part Number]],Lutron_CFlex_Lookup[],MATCH("Lutron Kit PN",Lutron_CFlex_Lookup[#Headers],0),FALSE),"")</f>
        <v/>
      </c>
      <c r="AH412" s="1" t="str">
        <f>_xlfn.IFNA(VLOOKUP(Master_Reference[[#This Row],[C-Flex 4000K Eco Part Number]],Lutron_CFlex_Lookup[],MATCH("Lutron Kit PN",Lutron_CFlex_Lookup[#Headers],0),FALSE),"")</f>
        <v/>
      </c>
      <c r="AI412" s="1" t="str">
        <f>_xlfn.IFNA(VLOOKUP(Master_Reference[[#This Row],[C-Flex 5000K Eco Part Number]],Lutron_CFlex_Lookup[],MATCH("Lutron Kit PN",Lutron_CFlex_Lookup[#Headers],0),FALSE),"")</f>
        <v/>
      </c>
      <c r="AJ412" s="1" t="str">
        <f>_xlfn.IFNA(VLOOKUP(Master_Reference[[#This Row],[C-Flex 3000K 3W Part Number]],Lutron_CFlex_Lookup[],MATCH("Lutron Kit PN",Lutron_CFlex_Lookup[#Headers],0),FALSE),"")</f>
        <v/>
      </c>
      <c r="AK412" s="1" t="str">
        <f>_xlfn.IFNA(VLOOKUP(Master_Reference[[#This Row],[C-Flex 3500K 3W Part Number]],Lutron_CFlex_Lookup[],MATCH("Lutron Kit PN",Lutron_CFlex_Lookup[#Headers],0),FALSE),"")</f>
        <v/>
      </c>
      <c r="AL412" s="1" t="str">
        <f>_xlfn.IFNA(VLOOKUP(Master_Reference[[#This Row],[C-Flex 4000K 3W Part Number]],Lutron_CFlex_Lookup[],MATCH("Lutron Kit PN",Lutron_CFlex_Lookup[#Headers],0),FALSE),"")</f>
        <v/>
      </c>
      <c r="AM412" s="1" t="str">
        <f>_xlfn.IFNA(VLOOKUP(Master_Reference[[#This Row],[C-Flex 5000K 3W Part Number]],Lutron_CFlex_Lookup[],MATCH("Lutron Kit PN",Lutron_CFlex_Lookup[#Headers],0),FALSE),"")</f>
        <v/>
      </c>
      <c r="AN412" s="1" t="b">
        <f>NOT(ISNA(VLOOKUP(Master_Reference[[#This Row],[Model Number]],ObsoleteModels[],1,FALSE)))</f>
        <v>1</v>
      </c>
      <c r="AO412" s="1" t="str">
        <f>IF(LEFT(Master_Reference[[#This Row],[Model Number]],1)="U",LEFT(Master_Reference[[#This Row],[Model Number]],4),LEFT(Master_Reference[[#This Row],[Model Number]],3))</f>
        <v>EHD</v>
      </c>
    </row>
    <row r="413" spans="1:41" x14ac:dyDescent="0.25">
      <c r="A413" s="2" t="s">
        <v>694</v>
      </c>
      <c r="B413" s="1" t="b">
        <v>1</v>
      </c>
      <c r="G413" s="1" t="str">
        <f>IF(OR(LEFT(RIGHT(Master_Reference[[#This Row],[Model Number]],3),1)="C",LEFT(RIGHT(Master_Reference[[#This Row],[Model Number]],4),1)="C"),TRUE,"")</f>
        <v/>
      </c>
      <c r="H413" s="1" t="str">
        <f>IF(LEFT(Master_Reference[[#This Row],[Model Number]],1)="U",TRUE,"")</f>
        <v/>
      </c>
      <c r="I413" s="1" t="str">
        <f>IF(Master_Reference[[#This Row],[Lamp Type]]="T4","",IF(Master_Reference[[#This Row],[Case Type]]="M","",TRUE))</f>
        <v/>
      </c>
      <c r="J413" s="1" t="s">
        <v>123</v>
      </c>
      <c r="K413" s="1">
        <v>28</v>
      </c>
      <c r="L413" s="1" t="s">
        <v>118</v>
      </c>
      <c r="M413" s="1">
        <v>1</v>
      </c>
      <c r="N413" s="1" t="s">
        <v>149</v>
      </c>
      <c r="O413" s="1" t="s">
        <v>632</v>
      </c>
      <c r="R413" t="b">
        <f>IF(COUNTBLANK(Master_Reference[[#This Row],[C-Flex 3000K Eco Part Number]:[C-Flex 4000K Eco Part Number]])=3,FALSE,TRUE)</f>
        <v>1</v>
      </c>
      <c r="S413" t="b">
        <f>IF(COUNTBLANK(Master_Reference[[#This Row],[C-Flex 3000K 3W Part Number]:[C-Flex 4000K 3W Part Number]])=3,FALSE,TRUE)</f>
        <v>0</v>
      </c>
      <c r="T413" t="b">
        <f>IF(COUNTBLANK(Master_Reference[[#This Row],[Lutron 3000K Eco Part Number]:[Lutron 4000K Eco Part Number]])=3,FALSE,TRUE)</f>
        <v>1</v>
      </c>
      <c r="U413" t="b">
        <f>IF(COUNTBLANK(Master_Reference[[#This Row],[Lutron 3000K 3W Part Number]:[Lutron 4000K 3W Part Number]])=3,FALSE,TRUE)</f>
        <v>0</v>
      </c>
      <c r="V413" s="12" t="s">
        <v>283</v>
      </c>
      <c r="W413" s="12" t="s">
        <v>284</v>
      </c>
      <c r="X413" s="12" t="s">
        <v>285</v>
      </c>
      <c r="Y413" t="s">
        <v>1719</v>
      </c>
      <c r="Z413" s="12"/>
      <c r="AA413" s="12"/>
      <c r="AB413" s="12"/>
      <c r="AC413" t="s">
        <v>2125</v>
      </c>
      <c r="AD413" t="str">
        <f>SUBSTITUTE(Master_Reference[[#This Row],[C-Flex 4000K Eco Part Number]],"40-","xx-")</f>
        <v>RP-T5-4FT-1L-8xx-E1-M-G2</v>
      </c>
      <c r="AE413" t="str">
        <f>SUBSTITUTE(Master_Reference[[#This Row],[C-Flex 4000K 3W Part Number]],"40-","xx-")</f>
        <v/>
      </c>
      <c r="AF413" s="1" t="str">
        <f>_xlfn.IFNA(VLOOKUP(Master_Reference[[#This Row],[C-Flex 3000K Eco Part Number]],Lutron_CFlex_Lookup[],MATCH("Lutron Kit PN",Lutron_CFlex_Lookup[#Headers],0),FALSE),"")</f>
        <v>ELD4T5-1M30-q</v>
      </c>
      <c r="AG413" s="1" t="str">
        <f>_xlfn.IFNA(VLOOKUP(Master_Reference[[#This Row],[C-Flex 3500K Eco Part Number]],Lutron_CFlex_Lookup[],MATCH("Lutron Kit PN",Lutron_CFlex_Lookup[#Headers],0),FALSE),"")</f>
        <v>ELD4T5-1M35-q</v>
      </c>
      <c r="AH413" s="1" t="str">
        <f>_xlfn.IFNA(VLOOKUP(Master_Reference[[#This Row],[C-Flex 4000K Eco Part Number]],Lutron_CFlex_Lookup[],MATCH("Lutron Kit PN",Lutron_CFlex_Lookup[#Headers],0),FALSE),"")</f>
        <v>ELD4T5-1M40-q</v>
      </c>
      <c r="AI413" s="1" t="str">
        <f>_xlfn.IFNA(VLOOKUP(Master_Reference[[#This Row],[C-Flex 5000K Eco Part Number]],Lutron_CFlex_Lookup[],MATCH("Lutron Kit PN",Lutron_CFlex_Lookup[#Headers],0),FALSE),"")</f>
        <v>ELD4T5-1M50-q</v>
      </c>
      <c r="AJ413" s="1" t="str">
        <f>_xlfn.IFNA(VLOOKUP(Master_Reference[[#This Row],[C-Flex 3000K 3W Part Number]],Lutron_CFlex_Lookup[],MATCH("Lutron Kit PN",Lutron_CFlex_Lookup[#Headers],0),FALSE),"")</f>
        <v/>
      </c>
      <c r="AK413" s="1" t="str">
        <f>_xlfn.IFNA(VLOOKUP(Master_Reference[[#This Row],[C-Flex 3500K 3W Part Number]],Lutron_CFlex_Lookup[],MATCH("Lutron Kit PN",Lutron_CFlex_Lookup[#Headers],0),FALSE),"")</f>
        <v/>
      </c>
      <c r="AL413" s="1" t="str">
        <f>_xlfn.IFNA(VLOOKUP(Master_Reference[[#This Row],[C-Flex 4000K 3W Part Number]],Lutron_CFlex_Lookup[],MATCH("Lutron Kit PN",Lutron_CFlex_Lookup[#Headers],0),FALSE),"")</f>
        <v/>
      </c>
      <c r="AM413" s="1" t="str">
        <f>_xlfn.IFNA(VLOOKUP(Master_Reference[[#This Row],[C-Flex 5000K 3W Part Number]],Lutron_CFlex_Lookup[],MATCH("Lutron Kit PN",Lutron_CFlex_Lookup[#Headers],0),FALSE),"")</f>
        <v/>
      </c>
      <c r="AN413" s="1" t="b">
        <f>NOT(ISNA(VLOOKUP(Master_Reference[[#This Row],[Model Number]],ObsoleteModels[],1,FALSE)))</f>
        <v>1</v>
      </c>
      <c r="AO413" s="1" t="str">
        <f>IF(LEFT(Master_Reference[[#This Row],[Model Number]],1)="U",LEFT(Master_Reference[[#This Row],[Model Number]],4),LEFT(Master_Reference[[#This Row],[Model Number]],3))</f>
        <v>EHD</v>
      </c>
    </row>
    <row r="414" spans="1:41" x14ac:dyDescent="0.25">
      <c r="A414" s="2" t="s">
        <v>695</v>
      </c>
      <c r="B414" s="1" t="b">
        <v>1</v>
      </c>
      <c r="G414" s="1" t="str">
        <f>IF(OR(LEFT(RIGHT(Master_Reference[[#This Row],[Model Number]],3),1)="C",LEFT(RIGHT(Master_Reference[[#This Row],[Model Number]],4),1)="C"),TRUE,"")</f>
        <v/>
      </c>
      <c r="H414" s="1" t="str">
        <f>IF(LEFT(Master_Reference[[#This Row],[Model Number]],1)="U",TRUE,"")</f>
        <v/>
      </c>
      <c r="I414" s="1" t="str">
        <f>IF(Master_Reference[[#This Row],[Lamp Type]]="T4","",IF(Master_Reference[[#This Row],[Case Type]]="M","",TRUE))</f>
        <v/>
      </c>
      <c r="J414" s="1" t="s">
        <v>123</v>
      </c>
      <c r="K414" s="1">
        <v>28</v>
      </c>
      <c r="L414" s="1" t="s">
        <v>118</v>
      </c>
      <c r="M414" s="1">
        <v>1</v>
      </c>
      <c r="N414" s="1" t="s">
        <v>149</v>
      </c>
      <c r="O414" s="1" t="s">
        <v>632</v>
      </c>
      <c r="Q414" s="1" t="s">
        <v>91</v>
      </c>
      <c r="R414" t="b">
        <f>IF(COUNTBLANK(Master_Reference[[#This Row],[C-Flex 3000K Eco Part Number]:[C-Flex 4000K Eco Part Number]])=3,FALSE,TRUE)</f>
        <v>0</v>
      </c>
      <c r="S414" t="b">
        <f>IF(COUNTBLANK(Master_Reference[[#This Row],[C-Flex 3000K 3W Part Number]:[C-Flex 4000K 3W Part Number]])=3,FALSE,TRUE)</f>
        <v>0</v>
      </c>
      <c r="T414" t="b">
        <f>IF(COUNTBLANK(Master_Reference[[#This Row],[Lutron 3000K Eco Part Number]:[Lutron 4000K Eco Part Number]])=3,FALSE,TRUE)</f>
        <v>0</v>
      </c>
      <c r="U414" t="b">
        <f>IF(COUNTBLANK(Master_Reference[[#This Row],[Lutron 3000K 3W Part Number]:[Lutron 4000K 3W Part Number]])=3,FALSE,TRUE)</f>
        <v>0</v>
      </c>
      <c r="V414" s="12"/>
      <c r="W414" s="12"/>
      <c r="X414" s="12"/>
      <c r="Y414" t="s">
        <v>2125</v>
      </c>
      <c r="Z414" s="12"/>
      <c r="AA414" s="12"/>
      <c r="AB414" s="12"/>
      <c r="AC414" t="s">
        <v>2125</v>
      </c>
      <c r="AD414" t="str">
        <f>SUBSTITUTE(Master_Reference[[#This Row],[C-Flex 4000K Eco Part Number]],"40-","xx-")</f>
        <v/>
      </c>
      <c r="AE414" t="str">
        <f>SUBSTITUTE(Master_Reference[[#This Row],[C-Flex 4000K 3W Part Number]],"40-","xx-")</f>
        <v/>
      </c>
      <c r="AF414" s="1" t="str">
        <f>_xlfn.IFNA(VLOOKUP(Master_Reference[[#This Row],[C-Flex 3000K Eco Part Number]],Lutron_CFlex_Lookup[],MATCH("Lutron Kit PN",Lutron_CFlex_Lookup[#Headers],0),FALSE),"")</f>
        <v/>
      </c>
      <c r="AG414" s="1" t="str">
        <f>_xlfn.IFNA(VLOOKUP(Master_Reference[[#This Row],[C-Flex 3500K Eco Part Number]],Lutron_CFlex_Lookup[],MATCH("Lutron Kit PN",Lutron_CFlex_Lookup[#Headers],0),FALSE),"")</f>
        <v/>
      </c>
      <c r="AH414" s="1" t="str">
        <f>_xlfn.IFNA(VLOOKUP(Master_Reference[[#This Row],[C-Flex 4000K Eco Part Number]],Lutron_CFlex_Lookup[],MATCH("Lutron Kit PN",Lutron_CFlex_Lookup[#Headers],0),FALSE),"")</f>
        <v/>
      </c>
      <c r="AI414" s="1" t="str">
        <f>_xlfn.IFNA(VLOOKUP(Master_Reference[[#This Row],[C-Flex 5000K Eco Part Number]],Lutron_CFlex_Lookup[],MATCH("Lutron Kit PN",Lutron_CFlex_Lookup[#Headers],0),FALSE),"")</f>
        <v/>
      </c>
      <c r="AJ414" s="1" t="str">
        <f>_xlfn.IFNA(VLOOKUP(Master_Reference[[#This Row],[C-Flex 3000K 3W Part Number]],Lutron_CFlex_Lookup[],MATCH("Lutron Kit PN",Lutron_CFlex_Lookup[#Headers],0),FALSE),"")</f>
        <v/>
      </c>
      <c r="AK414" s="1" t="str">
        <f>_xlfn.IFNA(VLOOKUP(Master_Reference[[#This Row],[C-Flex 3500K 3W Part Number]],Lutron_CFlex_Lookup[],MATCH("Lutron Kit PN",Lutron_CFlex_Lookup[#Headers],0),FALSE),"")</f>
        <v/>
      </c>
      <c r="AL414" s="1" t="str">
        <f>_xlfn.IFNA(VLOOKUP(Master_Reference[[#This Row],[C-Flex 4000K 3W Part Number]],Lutron_CFlex_Lookup[],MATCH("Lutron Kit PN",Lutron_CFlex_Lookup[#Headers],0),FALSE),"")</f>
        <v/>
      </c>
      <c r="AM414" s="1" t="str">
        <f>_xlfn.IFNA(VLOOKUP(Master_Reference[[#This Row],[C-Flex 5000K 3W Part Number]],Lutron_CFlex_Lookup[],MATCH("Lutron Kit PN",Lutron_CFlex_Lookup[#Headers],0),FALSE),"")</f>
        <v/>
      </c>
      <c r="AN414" s="1" t="b">
        <f>NOT(ISNA(VLOOKUP(Master_Reference[[#This Row],[Model Number]],ObsoleteModels[],1,FALSE)))</f>
        <v>1</v>
      </c>
      <c r="AO414" s="1" t="str">
        <f>IF(LEFT(Master_Reference[[#This Row],[Model Number]],1)="U",LEFT(Master_Reference[[#This Row],[Model Number]],4),LEFT(Master_Reference[[#This Row],[Model Number]],3))</f>
        <v>EHD</v>
      </c>
    </row>
    <row r="415" spans="1:41" x14ac:dyDescent="0.25">
      <c r="A415" s="2" t="s">
        <v>696</v>
      </c>
      <c r="B415" s="1" t="b">
        <v>1</v>
      </c>
      <c r="G415" s="1" t="b">
        <f>IF(OR(LEFT(RIGHT(Master_Reference[[#This Row],[Model Number]],3),1)="C",LEFT(RIGHT(Master_Reference[[#This Row],[Model Number]],4),1)="C"),TRUE,"")</f>
        <v>1</v>
      </c>
      <c r="H415" s="1" t="str">
        <f>IF(LEFT(Master_Reference[[#This Row],[Model Number]],1)="U",TRUE,"")</f>
        <v/>
      </c>
      <c r="I415" s="1" t="str">
        <f>IF(Master_Reference[[#This Row],[Lamp Type]]="T4","",IF(Master_Reference[[#This Row],[Case Type]]="M","",TRUE))</f>
        <v/>
      </c>
      <c r="J415" s="1" t="s">
        <v>123</v>
      </c>
      <c r="K415" s="1">
        <v>28</v>
      </c>
      <c r="L415" s="1" t="s">
        <v>118</v>
      </c>
      <c r="M415" s="1">
        <v>1</v>
      </c>
      <c r="N415" s="1" t="s">
        <v>149</v>
      </c>
      <c r="O415" s="1" t="s">
        <v>632</v>
      </c>
      <c r="R415" t="b">
        <f>IF(COUNTBLANK(Master_Reference[[#This Row],[C-Flex 3000K Eco Part Number]:[C-Flex 4000K Eco Part Number]])=3,FALSE,TRUE)</f>
        <v>1</v>
      </c>
      <c r="S415" t="b">
        <f>IF(COUNTBLANK(Master_Reference[[#This Row],[C-Flex 3000K 3W Part Number]:[C-Flex 4000K 3W Part Number]])=3,FALSE,TRUE)</f>
        <v>0</v>
      </c>
      <c r="T415" t="b">
        <f>IF(COUNTBLANK(Master_Reference[[#This Row],[Lutron 3000K Eco Part Number]:[Lutron 4000K Eco Part Number]])=3,FALSE,TRUE)</f>
        <v>1</v>
      </c>
      <c r="U415" t="b">
        <f>IF(COUNTBLANK(Master_Reference[[#This Row],[Lutron 3000K 3W Part Number]:[Lutron 4000K 3W Part Number]])=3,FALSE,TRUE)</f>
        <v>0</v>
      </c>
      <c r="V415" s="12" t="s">
        <v>283</v>
      </c>
      <c r="W415" s="12" t="s">
        <v>284</v>
      </c>
      <c r="X415" s="12" t="s">
        <v>285</v>
      </c>
      <c r="Y415" t="s">
        <v>1719</v>
      </c>
      <c r="Z415" s="12"/>
      <c r="AA415" s="12"/>
      <c r="AB415" s="12"/>
      <c r="AC415" t="s">
        <v>2125</v>
      </c>
      <c r="AD415" t="str">
        <f>SUBSTITUTE(Master_Reference[[#This Row],[C-Flex 4000K Eco Part Number]],"40-","xx-")</f>
        <v>RP-T5-4FT-1L-8xx-E1-M-G2</v>
      </c>
      <c r="AE415" t="str">
        <f>SUBSTITUTE(Master_Reference[[#This Row],[C-Flex 4000K 3W Part Number]],"40-","xx-")</f>
        <v/>
      </c>
      <c r="AF415" s="1" t="str">
        <f>_xlfn.IFNA(VLOOKUP(Master_Reference[[#This Row],[C-Flex 3000K Eco Part Number]],Lutron_CFlex_Lookup[],MATCH("Lutron Kit PN",Lutron_CFlex_Lookup[#Headers],0),FALSE),"")</f>
        <v>ELD4T5-1M30-q</v>
      </c>
      <c r="AG415" s="1" t="str">
        <f>_xlfn.IFNA(VLOOKUP(Master_Reference[[#This Row],[C-Flex 3500K Eco Part Number]],Lutron_CFlex_Lookup[],MATCH("Lutron Kit PN",Lutron_CFlex_Lookup[#Headers],0),FALSE),"")</f>
        <v>ELD4T5-1M35-q</v>
      </c>
      <c r="AH415" s="1" t="str">
        <f>_xlfn.IFNA(VLOOKUP(Master_Reference[[#This Row],[C-Flex 4000K Eco Part Number]],Lutron_CFlex_Lookup[],MATCH("Lutron Kit PN",Lutron_CFlex_Lookup[#Headers],0),FALSE),"")</f>
        <v>ELD4T5-1M40-q</v>
      </c>
      <c r="AI415" s="1" t="str">
        <f>_xlfn.IFNA(VLOOKUP(Master_Reference[[#This Row],[C-Flex 5000K Eco Part Number]],Lutron_CFlex_Lookup[],MATCH("Lutron Kit PN",Lutron_CFlex_Lookup[#Headers],0),FALSE),"")</f>
        <v>ELD4T5-1M50-q</v>
      </c>
      <c r="AJ415" s="1" t="str">
        <f>_xlfn.IFNA(VLOOKUP(Master_Reference[[#This Row],[C-Flex 3000K 3W Part Number]],Lutron_CFlex_Lookup[],MATCH("Lutron Kit PN",Lutron_CFlex_Lookup[#Headers],0),FALSE),"")</f>
        <v/>
      </c>
      <c r="AK415" s="1" t="str">
        <f>_xlfn.IFNA(VLOOKUP(Master_Reference[[#This Row],[C-Flex 3500K 3W Part Number]],Lutron_CFlex_Lookup[],MATCH("Lutron Kit PN",Lutron_CFlex_Lookup[#Headers],0),FALSE),"")</f>
        <v/>
      </c>
      <c r="AL415" s="1" t="str">
        <f>_xlfn.IFNA(VLOOKUP(Master_Reference[[#This Row],[C-Flex 4000K 3W Part Number]],Lutron_CFlex_Lookup[],MATCH("Lutron Kit PN",Lutron_CFlex_Lookup[#Headers],0),FALSE),"")</f>
        <v/>
      </c>
      <c r="AM415" s="1" t="str">
        <f>_xlfn.IFNA(VLOOKUP(Master_Reference[[#This Row],[C-Flex 5000K 3W Part Number]],Lutron_CFlex_Lookup[],MATCH("Lutron Kit PN",Lutron_CFlex_Lookup[#Headers],0),FALSE),"")</f>
        <v/>
      </c>
      <c r="AN415" s="1" t="b">
        <f>NOT(ISNA(VLOOKUP(Master_Reference[[#This Row],[Model Number]],ObsoleteModels[],1,FALSE)))</f>
        <v>1</v>
      </c>
      <c r="AO415" s="1" t="str">
        <f>IF(LEFT(Master_Reference[[#This Row],[Model Number]],1)="U",LEFT(Master_Reference[[#This Row],[Model Number]],4),LEFT(Master_Reference[[#This Row],[Model Number]],3))</f>
        <v>EHD</v>
      </c>
    </row>
    <row r="416" spans="1:41" x14ac:dyDescent="0.25">
      <c r="A416" s="2" t="s">
        <v>697</v>
      </c>
      <c r="B416" s="1" t="b">
        <v>1</v>
      </c>
      <c r="G416" s="1" t="b">
        <f>IF(OR(LEFT(RIGHT(Master_Reference[[#This Row],[Model Number]],3),1)="C",LEFT(RIGHT(Master_Reference[[#This Row],[Model Number]],4),1)="C"),TRUE,"")</f>
        <v>1</v>
      </c>
      <c r="H416" s="1" t="str">
        <f>IF(LEFT(Master_Reference[[#This Row],[Model Number]],1)="U",TRUE,"")</f>
        <v/>
      </c>
      <c r="I416" s="1" t="str">
        <f>IF(Master_Reference[[#This Row],[Lamp Type]]="T4","",IF(Master_Reference[[#This Row],[Case Type]]="M","",TRUE))</f>
        <v/>
      </c>
      <c r="J416" s="1" t="s">
        <v>123</v>
      </c>
      <c r="K416" s="1">
        <v>28</v>
      </c>
      <c r="L416" s="1" t="s">
        <v>118</v>
      </c>
      <c r="M416" s="1">
        <v>1</v>
      </c>
      <c r="N416" s="1" t="s">
        <v>149</v>
      </c>
      <c r="O416" s="1" t="s">
        <v>632</v>
      </c>
      <c r="R416" t="b">
        <f>IF(COUNTBLANK(Master_Reference[[#This Row],[C-Flex 3000K Eco Part Number]:[C-Flex 4000K Eco Part Number]])=3,FALSE,TRUE)</f>
        <v>1</v>
      </c>
      <c r="S416" t="b">
        <f>IF(COUNTBLANK(Master_Reference[[#This Row],[C-Flex 3000K 3W Part Number]:[C-Flex 4000K 3W Part Number]])=3,FALSE,TRUE)</f>
        <v>0</v>
      </c>
      <c r="T416" t="b">
        <f>IF(COUNTBLANK(Master_Reference[[#This Row],[Lutron 3000K Eco Part Number]:[Lutron 4000K Eco Part Number]])=3,FALSE,TRUE)</f>
        <v>1</v>
      </c>
      <c r="U416" t="b">
        <f>IF(COUNTBLANK(Master_Reference[[#This Row],[Lutron 3000K 3W Part Number]:[Lutron 4000K 3W Part Number]])=3,FALSE,TRUE)</f>
        <v>0</v>
      </c>
      <c r="V416" s="12" t="s">
        <v>283</v>
      </c>
      <c r="W416" s="12" t="s">
        <v>284</v>
      </c>
      <c r="X416" s="12" t="s">
        <v>285</v>
      </c>
      <c r="Y416" t="s">
        <v>1719</v>
      </c>
      <c r="Z416" s="12"/>
      <c r="AA416" s="12"/>
      <c r="AB416" s="12"/>
      <c r="AC416" t="s">
        <v>2125</v>
      </c>
      <c r="AD416" t="str">
        <f>SUBSTITUTE(Master_Reference[[#This Row],[C-Flex 4000K Eco Part Number]],"40-","xx-")</f>
        <v>RP-T5-4FT-1L-8xx-E1-M-G2</v>
      </c>
      <c r="AE416" t="str">
        <f>SUBSTITUTE(Master_Reference[[#This Row],[C-Flex 4000K 3W Part Number]],"40-","xx-")</f>
        <v/>
      </c>
      <c r="AF416" s="1" t="str">
        <f>_xlfn.IFNA(VLOOKUP(Master_Reference[[#This Row],[C-Flex 3000K Eco Part Number]],Lutron_CFlex_Lookup[],MATCH("Lutron Kit PN",Lutron_CFlex_Lookup[#Headers],0),FALSE),"")</f>
        <v>ELD4T5-1M30-q</v>
      </c>
      <c r="AG416" s="1" t="str">
        <f>_xlfn.IFNA(VLOOKUP(Master_Reference[[#This Row],[C-Flex 3500K Eco Part Number]],Lutron_CFlex_Lookup[],MATCH("Lutron Kit PN",Lutron_CFlex_Lookup[#Headers],0),FALSE),"")</f>
        <v>ELD4T5-1M35-q</v>
      </c>
      <c r="AH416" s="1" t="str">
        <f>_xlfn.IFNA(VLOOKUP(Master_Reference[[#This Row],[C-Flex 4000K Eco Part Number]],Lutron_CFlex_Lookup[],MATCH("Lutron Kit PN",Lutron_CFlex_Lookup[#Headers],0),FALSE),"")</f>
        <v>ELD4T5-1M40-q</v>
      </c>
      <c r="AI416" s="1" t="str">
        <f>_xlfn.IFNA(VLOOKUP(Master_Reference[[#This Row],[C-Flex 5000K Eco Part Number]],Lutron_CFlex_Lookup[],MATCH("Lutron Kit PN",Lutron_CFlex_Lookup[#Headers],0),FALSE),"")</f>
        <v>ELD4T5-1M50-q</v>
      </c>
      <c r="AJ416" s="1" t="str">
        <f>_xlfn.IFNA(VLOOKUP(Master_Reference[[#This Row],[C-Flex 3000K 3W Part Number]],Lutron_CFlex_Lookup[],MATCH("Lutron Kit PN",Lutron_CFlex_Lookup[#Headers],0),FALSE),"")</f>
        <v/>
      </c>
      <c r="AK416" s="1" t="str">
        <f>_xlfn.IFNA(VLOOKUP(Master_Reference[[#This Row],[C-Flex 3500K 3W Part Number]],Lutron_CFlex_Lookup[],MATCH("Lutron Kit PN",Lutron_CFlex_Lookup[#Headers],0),FALSE),"")</f>
        <v/>
      </c>
      <c r="AL416" s="1" t="str">
        <f>_xlfn.IFNA(VLOOKUP(Master_Reference[[#This Row],[C-Flex 4000K 3W Part Number]],Lutron_CFlex_Lookup[],MATCH("Lutron Kit PN",Lutron_CFlex_Lookup[#Headers],0),FALSE),"")</f>
        <v/>
      </c>
      <c r="AM416" s="1" t="str">
        <f>_xlfn.IFNA(VLOOKUP(Master_Reference[[#This Row],[C-Flex 5000K 3W Part Number]],Lutron_CFlex_Lookup[],MATCH("Lutron Kit PN",Lutron_CFlex_Lookup[#Headers],0),FALSE),"")</f>
        <v/>
      </c>
      <c r="AN416" s="1" t="b">
        <f>NOT(ISNA(VLOOKUP(Master_Reference[[#This Row],[Model Number]],ObsoleteModels[],1,FALSE)))</f>
        <v>1</v>
      </c>
      <c r="AO416" s="1" t="str">
        <f>IF(LEFT(Master_Reference[[#This Row],[Model Number]],1)="U",LEFT(Master_Reference[[#This Row],[Model Number]],4),LEFT(Master_Reference[[#This Row],[Model Number]],3))</f>
        <v>EHD</v>
      </c>
    </row>
    <row r="417" spans="1:41" x14ac:dyDescent="0.25">
      <c r="A417" s="2" t="s">
        <v>698</v>
      </c>
      <c r="B417" s="1" t="b">
        <v>1</v>
      </c>
      <c r="G417" s="1" t="b">
        <f>IF(OR(LEFT(RIGHT(Master_Reference[[#This Row],[Model Number]],3),1)="C",LEFT(RIGHT(Master_Reference[[#This Row],[Model Number]],4),1)="C"),TRUE,"")</f>
        <v>1</v>
      </c>
      <c r="H417" s="1" t="str">
        <f>IF(LEFT(Master_Reference[[#This Row],[Model Number]],1)="U",TRUE,"")</f>
        <v/>
      </c>
      <c r="I417" s="1" t="str">
        <f>IF(Master_Reference[[#This Row],[Lamp Type]]="T4","",IF(Master_Reference[[#This Row],[Case Type]]="M","",TRUE))</f>
        <v/>
      </c>
      <c r="J417" s="1" t="s">
        <v>123</v>
      </c>
      <c r="K417" s="1">
        <v>28</v>
      </c>
      <c r="L417" s="1" t="s">
        <v>118</v>
      </c>
      <c r="M417" s="1">
        <v>1</v>
      </c>
      <c r="N417" s="1" t="s">
        <v>149</v>
      </c>
      <c r="O417" s="1" t="s">
        <v>632</v>
      </c>
      <c r="R417" t="b">
        <f>IF(COUNTBLANK(Master_Reference[[#This Row],[C-Flex 3000K Eco Part Number]:[C-Flex 4000K Eco Part Number]])=3,FALSE,TRUE)</f>
        <v>1</v>
      </c>
      <c r="S417" t="b">
        <f>IF(COUNTBLANK(Master_Reference[[#This Row],[C-Flex 3000K 3W Part Number]:[C-Flex 4000K 3W Part Number]])=3,FALSE,TRUE)</f>
        <v>0</v>
      </c>
      <c r="T417" t="b">
        <f>IF(COUNTBLANK(Master_Reference[[#This Row],[Lutron 3000K Eco Part Number]:[Lutron 4000K Eco Part Number]])=3,FALSE,TRUE)</f>
        <v>1</v>
      </c>
      <c r="U417" t="b">
        <f>IF(COUNTBLANK(Master_Reference[[#This Row],[Lutron 3000K 3W Part Number]:[Lutron 4000K 3W Part Number]])=3,FALSE,TRUE)</f>
        <v>0</v>
      </c>
      <c r="V417" s="12" t="s">
        <v>283</v>
      </c>
      <c r="W417" s="12" t="s">
        <v>284</v>
      </c>
      <c r="X417" s="12" t="s">
        <v>285</v>
      </c>
      <c r="Y417" t="s">
        <v>1719</v>
      </c>
      <c r="Z417" s="12"/>
      <c r="AA417" s="12"/>
      <c r="AB417" s="12"/>
      <c r="AC417" t="s">
        <v>2125</v>
      </c>
      <c r="AD417" t="str">
        <f>SUBSTITUTE(Master_Reference[[#This Row],[C-Flex 4000K Eco Part Number]],"40-","xx-")</f>
        <v>RP-T5-4FT-1L-8xx-E1-M-G2</v>
      </c>
      <c r="AE417" t="str">
        <f>SUBSTITUTE(Master_Reference[[#This Row],[C-Flex 4000K 3W Part Number]],"40-","xx-")</f>
        <v/>
      </c>
      <c r="AF417" s="1" t="str">
        <f>_xlfn.IFNA(VLOOKUP(Master_Reference[[#This Row],[C-Flex 3000K Eco Part Number]],Lutron_CFlex_Lookup[],MATCH("Lutron Kit PN",Lutron_CFlex_Lookup[#Headers],0),FALSE),"")</f>
        <v>ELD4T5-1M30-q</v>
      </c>
      <c r="AG417" s="1" t="str">
        <f>_xlfn.IFNA(VLOOKUP(Master_Reference[[#This Row],[C-Flex 3500K Eco Part Number]],Lutron_CFlex_Lookup[],MATCH("Lutron Kit PN",Lutron_CFlex_Lookup[#Headers],0),FALSE),"")</f>
        <v>ELD4T5-1M35-q</v>
      </c>
      <c r="AH417" s="1" t="str">
        <f>_xlfn.IFNA(VLOOKUP(Master_Reference[[#This Row],[C-Flex 4000K Eco Part Number]],Lutron_CFlex_Lookup[],MATCH("Lutron Kit PN",Lutron_CFlex_Lookup[#Headers],0),FALSE),"")</f>
        <v>ELD4T5-1M40-q</v>
      </c>
      <c r="AI417" s="1" t="str">
        <f>_xlfn.IFNA(VLOOKUP(Master_Reference[[#This Row],[C-Flex 5000K Eco Part Number]],Lutron_CFlex_Lookup[],MATCH("Lutron Kit PN",Lutron_CFlex_Lookup[#Headers],0),FALSE),"")</f>
        <v>ELD4T5-1M50-q</v>
      </c>
      <c r="AJ417" s="1" t="str">
        <f>_xlfn.IFNA(VLOOKUP(Master_Reference[[#This Row],[C-Flex 3000K 3W Part Number]],Lutron_CFlex_Lookup[],MATCH("Lutron Kit PN",Lutron_CFlex_Lookup[#Headers],0),FALSE),"")</f>
        <v/>
      </c>
      <c r="AK417" s="1" t="str">
        <f>_xlfn.IFNA(VLOOKUP(Master_Reference[[#This Row],[C-Flex 3500K 3W Part Number]],Lutron_CFlex_Lookup[],MATCH("Lutron Kit PN",Lutron_CFlex_Lookup[#Headers],0),FALSE),"")</f>
        <v/>
      </c>
      <c r="AL417" s="1" t="str">
        <f>_xlfn.IFNA(VLOOKUP(Master_Reference[[#This Row],[C-Flex 4000K 3W Part Number]],Lutron_CFlex_Lookup[],MATCH("Lutron Kit PN",Lutron_CFlex_Lookup[#Headers],0),FALSE),"")</f>
        <v/>
      </c>
      <c r="AM417" s="1" t="str">
        <f>_xlfn.IFNA(VLOOKUP(Master_Reference[[#This Row],[C-Flex 5000K 3W Part Number]],Lutron_CFlex_Lookup[],MATCH("Lutron Kit PN",Lutron_CFlex_Lookup[#Headers],0),FALSE),"")</f>
        <v/>
      </c>
      <c r="AN417" s="1" t="b">
        <f>NOT(ISNA(VLOOKUP(Master_Reference[[#This Row],[Model Number]],ObsoleteModels[],1,FALSE)))</f>
        <v>1</v>
      </c>
      <c r="AO417" s="1" t="str">
        <f>IF(LEFT(Master_Reference[[#This Row],[Model Number]],1)="U",LEFT(Master_Reference[[#This Row],[Model Number]],4),LEFT(Master_Reference[[#This Row],[Model Number]],3))</f>
        <v>EHD</v>
      </c>
    </row>
    <row r="418" spans="1:41" x14ac:dyDescent="0.25">
      <c r="A418" s="2" t="s">
        <v>699</v>
      </c>
      <c r="B418" s="1" t="b">
        <v>1</v>
      </c>
      <c r="G418" s="1" t="b">
        <f>IF(OR(LEFT(RIGHT(Master_Reference[[#This Row],[Model Number]],3),1)="C",LEFT(RIGHT(Master_Reference[[#This Row],[Model Number]],4),1)="C"),TRUE,"")</f>
        <v>1</v>
      </c>
      <c r="H418" s="1" t="str">
        <f>IF(LEFT(Master_Reference[[#This Row],[Model Number]],1)="U",TRUE,"")</f>
        <v/>
      </c>
      <c r="I418" s="1" t="str">
        <f>IF(Master_Reference[[#This Row],[Lamp Type]]="T4","",IF(Master_Reference[[#This Row],[Case Type]]="M","",TRUE))</f>
        <v/>
      </c>
      <c r="J418" s="1" t="s">
        <v>123</v>
      </c>
      <c r="K418" s="1">
        <v>28</v>
      </c>
      <c r="L418" s="1" t="s">
        <v>118</v>
      </c>
      <c r="M418" s="1">
        <v>1</v>
      </c>
      <c r="N418" s="1" t="s">
        <v>149</v>
      </c>
      <c r="O418" s="1" t="s">
        <v>632</v>
      </c>
      <c r="R418" t="b">
        <f>IF(COUNTBLANK(Master_Reference[[#This Row],[C-Flex 3000K Eco Part Number]:[C-Flex 4000K Eco Part Number]])=3,FALSE,TRUE)</f>
        <v>1</v>
      </c>
      <c r="S418" t="b">
        <f>IF(COUNTBLANK(Master_Reference[[#This Row],[C-Flex 3000K 3W Part Number]:[C-Flex 4000K 3W Part Number]])=3,FALSE,TRUE)</f>
        <v>0</v>
      </c>
      <c r="T418" t="b">
        <f>IF(COUNTBLANK(Master_Reference[[#This Row],[Lutron 3000K Eco Part Number]:[Lutron 4000K Eco Part Number]])=3,FALSE,TRUE)</f>
        <v>1</v>
      </c>
      <c r="U418" t="b">
        <f>IF(COUNTBLANK(Master_Reference[[#This Row],[Lutron 3000K 3W Part Number]:[Lutron 4000K 3W Part Number]])=3,FALSE,TRUE)</f>
        <v>0</v>
      </c>
      <c r="V418" s="12" t="s">
        <v>283</v>
      </c>
      <c r="W418" s="12" t="s">
        <v>284</v>
      </c>
      <c r="X418" s="12" t="s">
        <v>285</v>
      </c>
      <c r="Y418" t="s">
        <v>1719</v>
      </c>
      <c r="Z418" s="12"/>
      <c r="AA418" s="12"/>
      <c r="AB418" s="12"/>
      <c r="AC418" t="s">
        <v>2125</v>
      </c>
      <c r="AD418" t="str">
        <f>SUBSTITUTE(Master_Reference[[#This Row],[C-Flex 4000K Eco Part Number]],"40-","xx-")</f>
        <v>RP-T5-4FT-1L-8xx-E1-M-G2</v>
      </c>
      <c r="AE418" t="str">
        <f>SUBSTITUTE(Master_Reference[[#This Row],[C-Flex 4000K 3W Part Number]],"40-","xx-")</f>
        <v/>
      </c>
      <c r="AF418" s="1" t="str">
        <f>_xlfn.IFNA(VLOOKUP(Master_Reference[[#This Row],[C-Flex 3000K Eco Part Number]],Lutron_CFlex_Lookup[],MATCH("Lutron Kit PN",Lutron_CFlex_Lookup[#Headers],0),FALSE),"")</f>
        <v>ELD4T5-1M30-q</v>
      </c>
      <c r="AG418" s="1" t="str">
        <f>_xlfn.IFNA(VLOOKUP(Master_Reference[[#This Row],[C-Flex 3500K Eco Part Number]],Lutron_CFlex_Lookup[],MATCH("Lutron Kit PN",Lutron_CFlex_Lookup[#Headers],0),FALSE),"")</f>
        <v>ELD4T5-1M35-q</v>
      </c>
      <c r="AH418" s="1" t="str">
        <f>_xlfn.IFNA(VLOOKUP(Master_Reference[[#This Row],[C-Flex 4000K Eco Part Number]],Lutron_CFlex_Lookup[],MATCH("Lutron Kit PN",Lutron_CFlex_Lookup[#Headers],0),FALSE),"")</f>
        <v>ELD4T5-1M40-q</v>
      </c>
      <c r="AI418" s="1" t="str">
        <f>_xlfn.IFNA(VLOOKUP(Master_Reference[[#This Row],[C-Flex 5000K Eco Part Number]],Lutron_CFlex_Lookup[],MATCH("Lutron Kit PN",Lutron_CFlex_Lookup[#Headers],0),FALSE),"")</f>
        <v>ELD4T5-1M50-q</v>
      </c>
      <c r="AJ418" s="1" t="str">
        <f>_xlfn.IFNA(VLOOKUP(Master_Reference[[#This Row],[C-Flex 3000K 3W Part Number]],Lutron_CFlex_Lookup[],MATCH("Lutron Kit PN",Lutron_CFlex_Lookup[#Headers],0),FALSE),"")</f>
        <v/>
      </c>
      <c r="AK418" s="1" t="str">
        <f>_xlfn.IFNA(VLOOKUP(Master_Reference[[#This Row],[C-Flex 3500K 3W Part Number]],Lutron_CFlex_Lookup[],MATCH("Lutron Kit PN",Lutron_CFlex_Lookup[#Headers],0),FALSE),"")</f>
        <v/>
      </c>
      <c r="AL418" s="1" t="str">
        <f>_xlfn.IFNA(VLOOKUP(Master_Reference[[#This Row],[C-Flex 4000K 3W Part Number]],Lutron_CFlex_Lookup[],MATCH("Lutron Kit PN",Lutron_CFlex_Lookup[#Headers],0),FALSE),"")</f>
        <v/>
      </c>
      <c r="AM418" s="1" t="str">
        <f>_xlfn.IFNA(VLOOKUP(Master_Reference[[#This Row],[C-Flex 5000K 3W Part Number]],Lutron_CFlex_Lookup[],MATCH("Lutron Kit PN",Lutron_CFlex_Lookup[#Headers],0),FALSE),"")</f>
        <v/>
      </c>
      <c r="AN418" s="1" t="b">
        <f>NOT(ISNA(VLOOKUP(Master_Reference[[#This Row],[Model Number]],ObsoleteModels[],1,FALSE)))</f>
        <v>1</v>
      </c>
      <c r="AO418" s="1" t="str">
        <f>IF(LEFT(Master_Reference[[#This Row],[Model Number]],1)="U",LEFT(Master_Reference[[#This Row],[Model Number]],4),LEFT(Master_Reference[[#This Row],[Model Number]],3))</f>
        <v>EHD</v>
      </c>
    </row>
    <row r="419" spans="1:41" x14ac:dyDescent="0.25">
      <c r="A419" s="2" t="s">
        <v>700</v>
      </c>
      <c r="B419" s="1" t="b">
        <v>1</v>
      </c>
      <c r="G419" s="1" t="b">
        <f>IF(OR(LEFT(RIGHT(Master_Reference[[#This Row],[Model Number]],3),1)="C",LEFT(RIGHT(Master_Reference[[#This Row],[Model Number]],4),1)="C"),TRUE,"")</f>
        <v>1</v>
      </c>
      <c r="H419" s="1" t="str">
        <f>IF(LEFT(Master_Reference[[#This Row],[Model Number]],1)="U",TRUE,"")</f>
        <v/>
      </c>
      <c r="I419" s="1" t="str">
        <f>IF(Master_Reference[[#This Row],[Lamp Type]]="T4","",IF(Master_Reference[[#This Row],[Case Type]]="M","",TRUE))</f>
        <v/>
      </c>
      <c r="J419" s="1" t="s">
        <v>123</v>
      </c>
      <c r="K419" s="1">
        <v>28</v>
      </c>
      <c r="L419" s="1" t="s">
        <v>118</v>
      </c>
      <c r="M419" s="1">
        <v>1</v>
      </c>
      <c r="N419" s="1" t="s">
        <v>149</v>
      </c>
      <c r="O419" s="1" t="s">
        <v>632</v>
      </c>
      <c r="R419" t="b">
        <f>IF(COUNTBLANK(Master_Reference[[#This Row],[C-Flex 3000K Eco Part Number]:[C-Flex 4000K Eco Part Number]])=3,FALSE,TRUE)</f>
        <v>1</v>
      </c>
      <c r="S419" t="b">
        <f>IF(COUNTBLANK(Master_Reference[[#This Row],[C-Flex 3000K 3W Part Number]:[C-Flex 4000K 3W Part Number]])=3,FALSE,TRUE)</f>
        <v>0</v>
      </c>
      <c r="T419" t="b">
        <f>IF(COUNTBLANK(Master_Reference[[#This Row],[Lutron 3000K Eco Part Number]:[Lutron 4000K Eco Part Number]])=3,FALSE,TRUE)</f>
        <v>1</v>
      </c>
      <c r="U419" t="b">
        <f>IF(COUNTBLANK(Master_Reference[[#This Row],[Lutron 3000K 3W Part Number]:[Lutron 4000K 3W Part Number]])=3,FALSE,TRUE)</f>
        <v>0</v>
      </c>
      <c r="V419" s="12" t="s">
        <v>283</v>
      </c>
      <c r="W419" s="12" t="s">
        <v>284</v>
      </c>
      <c r="X419" s="12" t="s">
        <v>285</v>
      </c>
      <c r="Y419" t="s">
        <v>1719</v>
      </c>
      <c r="Z419" s="12"/>
      <c r="AA419" s="12"/>
      <c r="AB419" s="12"/>
      <c r="AC419" t="s">
        <v>2125</v>
      </c>
      <c r="AD419" t="str">
        <f>SUBSTITUTE(Master_Reference[[#This Row],[C-Flex 4000K Eco Part Number]],"40-","xx-")</f>
        <v>RP-T5-4FT-1L-8xx-E1-M-G2</v>
      </c>
      <c r="AE419" t="str">
        <f>SUBSTITUTE(Master_Reference[[#This Row],[C-Flex 4000K 3W Part Number]],"40-","xx-")</f>
        <v/>
      </c>
      <c r="AF419" s="1" t="str">
        <f>_xlfn.IFNA(VLOOKUP(Master_Reference[[#This Row],[C-Flex 3000K Eco Part Number]],Lutron_CFlex_Lookup[],MATCH("Lutron Kit PN",Lutron_CFlex_Lookup[#Headers],0),FALSE),"")</f>
        <v>ELD4T5-1M30-q</v>
      </c>
      <c r="AG419" s="1" t="str">
        <f>_xlfn.IFNA(VLOOKUP(Master_Reference[[#This Row],[C-Flex 3500K Eco Part Number]],Lutron_CFlex_Lookup[],MATCH("Lutron Kit PN",Lutron_CFlex_Lookup[#Headers],0),FALSE),"")</f>
        <v>ELD4T5-1M35-q</v>
      </c>
      <c r="AH419" s="1" t="str">
        <f>_xlfn.IFNA(VLOOKUP(Master_Reference[[#This Row],[C-Flex 4000K Eco Part Number]],Lutron_CFlex_Lookup[],MATCH("Lutron Kit PN",Lutron_CFlex_Lookup[#Headers],0),FALSE),"")</f>
        <v>ELD4T5-1M40-q</v>
      </c>
      <c r="AI419" s="1" t="str">
        <f>_xlfn.IFNA(VLOOKUP(Master_Reference[[#This Row],[C-Flex 5000K Eco Part Number]],Lutron_CFlex_Lookup[],MATCH("Lutron Kit PN",Lutron_CFlex_Lookup[#Headers],0),FALSE),"")</f>
        <v>ELD4T5-1M50-q</v>
      </c>
      <c r="AJ419" s="1" t="str">
        <f>_xlfn.IFNA(VLOOKUP(Master_Reference[[#This Row],[C-Flex 3000K 3W Part Number]],Lutron_CFlex_Lookup[],MATCH("Lutron Kit PN",Lutron_CFlex_Lookup[#Headers],0),FALSE),"")</f>
        <v/>
      </c>
      <c r="AK419" s="1" t="str">
        <f>_xlfn.IFNA(VLOOKUP(Master_Reference[[#This Row],[C-Flex 3500K 3W Part Number]],Lutron_CFlex_Lookup[],MATCH("Lutron Kit PN",Lutron_CFlex_Lookup[#Headers],0),FALSE),"")</f>
        <v/>
      </c>
      <c r="AL419" s="1" t="str">
        <f>_xlfn.IFNA(VLOOKUP(Master_Reference[[#This Row],[C-Flex 4000K 3W Part Number]],Lutron_CFlex_Lookup[],MATCH("Lutron Kit PN",Lutron_CFlex_Lookup[#Headers],0),FALSE),"")</f>
        <v/>
      </c>
      <c r="AM419" s="1" t="str">
        <f>_xlfn.IFNA(VLOOKUP(Master_Reference[[#This Row],[C-Flex 5000K 3W Part Number]],Lutron_CFlex_Lookup[],MATCH("Lutron Kit PN",Lutron_CFlex_Lookup[#Headers],0),FALSE),"")</f>
        <v/>
      </c>
      <c r="AN419" s="1" t="b">
        <f>NOT(ISNA(VLOOKUP(Master_Reference[[#This Row],[Model Number]],ObsoleteModels[],1,FALSE)))</f>
        <v>1</v>
      </c>
      <c r="AO419" s="1" t="str">
        <f>IF(LEFT(Master_Reference[[#This Row],[Model Number]],1)="U",LEFT(Master_Reference[[#This Row],[Model Number]],4),LEFT(Master_Reference[[#This Row],[Model Number]],3))</f>
        <v>EHD</v>
      </c>
    </row>
    <row r="420" spans="1:41" x14ac:dyDescent="0.25">
      <c r="A420" s="2" t="s">
        <v>701</v>
      </c>
      <c r="B420" s="1" t="b">
        <v>1</v>
      </c>
      <c r="G420" s="1" t="b">
        <f>IF(OR(LEFT(RIGHT(Master_Reference[[#This Row],[Model Number]],3),1)="C",LEFT(RIGHT(Master_Reference[[#This Row],[Model Number]],4),1)="C"),TRUE,"")</f>
        <v>1</v>
      </c>
      <c r="H420" s="1" t="str">
        <f>IF(LEFT(Master_Reference[[#This Row],[Model Number]],1)="U",TRUE,"")</f>
        <v/>
      </c>
      <c r="I420" s="1" t="str">
        <f>IF(Master_Reference[[#This Row],[Lamp Type]]="T4","",IF(Master_Reference[[#This Row],[Case Type]]="M","",TRUE))</f>
        <v/>
      </c>
      <c r="J420" s="1" t="s">
        <v>123</v>
      </c>
      <c r="K420" s="1">
        <v>28</v>
      </c>
      <c r="L420" s="1" t="s">
        <v>118</v>
      </c>
      <c r="M420" s="1">
        <v>1</v>
      </c>
      <c r="N420" s="1" t="s">
        <v>149</v>
      </c>
      <c r="O420" s="1" t="s">
        <v>632</v>
      </c>
      <c r="R420" t="b">
        <f>IF(COUNTBLANK(Master_Reference[[#This Row],[C-Flex 3000K Eco Part Number]:[C-Flex 4000K Eco Part Number]])=3,FALSE,TRUE)</f>
        <v>1</v>
      </c>
      <c r="S420" t="b">
        <f>IF(COUNTBLANK(Master_Reference[[#This Row],[C-Flex 3000K 3W Part Number]:[C-Flex 4000K 3W Part Number]])=3,FALSE,TRUE)</f>
        <v>0</v>
      </c>
      <c r="T420" t="b">
        <f>IF(COUNTBLANK(Master_Reference[[#This Row],[Lutron 3000K Eco Part Number]:[Lutron 4000K Eco Part Number]])=3,FALSE,TRUE)</f>
        <v>1</v>
      </c>
      <c r="U420" t="b">
        <f>IF(COUNTBLANK(Master_Reference[[#This Row],[Lutron 3000K 3W Part Number]:[Lutron 4000K 3W Part Number]])=3,FALSE,TRUE)</f>
        <v>0</v>
      </c>
      <c r="V420" s="12" t="s">
        <v>283</v>
      </c>
      <c r="W420" s="12" t="s">
        <v>284</v>
      </c>
      <c r="X420" s="12" t="s">
        <v>285</v>
      </c>
      <c r="Y420" t="s">
        <v>1719</v>
      </c>
      <c r="Z420" s="12"/>
      <c r="AA420" s="12"/>
      <c r="AB420" s="12"/>
      <c r="AC420" t="s">
        <v>2125</v>
      </c>
      <c r="AD420" t="str">
        <f>SUBSTITUTE(Master_Reference[[#This Row],[C-Flex 4000K Eco Part Number]],"40-","xx-")</f>
        <v>RP-T5-4FT-1L-8xx-E1-M-G2</v>
      </c>
      <c r="AE420" t="str">
        <f>SUBSTITUTE(Master_Reference[[#This Row],[C-Flex 4000K 3W Part Number]],"40-","xx-")</f>
        <v/>
      </c>
      <c r="AF420" s="1" t="str">
        <f>_xlfn.IFNA(VLOOKUP(Master_Reference[[#This Row],[C-Flex 3000K Eco Part Number]],Lutron_CFlex_Lookup[],MATCH("Lutron Kit PN",Lutron_CFlex_Lookup[#Headers],0),FALSE),"")</f>
        <v>ELD4T5-1M30-q</v>
      </c>
      <c r="AG420" s="1" t="str">
        <f>_xlfn.IFNA(VLOOKUP(Master_Reference[[#This Row],[C-Flex 3500K Eco Part Number]],Lutron_CFlex_Lookup[],MATCH("Lutron Kit PN",Lutron_CFlex_Lookup[#Headers],0),FALSE),"")</f>
        <v>ELD4T5-1M35-q</v>
      </c>
      <c r="AH420" s="1" t="str">
        <f>_xlfn.IFNA(VLOOKUP(Master_Reference[[#This Row],[C-Flex 4000K Eco Part Number]],Lutron_CFlex_Lookup[],MATCH("Lutron Kit PN",Lutron_CFlex_Lookup[#Headers],0),FALSE),"")</f>
        <v>ELD4T5-1M40-q</v>
      </c>
      <c r="AI420" s="1" t="str">
        <f>_xlfn.IFNA(VLOOKUP(Master_Reference[[#This Row],[C-Flex 5000K Eco Part Number]],Lutron_CFlex_Lookup[],MATCH("Lutron Kit PN",Lutron_CFlex_Lookup[#Headers],0),FALSE),"")</f>
        <v>ELD4T5-1M50-q</v>
      </c>
      <c r="AJ420" s="1" t="str">
        <f>_xlfn.IFNA(VLOOKUP(Master_Reference[[#This Row],[C-Flex 3000K 3W Part Number]],Lutron_CFlex_Lookup[],MATCH("Lutron Kit PN",Lutron_CFlex_Lookup[#Headers],0),FALSE),"")</f>
        <v/>
      </c>
      <c r="AK420" s="1" t="str">
        <f>_xlfn.IFNA(VLOOKUP(Master_Reference[[#This Row],[C-Flex 3500K 3W Part Number]],Lutron_CFlex_Lookup[],MATCH("Lutron Kit PN",Lutron_CFlex_Lookup[#Headers],0),FALSE),"")</f>
        <v/>
      </c>
      <c r="AL420" s="1" t="str">
        <f>_xlfn.IFNA(VLOOKUP(Master_Reference[[#This Row],[C-Flex 4000K 3W Part Number]],Lutron_CFlex_Lookup[],MATCH("Lutron Kit PN",Lutron_CFlex_Lookup[#Headers],0),FALSE),"")</f>
        <v/>
      </c>
      <c r="AM420" s="1" t="str">
        <f>_xlfn.IFNA(VLOOKUP(Master_Reference[[#This Row],[C-Flex 5000K 3W Part Number]],Lutron_CFlex_Lookup[],MATCH("Lutron Kit PN",Lutron_CFlex_Lookup[#Headers],0),FALSE),"")</f>
        <v/>
      </c>
      <c r="AN420" s="1" t="b">
        <f>NOT(ISNA(VLOOKUP(Master_Reference[[#This Row],[Model Number]],ObsoleteModels[],1,FALSE)))</f>
        <v>1</v>
      </c>
      <c r="AO420" s="1" t="str">
        <f>IF(LEFT(Master_Reference[[#This Row],[Model Number]],1)="U",LEFT(Master_Reference[[#This Row],[Model Number]],4),LEFT(Master_Reference[[#This Row],[Model Number]],3))</f>
        <v>EHD</v>
      </c>
    </row>
    <row r="421" spans="1:41" x14ac:dyDescent="0.25">
      <c r="A421" s="2" t="s">
        <v>702</v>
      </c>
      <c r="B421" s="1" t="b">
        <v>1</v>
      </c>
      <c r="G421" s="1" t="b">
        <f>IF(OR(LEFT(RIGHT(Master_Reference[[#This Row],[Model Number]],3),1)="C",LEFT(RIGHT(Master_Reference[[#This Row],[Model Number]],4),1)="C"),TRUE,"")</f>
        <v>1</v>
      </c>
      <c r="H421" s="1" t="str">
        <f>IF(LEFT(Master_Reference[[#This Row],[Model Number]],1)="U",TRUE,"")</f>
        <v/>
      </c>
      <c r="I421" s="1" t="str">
        <f>IF(Master_Reference[[#This Row],[Lamp Type]]="T4","",IF(Master_Reference[[#This Row],[Case Type]]="M","",TRUE))</f>
        <v/>
      </c>
      <c r="J421" s="1" t="s">
        <v>123</v>
      </c>
      <c r="K421" s="1">
        <v>28</v>
      </c>
      <c r="L421" s="1" t="s">
        <v>118</v>
      </c>
      <c r="M421" s="1">
        <v>1</v>
      </c>
      <c r="N421" s="1" t="s">
        <v>149</v>
      </c>
      <c r="O421" s="1" t="s">
        <v>632</v>
      </c>
      <c r="R421" t="b">
        <f>IF(COUNTBLANK(Master_Reference[[#This Row],[C-Flex 3000K Eco Part Number]:[C-Flex 4000K Eco Part Number]])=3,FALSE,TRUE)</f>
        <v>1</v>
      </c>
      <c r="S421" t="b">
        <f>IF(COUNTBLANK(Master_Reference[[#This Row],[C-Flex 3000K 3W Part Number]:[C-Flex 4000K 3W Part Number]])=3,FALSE,TRUE)</f>
        <v>0</v>
      </c>
      <c r="T421" t="b">
        <f>IF(COUNTBLANK(Master_Reference[[#This Row],[Lutron 3000K Eco Part Number]:[Lutron 4000K Eco Part Number]])=3,FALSE,TRUE)</f>
        <v>1</v>
      </c>
      <c r="U421" t="b">
        <f>IF(COUNTBLANK(Master_Reference[[#This Row],[Lutron 3000K 3W Part Number]:[Lutron 4000K 3W Part Number]])=3,FALSE,TRUE)</f>
        <v>0</v>
      </c>
      <c r="V421" s="12" t="s">
        <v>283</v>
      </c>
      <c r="W421" s="12" t="s">
        <v>284</v>
      </c>
      <c r="X421" s="12" t="s">
        <v>285</v>
      </c>
      <c r="Y421" t="s">
        <v>1719</v>
      </c>
      <c r="Z421" s="12"/>
      <c r="AA421" s="12"/>
      <c r="AB421" s="12"/>
      <c r="AC421" t="s">
        <v>2125</v>
      </c>
      <c r="AD421" t="str">
        <f>SUBSTITUTE(Master_Reference[[#This Row],[C-Flex 4000K Eco Part Number]],"40-","xx-")</f>
        <v>RP-T5-4FT-1L-8xx-E1-M-G2</v>
      </c>
      <c r="AE421" t="str">
        <f>SUBSTITUTE(Master_Reference[[#This Row],[C-Flex 4000K 3W Part Number]],"40-","xx-")</f>
        <v/>
      </c>
      <c r="AF421" s="1" t="str">
        <f>_xlfn.IFNA(VLOOKUP(Master_Reference[[#This Row],[C-Flex 3000K Eco Part Number]],Lutron_CFlex_Lookup[],MATCH("Lutron Kit PN",Lutron_CFlex_Lookup[#Headers],0),FALSE),"")</f>
        <v>ELD4T5-1M30-q</v>
      </c>
      <c r="AG421" s="1" t="str">
        <f>_xlfn.IFNA(VLOOKUP(Master_Reference[[#This Row],[C-Flex 3500K Eco Part Number]],Lutron_CFlex_Lookup[],MATCH("Lutron Kit PN",Lutron_CFlex_Lookup[#Headers],0),FALSE),"")</f>
        <v>ELD4T5-1M35-q</v>
      </c>
      <c r="AH421" s="1" t="str">
        <f>_xlfn.IFNA(VLOOKUP(Master_Reference[[#This Row],[C-Flex 4000K Eco Part Number]],Lutron_CFlex_Lookup[],MATCH("Lutron Kit PN",Lutron_CFlex_Lookup[#Headers],0),FALSE),"")</f>
        <v>ELD4T5-1M40-q</v>
      </c>
      <c r="AI421" s="1" t="str">
        <f>_xlfn.IFNA(VLOOKUP(Master_Reference[[#This Row],[C-Flex 5000K Eco Part Number]],Lutron_CFlex_Lookup[],MATCH("Lutron Kit PN",Lutron_CFlex_Lookup[#Headers],0),FALSE),"")</f>
        <v>ELD4T5-1M50-q</v>
      </c>
      <c r="AJ421" s="1" t="str">
        <f>_xlfn.IFNA(VLOOKUP(Master_Reference[[#This Row],[C-Flex 3000K 3W Part Number]],Lutron_CFlex_Lookup[],MATCH("Lutron Kit PN",Lutron_CFlex_Lookup[#Headers],0),FALSE),"")</f>
        <v/>
      </c>
      <c r="AK421" s="1" t="str">
        <f>_xlfn.IFNA(VLOOKUP(Master_Reference[[#This Row],[C-Flex 3500K 3W Part Number]],Lutron_CFlex_Lookup[],MATCH("Lutron Kit PN",Lutron_CFlex_Lookup[#Headers],0),FALSE),"")</f>
        <v/>
      </c>
      <c r="AL421" s="1" t="str">
        <f>_xlfn.IFNA(VLOOKUP(Master_Reference[[#This Row],[C-Flex 4000K 3W Part Number]],Lutron_CFlex_Lookup[],MATCH("Lutron Kit PN",Lutron_CFlex_Lookup[#Headers],0),FALSE),"")</f>
        <v/>
      </c>
      <c r="AM421" s="1" t="str">
        <f>_xlfn.IFNA(VLOOKUP(Master_Reference[[#This Row],[C-Flex 5000K 3W Part Number]],Lutron_CFlex_Lookup[],MATCH("Lutron Kit PN",Lutron_CFlex_Lookup[#Headers],0),FALSE),"")</f>
        <v/>
      </c>
      <c r="AN421" s="1" t="b">
        <f>NOT(ISNA(VLOOKUP(Master_Reference[[#This Row],[Model Number]],ObsoleteModels[],1,FALSE)))</f>
        <v>1</v>
      </c>
      <c r="AO421" s="1" t="str">
        <f>IF(LEFT(Master_Reference[[#This Row],[Model Number]],1)="U",LEFT(Master_Reference[[#This Row],[Model Number]],4),LEFT(Master_Reference[[#This Row],[Model Number]],3))</f>
        <v>EHD</v>
      </c>
    </row>
    <row r="422" spans="1:41" x14ac:dyDescent="0.25">
      <c r="A422" s="2" t="s">
        <v>703</v>
      </c>
      <c r="B422" s="1" t="b">
        <v>1</v>
      </c>
      <c r="G422" s="1" t="str">
        <f>IF(OR(LEFT(RIGHT(Master_Reference[[#This Row],[Model Number]],3),1)="C",LEFT(RIGHT(Master_Reference[[#This Row],[Model Number]],4),1)="C"),TRUE,"")</f>
        <v/>
      </c>
      <c r="H422" s="1" t="str">
        <f>IF(LEFT(Master_Reference[[#This Row],[Model Number]],1)="U",TRUE,"")</f>
        <v/>
      </c>
      <c r="I422" s="1" t="str">
        <f>IF(Master_Reference[[#This Row],[Lamp Type]]="T4","",IF(Master_Reference[[#This Row],[Case Type]]="M","",TRUE))</f>
        <v/>
      </c>
      <c r="J422" s="1" t="s">
        <v>123</v>
      </c>
      <c r="K422" s="1">
        <v>28</v>
      </c>
      <c r="L422" s="1" t="s">
        <v>118</v>
      </c>
      <c r="M422" s="1">
        <v>2</v>
      </c>
      <c r="N422" s="1" t="s">
        <v>149</v>
      </c>
      <c r="O422" s="1" t="s">
        <v>632</v>
      </c>
      <c r="R422" t="b">
        <f>IF(COUNTBLANK(Master_Reference[[#This Row],[C-Flex 3000K Eco Part Number]:[C-Flex 4000K Eco Part Number]])=3,FALSE,TRUE)</f>
        <v>1</v>
      </c>
      <c r="S422" t="b">
        <f>IF(COUNTBLANK(Master_Reference[[#This Row],[C-Flex 3000K 3W Part Number]:[C-Flex 4000K 3W Part Number]])=3,FALSE,TRUE)</f>
        <v>0</v>
      </c>
      <c r="T422" t="b">
        <f>IF(COUNTBLANK(Master_Reference[[#This Row],[Lutron 3000K Eco Part Number]:[Lutron 4000K Eco Part Number]])=3,FALSE,TRUE)</f>
        <v>1</v>
      </c>
      <c r="U422" t="b">
        <f>IF(COUNTBLANK(Master_Reference[[#This Row],[Lutron 3000K 3W Part Number]:[Lutron 4000K 3W Part Number]])=3,FALSE,TRUE)</f>
        <v>0</v>
      </c>
      <c r="V422" s="12" t="s">
        <v>290</v>
      </c>
      <c r="W422" s="12" t="s">
        <v>291</v>
      </c>
      <c r="X422" s="12" t="s">
        <v>292</v>
      </c>
      <c r="Y422" t="s">
        <v>1720</v>
      </c>
      <c r="Z422" s="12"/>
      <c r="AA422" s="12"/>
      <c r="AB422" s="12"/>
      <c r="AC422" t="s">
        <v>2125</v>
      </c>
      <c r="AD422" t="str">
        <f>SUBSTITUTE(Master_Reference[[#This Row],[C-Flex 4000K Eco Part Number]],"40-","xx-")</f>
        <v>RP-T5-4FT-2L-8xx-E1-M-G2</v>
      </c>
      <c r="AE422" t="str">
        <f>SUBSTITUTE(Master_Reference[[#This Row],[C-Flex 4000K 3W Part Number]],"40-","xx-")</f>
        <v/>
      </c>
      <c r="AF422" s="1" t="str">
        <f>_xlfn.IFNA(VLOOKUP(Master_Reference[[#This Row],[C-Flex 3000K Eco Part Number]],Lutron_CFlex_Lookup[],MATCH("Lutron Kit PN",Lutron_CFlex_Lookup[#Headers],0),FALSE),"")</f>
        <v>ELD4T5-2M30-q</v>
      </c>
      <c r="AG422" s="1" t="str">
        <f>_xlfn.IFNA(VLOOKUP(Master_Reference[[#This Row],[C-Flex 3500K Eco Part Number]],Lutron_CFlex_Lookup[],MATCH("Lutron Kit PN",Lutron_CFlex_Lookup[#Headers],0),FALSE),"")</f>
        <v>ELD4T5-2M35-q</v>
      </c>
      <c r="AH422" s="1" t="str">
        <f>_xlfn.IFNA(VLOOKUP(Master_Reference[[#This Row],[C-Flex 4000K Eco Part Number]],Lutron_CFlex_Lookup[],MATCH("Lutron Kit PN",Lutron_CFlex_Lookup[#Headers],0),FALSE),"")</f>
        <v>ELD4T5-2M40-q</v>
      </c>
      <c r="AI422" s="1" t="str">
        <f>_xlfn.IFNA(VLOOKUP(Master_Reference[[#This Row],[C-Flex 5000K Eco Part Number]],Lutron_CFlex_Lookup[],MATCH("Lutron Kit PN",Lutron_CFlex_Lookup[#Headers],0),FALSE),"")</f>
        <v>ELD4T5-2M50-q</v>
      </c>
      <c r="AJ422" s="1" t="str">
        <f>_xlfn.IFNA(VLOOKUP(Master_Reference[[#This Row],[C-Flex 3000K 3W Part Number]],Lutron_CFlex_Lookup[],MATCH("Lutron Kit PN",Lutron_CFlex_Lookup[#Headers],0),FALSE),"")</f>
        <v/>
      </c>
      <c r="AK422" s="1" t="str">
        <f>_xlfn.IFNA(VLOOKUP(Master_Reference[[#This Row],[C-Flex 3500K 3W Part Number]],Lutron_CFlex_Lookup[],MATCH("Lutron Kit PN",Lutron_CFlex_Lookup[#Headers],0),FALSE),"")</f>
        <v/>
      </c>
      <c r="AL422" s="1" t="str">
        <f>_xlfn.IFNA(VLOOKUP(Master_Reference[[#This Row],[C-Flex 4000K 3W Part Number]],Lutron_CFlex_Lookup[],MATCH("Lutron Kit PN",Lutron_CFlex_Lookup[#Headers],0),FALSE),"")</f>
        <v/>
      </c>
      <c r="AM422" s="1" t="str">
        <f>_xlfn.IFNA(VLOOKUP(Master_Reference[[#This Row],[C-Flex 5000K 3W Part Number]],Lutron_CFlex_Lookup[],MATCH("Lutron Kit PN",Lutron_CFlex_Lookup[#Headers],0),FALSE),"")</f>
        <v/>
      </c>
      <c r="AN422" s="1" t="b">
        <f>NOT(ISNA(VLOOKUP(Master_Reference[[#This Row],[Model Number]],ObsoleteModels[],1,FALSE)))</f>
        <v>1</v>
      </c>
      <c r="AO422" s="1" t="str">
        <f>IF(LEFT(Master_Reference[[#This Row],[Model Number]],1)="U",LEFT(Master_Reference[[#This Row],[Model Number]],4),LEFT(Master_Reference[[#This Row],[Model Number]],3))</f>
        <v>EHD</v>
      </c>
    </row>
    <row r="423" spans="1:41" x14ac:dyDescent="0.25">
      <c r="A423" s="2" t="s">
        <v>704</v>
      </c>
      <c r="B423" s="1" t="b">
        <v>1</v>
      </c>
      <c r="G423" s="1" t="str">
        <f>IF(OR(LEFT(RIGHT(Master_Reference[[#This Row],[Model Number]],3),1)="C",LEFT(RIGHT(Master_Reference[[#This Row],[Model Number]],4),1)="C"),TRUE,"")</f>
        <v/>
      </c>
      <c r="H423" s="1" t="str">
        <f>IF(LEFT(Master_Reference[[#This Row],[Model Number]],1)="U",TRUE,"")</f>
        <v/>
      </c>
      <c r="I423" s="1" t="str">
        <f>IF(Master_Reference[[#This Row],[Lamp Type]]="T4","",IF(Master_Reference[[#This Row],[Case Type]]="M","",TRUE))</f>
        <v/>
      </c>
      <c r="J423" s="1" t="s">
        <v>123</v>
      </c>
      <c r="K423" s="1">
        <v>28</v>
      </c>
      <c r="L423" s="1" t="s">
        <v>118</v>
      </c>
      <c r="M423" s="1">
        <v>2</v>
      </c>
      <c r="N423" s="1" t="s">
        <v>149</v>
      </c>
      <c r="O423" s="1" t="s">
        <v>632</v>
      </c>
      <c r="Q423" s="1" t="s">
        <v>91</v>
      </c>
      <c r="R423" t="b">
        <f>IF(COUNTBLANK(Master_Reference[[#This Row],[C-Flex 3000K Eco Part Number]:[C-Flex 4000K Eco Part Number]])=3,FALSE,TRUE)</f>
        <v>0</v>
      </c>
      <c r="S423" t="b">
        <f>IF(COUNTBLANK(Master_Reference[[#This Row],[C-Flex 3000K 3W Part Number]:[C-Flex 4000K 3W Part Number]])=3,FALSE,TRUE)</f>
        <v>0</v>
      </c>
      <c r="T423" t="b">
        <f>IF(COUNTBLANK(Master_Reference[[#This Row],[Lutron 3000K Eco Part Number]:[Lutron 4000K Eco Part Number]])=3,FALSE,TRUE)</f>
        <v>0</v>
      </c>
      <c r="U423" t="b">
        <f>IF(COUNTBLANK(Master_Reference[[#This Row],[Lutron 3000K 3W Part Number]:[Lutron 4000K 3W Part Number]])=3,FALSE,TRUE)</f>
        <v>0</v>
      </c>
      <c r="V423" s="12"/>
      <c r="W423" s="12"/>
      <c r="X423" s="12"/>
      <c r="Y423" t="s">
        <v>2125</v>
      </c>
      <c r="Z423" s="12"/>
      <c r="AA423" s="12"/>
      <c r="AB423" s="12"/>
      <c r="AC423" t="s">
        <v>2125</v>
      </c>
      <c r="AD423" t="str">
        <f>SUBSTITUTE(Master_Reference[[#This Row],[C-Flex 4000K Eco Part Number]],"40-","xx-")</f>
        <v/>
      </c>
      <c r="AE423" t="str">
        <f>SUBSTITUTE(Master_Reference[[#This Row],[C-Flex 4000K 3W Part Number]],"40-","xx-")</f>
        <v/>
      </c>
      <c r="AF423" s="1" t="str">
        <f>_xlfn.IFNA(VLOOKUP(Master_Reference[[#This Row],[C-Flex 3000K Eco Part Number]],Lutron_CFlex_Lookup[],MATCH("Lutron Kit PN",Lutron_CFlex_Lookup[#Headers],0),FALSE),"")</f>
        <v/>
      </c>
      <c r="AG423" s="1" t="str">
        <f>_xlfn.IFNA(VLOOKUP(Master_Reference[[#This Row],[C-Flex 3500K Eco Part Number]],Lutron_CFlex_Lookup[],MATCH("Lutron Kit PN",Lutron_CFlex_Lookup[#Headers],0),FALSE),"")</f>
        <v/>
      </c>
      <c r="AH423" s="1" t="str">
        <f>_xlfn.IFNA(VLOOKUP(Master_Reference[[#This Row],[C-Flex 4000K Eco Part Number]],Lutron_CFlex_Lookup[],MATCH("Lutron Kit PN",Lutron_CFlex_Lookup[#Headers],0),FALSE),"")</f>
        <v/>
      </c>
      <c r="AI423" s="1" t="str">
        <f>_xlfn.IFNA(VLOOKUP(Master_Reference[[#This Row],[C-Flex 5000K Eco Part Number]],Lutron_CFlex_Lookup[],MATCH("Lutron Kit PN",Lutron_CFlex_Lookup[#Headers],0),FALSE),"")</f>
        <v/>
      </c>
      <c r="AJ423" s="1" t="str">
        <f>_xlfn.IFNA(VLOOKUP(Master_Reference[[#This Row],[C-Flex 3000K 3W Part Number]],Lutron_CFlex_Lookup[],MATCH("Lutron Kit PN",Lutron_CFlex_Lookup[#Headers],0),FALSE),"")</f>
        <v/>
      </c>
      <c r="AK423" s="1" t="str">
        <f>_xlfn.IFNA(VLOOKUP(Master_Reference[[#This Row],[C-Flex 3500K 3W Part Number]],Lutron_CFlex_Lookup[],MATCH("Lutron Kit PN",Lutron_CFlex_Lookup[#Headers],0),FALSE),"")</f>
        <v/>
      </c>
      <c r="AL423" s="1" t="str">
        <f>_xlfn.IFNA(VLOOKUP(Master_Reference[[#This Row],[C-Flex 4000K 3W Part Number]],Lutron_CFlex_Lookup[],MATCH("Lutron Kit PN",Lutron_CFlex_Lookup[#Headers],0),FALSE),"")</f>
        <v/>
      </c>
      <c r="AM423" s="1" t="str">
        <f>_xlfn.IFNA(VLOOKUP(Master_Reference[[#This Row],[C-Flex 5000K 3W Part Number]],Lutron_CFlex_Lookup[],MATCH("Lutron Kit PN",Lutron_CFlex_Lookup[#Headers],0),FALSE),"")</f>
        <v/>
      </c>
      <c r="AN423" s="1" t="b">
        <f>NOT(ISNA(VLOOKUP(Master_Reference[[#This Row],[Model Number]],ObsoleteModels[],1,FALSE)))</f>
        <v>1</v>
      </c>
      <c r="AO423" s="1" t="str">
        <f>IF(LEFT(Master_Reference[[#This Row],[Model Number]],1)="U",LEFT(Master_Reference[[#This Row],[Model Number]],4),LEFT(Master_Reference[[#This Row],[Model Number]],3))</f>
        <v>EHD</v>
      </c>
    </row>
    <row r="424" spans="1:41" x14ac:dyDescent="0.25">
      <c r="A424" s="2" t="s">
        <v>705</v>
      </c>
      <c r="B424" s="1" t="b">
        <v>1</v>
      </c>
      <c r="G424" s="1" t="b">
        <f>IF(OR(LEFT(RIGHT(Master_Reference[[#This Row],[Model Number]],3),1)="C",LEFT(RIGHT(Master_Reference[[#This Row],[Model Number]],4),1)="C"),TRUE,"")</f>
        <v>1</v>
      </c>
      <c r="H424" s="1" t="str">
        <f>IF(LEFT(Master_Reference[[#This Row],[Model Number]],1)="U",TRUE,"")</f>
        <v/>
      </c>
      <c r="I424" s="1" t="str">
        <f>IF(Master_Reference[[#This Row],[Lamp Type]]="T4","",IF(Master_Reference[[#This Row],[Case Type]]="M","",TRUE))</f>
        <v/>
      </c>
      <c r="J424" s="1" t="s">
        <v>123</v>
      </c>
      <c r="K424" s="1">
        <v>28</v>
      </c>
      <c r="L424" s="1" t="s">
        <v>118</v>
      </c>
      <c r="M424" s="1">
        <v>2</v>
      </c>
      <c r="N424" s="1" t="s">
        <v>149</v>
      </c>
      <c r="O424" s="1" t="s">
        <v>632</v>
      </c>
      <c r="R424" t="b">
        <f>IF(COUNTBLANK(Master_Reference[[#This Row],[C-Flex 3000K Eco Part Number]:[C-Flex 4000K Eco Part Number]])=3,FALSE,TRUE)</f>
        <v>1</v>
      </c>
      <c r="S424" t="b">
        <f>IF(COUNTBLANK(Master_Reference[[#This Row],[C-Flex 3000K 3W Part Number]:[C-Flex 4000K 3W Part Number]])=3,FALSE,TRUE)</f>
        <v>0</v>
      </c>
      <c r="T424" t="b">
        <f>IF(COUNTBLANK(Master_Reference[[#This Row],[Lutron 3000K Eco Part Number]:[Lutron 4000K Eco Part Number]])=3,FALSE,TRUE)</f>
        <v>1</v>
      </c>
      <c r="U424" t="b">
        <f>IF(COUNTBLANK(Master_Reference[[#This Row],[Lutron 3000K 3W Part Number]:[Lutron 4000K 3W Part Number]])=3,FALSE,TRUE)</f>
        <v>0</v>
      </c>
      <c r="V424" s="12" t="s">
        <v>290</v>
      </c>
      <c r="W424" s="12" t="s">
        <v>291</v>
      </c>
      <c r="X424" s="12" t="s">
        <v>292</v>
      </c>
      <c r="Y424" t="s">
        <v>1720</v>
      </c>
      <c r="Z424" s="12"/>
      <c r="AA424" s="12"/>
      <c r="AB424" s="12"/>
      <c r="AC424" t="s">
        <v>2125</v>
      </c>
      <c r="AD424" t="str">
        <f>SUBSTITUTE(Master_Reference[[#This Row],[C-Flex 4000K Eco Part Number]],"40-","xx-")</f>
        <v>RP-T5-4FT-2L-8xx-E1-M-G2</v>
      </c>
      <c r="AE424" t="str">
        <f>SUBSTITUTE(Master_Reference[[#This Row],[C-Flex 4000K 3W Part Number]],"40-","xx-")</f>
        <v/>
      </c>
      <c r="AF424" s="1" t="str">
        <f>_xlfn.IFNA(VLOOKUP(Master_Reference[[#This Row],[C-Flex 3000K Eco Part Number]],Lutron_CFlex_Lookup[],MATCH("Lutron Kit PN",Lutron_CFlex_Lookup[#Headers],0),FALSE),"")</f>
        <v>ELD4T5-2M30-q</v>
      </c>
      <c r="AG424" s="1" t="str">
        <f>_xlfn.IFNA(VLOOKUP(Master_Reference[[#This Row],[C-Flex 3500K Eco Part Number]],Lutron_CFlex_Lookup[],MATCH("Lutron Kit PN",Lutron_CFlex_Lookup[#Headers],0),FALSE),"")</f>
        <v>ELD4T5-2M35-q</v>
      </c>
      <c r="AH424" s="1" t="str">
        <f>_xlfn.IFNA(VLOOKUP(Master_Reference[[#This Row],[C-Flex 4000K Eco Part Number]],Lutron_CFlex_Lookup[],MATCH("Lutron Kit PN",Lutron_CFlex_Lookup[#Headers],0),FALSE),"")</f>
        <v>ELD4T5-2M40-q</v>
      </c>
      <c r="AI424" s="1" t="str">
        <f>_xlfn.IFNA(VLOOKUP(Master_Reference[[#This Row],[C-Flex 5000K Eco Part Number]],Lutron_CFlex_Lookup[],MATCH("Lutron Kit PN",Lutron_CFlex_Lookup[#Headers],0),FALSE),"")</f>
        <v>ELD4T5-2M50-q</v>
      </c>
      <c r="AJ424" s="1" t="str">
        <f>_xlfn.IFNA(VLOOKUP(Master_Reference[[#This Row],[C-Flex 3000K 3W Part Number]],Lutron_CFlex_Lookup[],MATCH("Lutron Kit PN",Lutron_CFlex_Lookup[#Headers],0),FALSE),"")</f>
        <v/>
      </c>
      <c r="AK424" s="1" t="str">
        <f>_xlfn.IFNA(VLOOKUP(Master_Reference[[#This Row],[C-Flex 3500K 3W Part Number]],Lutron_CFlex_Lookup[],MATCH("Lutron Kit PN",Lutron_CFlex_Lookup[#Headers],0),FALSE),"")</f>
        <v/>
      </c>
      <c r="AL424" s="1" t="str">
        <f>_xlfn.IFNA(VLOOKUP(Master_Reference[[#This Row],[C-Flex 4000K 3W Part Number]],Lutron_CFlex_Lookup[],MATCH("Lutron Kit PN",Lutron_CFlex_Lookup[#Headers],0),FALSE),"")</f>
        <v/>
      </c>
      <c r="AM424" s="1" t="str">
        <f>_xlfn.IFNA(VLOOKUP(Master_Reference[[#This Row],[C-Flex 5000K 3W Part Number]],Lutron_CFlex_Lookup[],MATCH("Lutron Kit PN",Lutron_CFlex_Lookup[#Headers],0),FALSE),"")</f>
        <v/>
      </c>
      <c r="AN424" s="1" t="b">
        <f>NOT(ISNA(VLOOKUP(Master_Reference[[#This Row],[Model Number]],ObsoleteModels[],1,FALSE)))</f>
        <v>1</v>
      </c>
      <c r="AO424" s="1" t="str">
        <f>IF(LEFT(Master_Reference[[#This Row],[Model Number]],1)="U",LEFT(Master_Reference[[#This Row],[Model Number]],4),LEFT(Master_Reference[[#This Row],[Model Number]],3))</f>
        <v>EHD</v>
      </c>
    </row>
    <row r="425" spans="1:41" x14ac:dyDescent="0.25">
      <c r="A425" s="2" t="s">
        <v>706</v>
      </c>
      <c r="B425" s="1" t="b">
        <v>1</v>
      </c>
      <c r="G425" s="1" t="b">
        <f>IF(OR(LEFT(RIGHT(Master_Reference[[#This Row],[Model Number]],3),1)="C",LEFT(RIGHT(Master_Reference[[#This Row],[Model Number]],4),1)="C"),TRUE,"")</f>
        <v>1</v>
      </c>
      <c r="H425" s="1" t="str">
        <f>IF(LEFT(Master_Reference[[#This Row],[Model Number]],1)="U",TRUE,"")</f>
        <v/>
      </c>
      <c r="I425" s="1" t="str">
        <f>IF(Master_Reference[[#This Row],[Lamp Type]]="T4","",IF(Master_Reference[[#This Row],[Case Type]]="M","",TRUE))</f>
        <v/>
      </c>
      <c r="J425" s="1" t="s">
        <v>123</v>
      </c>
      <c r="K425" s="1">
        <v>28</v>
      </c>
      <c r="L425" s="1" t="s">
        <v>118</v>
      </c>
      <c r="M425" s="1">
        <v>2</v>
      </c>
      <c r="N425" s="1" t="s">
        <v>149</v>
      </c>
      <c r="O425" s="1" t="s">
        <v>632</v>
      </c>
      <c r="R425" t="b">
        <f>IF(COUNTBLANK(Master_Reference[[#This Row],[C-Flex 3000K Eco Part Number]:[C-Flex 4000K Eco Part Number]])=3,FALSE,TRUE)</f>
        <v>1</v>
      </c>
      <c r="S425" t="b">
        <f>IF(COUNTBLANK(Master_Reference[[#This Row],[C-Flex 3000K 3W Part Number]:[C-Flex 4000K 3W Part Number]])=3,FALSE,TRUE)</f>
        <v>0</v>
      </c>
      <c r="T425" t="b">
        <f>IF(COUNTBLANK(Master_Reference[[#This Row],[Lutron 3000K Eco Part Number]:[Lutron 4000K Eco Part Number]])=3,FALSE,TRUE)</f>
        <v>1</v>
      </c>
      <c r="U425" t="b">
        <f>IF(COUNTBLANK(Master_Reference[[#This Row],[Lutron 3000K 3W Part Number]:[Lutron 4000K 3W Part Number]])=3,FALSE,TRUE)</f>
        <v>0</v>
      </c>
      <c r="V425" s="12" t="s">
        <v>290</v>
      </c>
      <c r="W425" s="12" t="s">
        <v>291</v>
      </c>
      <c r="X425" s="12" t="s">
        <v>292</v>
      </c>
      <c r="Y425" t="s">
        <v>1720</v>
      </c>
      <c r="Z425" s="12"/>
      <c r="AA425" s="12"/>
      <c r="AB425" s="12"/>
      <c r="AC425" t="s">
        <v>2125</v>
      </c>
      <c r="AD425" t="str">
        <f>SUBSTITUTE(Master_Reference[[#This Row],[C-Flex 4000K Eco Part Number]],"40-","xx-")</f>
        <v>RP-T5-4FT-2L-8xx-E1-M-G2</v>
      </c>
      <c r="AE425" t="str">
        <f>SUBSTITUTE(Master_Reference[[#This Row],[C-Flex 4000K 3W Part Number]],"40-","xx-")</f>
        <v/>
      </c>
      <c r="AF425" s="1" t="str">
        <f>_xlfn.IFNA(VLOOKUP(Master_Reference[[#This Row],[C-Flex 3000K Eco Part Number]],Lutron_CFlex_Lookup[],MATCH("Lutron Kit PN",Lutron_CFlex_Lookup[#Headers],0),FALSE),"")</f>
        <v>ELD4T5-2M30-q</v>
      </c>
      <c r="AG425" s="1" t="str">
        <f>_xlfn.IFNA(VLOOKUP(Master_Reference[[#This Row],[C-Flex 3500K Eco Part Number]],Lutron_CFlex_Lookup[],MATCH("Lutron Kit PN",Lutron_CFlex_Lookup[#Headers],0),FALSE),"")</f>
        <v>ELD4T5-2M35-q</v>
      </c>
      <c r="AH425" s="1" t="str">
        <f>_xlfn.IFNA(VLOOKUP(Master_Reference[[#This Row],[C-Flex 4000K Eco Part Number]],Lutron_CFlex_Lookup[],MATCH("Lutron Kit PN",Lutron_CFlex_Lookup[#Headers],0),FALSE),"")</f>
        <v>ELD4T5-2M40-q</v>
      </c>
      <c r="AI425" s="1" t="str">
        <f>_xlfn.IFNA(VLOOKUP(Master_Reference[[#This Row],[C-Flex 5000K Eco Part Number]],Lutron_CFlex_Lookup[],MATCH("Lutron Kit PN",Lutron_CFlex_Lookup[#Headers],0),FALSE),"")</f>
        <v>ELD4T5-2M50-q</v>
      </c>
      <c r="AJ425" s="1" t="str">
        <f>_xlfn.IFNA(VLOOKUP(Master_Reference[[#This Row],[C-Flex 3000K 3W Part Number]],Lutron_CFlex_Lookup[],MATCH("Lutron Kit PN",Lutron_CFlex_Lookup[#Headers],0),FALSE),"")</f>
        <v/>
      </c>
      <c r="AK425" s="1" t="str">
        <f>_xlfn.IFNA(VLOOKUP(Master_Reference[[#This Row],[C-Flex 3500K 3W Part Number]],Lutron_CFlex_Lookup[],MATCH("Lutron Kit PN",Lutron_CFlex_Lookup[#Headers],0),FALSE),"")</f>
        <v/>
      </c>
      <c r="AL425" s="1" t="str">
        <f>_xlfn.IFNA(VLOOKUP(Master_Reference[[#This Row],[C-Flex 4000K 3W Part Number]],Lutron_CFlex_Lookup[],MATCH("Lutron Kit PN",Lutron_CFlex_Lookup[#Headers],0),FALSE),"")</f>
        <v/>
      </c>
      <c r="AM425" s="1" t="str">
        <f>_xlfn.IFNA(VLOOKUP(Master_Reference[[#This Row],[C-Flex 5000K 3W Part Number]],Lutron_CFlex_Lookup[],MATCH("Lutron Kit PN",Lutron_CFlex_Lookup[#Headers],0),FALSE),"")</f>
        <v/>
      </c>
      <c r="AN425" s="1" t="b">
        <f>NOT(ISNA(VLOOKUP(Master_Reference[[#This Row],[Model Number]],ObsoleteModels[],1,FALSE)))</f>
        <v>1</v>
      </c>
      <c r="AO425" s="1" t="str">
        <f>IF(LEFT(Master_Reference[[#This Row],[Model Number]],1)="U",LEFT(Master_Reference[[#This Row],[Model Number]],4),LEFT(Master_Reference[[#This Row],[Model Number]],3))</f>
        <v>EHD</v>
      </c>
    </row>
    <row r="426" spans="1:41" x14ac:dyDescent="0.25">
      <c r="A426" s="2" t="s">
        <v>707</v>
      </c>
      <c r="B426" s="1" t="b">
        <v>1</v>
      </c>
      <c r="G426" s="1" t="b">
        <f>IF(OR(LEFT(RIGHT(Master_Reference[[#This Row],[Model Number]],3),1)="C",LEFT(RIGHT(Master_Reference[[#This Row],[Model Number]],4),1)="C"),TRUE,"")</f>
        <v>1</v>
      </c>
      <c r="H426" s="1" t="str">
        <f>IF(LEFT(Master_Reference[[#This Row],[Model Number]],1)="U",TRUE,"")</f>
        <v/>
      </c>
      <c r="I426" s="1" t="str">
        <f>IF(Master_Reference[[#This Row],[Lamp Type]]="T4","",IF(Master_Reference[[#This Row],[Case Type]]="M","",TRUE))</f>
        <v/>
      </c>
      <c r="J426" s="1" t="s">
        <v>123</v>
      </c>
      <c r="K426" s="1">
        <v>28</v>
      </c>
      <c r="L426" s="1" t="s">
        <v>118</v>
      </c>
      <c r="M426" s="1">
        <v>2</v>
      </c>
      <c r="N426" s="1" t="s">
        <v>149</v>
      </c>
      <c r="O426" s="1" t="s">
        <v>632</v>
      </c>
      <c r="R426" t="b">
        <f>IF(COUNTBLANK(Master_Reference[[#This Row],[C-Flex 3000K Eco Part Number]:[C-Flex 4000K Eco Part Number]])=3,FALSE,TRUE)</f>
        <v>1</v>
      </c>
      <c r="S426" t="b">
        <f>IF(COUNTBLANK(Master_Reference[[#This Row],[C-Flex 3000K 3W Part Number]:[C-Flex 4000K 3W Part Number]])=3,FALSE,TRUE)</f>
        <v>0</v>
      </c>
      <c r="T426" t="b">
        <f>IF(COUNTBLANK(Master_Reference[[#This Row],[Lutron 3000K Eco Part Number]:[Lutron 4000K Eco Part Number]])=3,FALSE,TRUE)</f>
        <v>1</v>
      </c>
      <c r="U426" t="b">
        <f>IF(COUNTBLANK(Master_Reference[[#This Row],[Lutron 3000K 3W Part Number]:[Lutron 4000K 3W Part Number]])=3,FALSE,TRUE)</f>
        <v>0</v>
      </c>
      <c r="V426" s="12" t="s">
        <v>290</v>
      </c>
      <c r="W426" s="12" t="s">
        <v>291</v>
      </c>
      <c r="X426" s="12" t="s">
        <v>292</v>
      </c>
      <c r="Y426" t="s">
        <v>1720</v>
      </c>
      <c r="Z426" s="12"/>
      <c r="AA426" s="12"/>
      <c r="AB426" s="12"/>
      <c r="AC426" t="s">
        <v>2125</v>
      </c>
      <c r="AD426" t="str">
        <f>SUBSTITUTE(Master_Reference[[#This Row],[C-Flex 4000K Eco Part Number]],"40-","xx-")</f>
        <v>RP-T5-4FT-2L-8xx-E1-M-G2</v>
      </c>
      <c r="AE426" t="str">
        <f>SUBSTITUTE(Master_Reference[[#This Row],[C-Flex 4000K 3W Part Number]],"40-","xx-")</f>
        <v/>
      </c>
      <c r="AF426" s="1" t="str">
        <f>_xlfn.IFNA(VLOOKUP(Master_Reference[[#This Row],[C-Flex 3000K Eco Part Number]],Lutron_CFlex_Lookup[],MATCH("Lutron Kit PN",Lutron_CFlex_Lookup[#Headers],0),FALSE),"")</f>
        <v>ELD4T5-2M30-q</v>
      </c>
      <c r="AG426" s="1" t="str">
        <f>_xlfn.IFNA(VLOOKUP(Master_Reference[[#This Row],[C-Flex 3500K Eco Part Number]],Lutron_CFlex_Lookup[],MATCH("Lutron Kit PN",Lutron_CFlex_Lookup[#Headers],0),FALSE),"")</f>
        <v>ELD4T5-2M35-q</v>
      </c>
      <c r="AH426" s="1" t="str">
        <f>_xlfn.IFNA(VLOOKUP(Master_Reference[[#This Row],[C-Flex 4000K Eco Part Number]],Lutron_CFlex_Lookup[],MATCH("Lutron Kit PN",Lutron_CFlex_Lookup[#Headers],0),FALSE),"")</f>
        <v>ELD4T5-2M40-q</v>
      </c>
      <c r="AI426" s="1" t="str">
        <f>_xlfn.IFNA(VLOOKUP(Master_Reference[[#This Row],[C-Flex 5000K Eco Part Number]],Lutron_CFlex_Lookup[],MATCH("Lutron Kit PN",Lutron_CFlex_Lookup[#Headers],0),FALSE),"")</f>
        <v>ELD4T5-2M50-q</v>
      </c>
      <c r="AJ426" s="1" t="str">
        <f>_xlfn.IFNA(VLOOKUP(Master_Reference[[#This Row],[C-Flex 3000K 3W Part Number]],Lutron_CFlex_Lookup[],MATCH("Lutron Kit PN",Lutron_CFlex_Lookup[#Headers],0),FALSE),"")</f>
        <v/>
      </c>
      <c r="AK426" s="1" t="str">
        <f>_xlfn.IFNA(VLOOKUP(Master_Reference[[#This Row],[C-Flex 3500K 3W Part Number]],Lutron_CFlex_Lookup[],MATCH("Lutron Kit PN",Lutron_CFlex_Lookup[#Headers],0),FALSE),"")</f>
        <v/>
      </c>
      <c r="AL426" s="1" t="str">
        <f>_xlfn.IFNA(VLOOKUP(Master_Reference[[#This Row],[C-Flex 4000K 3W Part Number]],Lutron_CFlex_Lookup[],MATCH("Lutron Kit PN",Lutron_CFlex_Lookup[#Headers],0),FALSE),"")</f>
        <v/>
      </c>
      <c r="AM426" s="1" t="str">
        <f>_xlfn.IFNA(VLOOKUP(Master_Reference[[#This Row],[C-Flex 5000K 3W Part Number]],Lutron_CFlex_Lookup[],MATCH("Lutron Kit PN",Lutron_CFlex_Lookup[#Headers],0),FALSE),"")</f>
        <v/>
      </c>
      <c r="AN426" s="1" t="b">
        <f>NOT(ISNA(VLOOKUP(Master_Reference[[#This Row],[Model Number]],ObsoleteModels[],1,FALSE)))</f>
        <v>1</v>
      </c>
      <c r="AO426" s="1" t="str">
        <f>IF(LEFT(Master_Reference[[#This Row],[Model Number]],1)="U",LEFT(Master_Reference[[#This Row],[Model Number]],4),LEFT(Master_Reference[[#This Row],[Model Number]],3))</f>
        <v>EHD</v>
      </c>
    </row>
    <row r="427" spans="1:41" x14ac:dyDescent="0.25">
      <c r="A427" s="2" t="s">
        <v>708</v>
      </c>
      <c r="B427" s="1" t="b">
        <v>1</v>
      </c>
      <c r="G427" s="1" t="b">
        <f>IF(OR(LEFT(RIGHT(Master_Reference[[#This Row],[Model Number]],3),1)="C",LEFT(RIGHT(Master_Reference[[#This Row],[Model Number]],4),1)="C"),TRUE,"")</f>
        <v>1</v>
      </c>
      <c r="H427" s="1" t="str">
        <f>IF(LEFT(Master_Reference[[#This Row],[Model Number]],1)="U",TRUE,"")</f>
        <v/>
      </c>
      <c r="I427" s="1" t="str">
        <f>IF(Master_Reference[[#This Row],[Lamp Type]]="T4","",IF(Master_Reference[[#This Row],[Case Type]]="M","",TRUE))</f>
        <v/>
      </c>
      <c r="J427" s="1" t="s">
        <v>123</v>
      </c>
      <c r="K427" s="1">
        <v>28</v>
      </c>
      <c r="L427" s="1" t="s">
        <v>118</v>
      </c>
      <c r="M427" s="1">
        <v>2</v>
      </c>
      <c r="N427" s="1" t="s">
        <v>149</v>
      </c>
      <c r="O427" s="1" t="s">
        <v>632</v>
      </c>
      <c r="R427" t="b">
        <f>IF(COUNTBLANK(Master_Reference[[#This Row],[C-Flex 3000K Eco Part Number]:[C-Flex 4000K Eco Part Number]])=3,FALSE,TRUE)</f>
        <v>1</v>
      </c>
      <c r="S427" t="b">
        <f>IF(COUNTBLANK(Master_Reference[[#This Row],[C-Flex 3000K 3W Part Number]:[C-Flex 4000K 3W Part Number]])=3,FALSE,TRUE)</f>
        <v>0</v>
      </c>
      <c r="T427" t="b">
        <f>IF(COUNTBLANK(Master_Reference[[#This Row],[Lutron 3000K Eco Part Number]:[Lutron 4000K Eco Part Number]])=3,FALSE,TRUE)</f>
        <v>1</v>
      </c>
      <c r="U427" t="b">
        <f>IF(COUNTBLANK(Master_Reference[[#This Row],[Lutron 3000K 3W Part Number]:[Lutron 4000K 3W Part Number]])=3,FALSE,TRUE)</f>
        <v>0</v>
      </c>
      <c r="V427" s="12" t="s">
        <v>290</v>
      </c>
      <c r="W427" s="12" t="s">
        <v>291</v>
      </c>
      <c r="X427" s="12" t="s">
        <v>292</v>
      </c>
      <c r="Y427" t="s">
        <v>1720</v>
      </c>
      <c r="Z427" s="12"/>
      <c r="AA427" s="12"/>
      <c r="AB427" s="12"/>
      <c r="AC427" t="s">
        <v>2125</v>
      </c>
      <c r="AD427" t="str">
        <f>SUBSTITUTE(Master_Reference[[#This Row],[C-Flex 4000K Eco Part Number]],"40-","xx-")</f>
        <v>RP-T5-4FT-2L-8xx-E1-M-G2</v>
      </c>
      <c r="AE427" t="str">
        <f>SUBSTITUTE(Master_Reference[[#This Row],[C-Flex 4000K 3W Part Number]],"40-","xx-")</f>
        <v/>
      </c>
      <c r="AF427" s="1" t="str">
        <f>_xlfn.IFNA(VLOOKUP(Master_Reference[[#This Row],[C-Flex 3000K Eco Part Number]],Lutron_CFlex_Lookup[],MATCH("Lutron Kit PN",Lutron_CFlex_Lookup[#Headers],0),FALSE),"")</f>
        <v>ELD4T5-2M30-q</v>
      </c>
      <c r="AG427" s="1" t="str">
        <f>_xlfn.IFNA(VLOOKUP(Master_Reference[[#This Row],[C-Flex 3500K Eco Part Number]],Lutron_CFlex_Lookup[],MATCH("Lutron Kit PN",Lutron_CFlex_Lookup[#Headers],0),FALSE),"")</f>
        <v>ELD4T5-2M35-q</v>
      </c>
      <c r="AH427" s="1" t="str">
        <f>_xlfn.IFNA(VLOOKUP(Master_Reference[[#This Row],[C-Flex 4000K Eco Part Number]],Lutron_CFlex_Lookup[],MATCH("Lutron Kit PN",Lutron_CFlex_Lookup[#Headers],0),FALSE),"")</f>
        <v>ELD4T5-2M40-q</v>
      </c>
      <c r="AI427" s="1" t="str">
        <f>_xlfn.IFNA(VLOOKUP(Master_Reference[[#This Row],[C-Flex 5000K Eco Part Number]],Lutron_CFlex_Lookup[],MATCH("Lutron Kit PN",Lutron_CFlex_Lookup[#Headers],0),FALSE),"")</f>
        <v>ELD4T5-2M50-q</v>
      </c>
      <c r="AJ427" s="1" t="str">
        <f>_xlfn.IFNA(VLOOKUP(Master_Reference[[#This Row],[C-Flex 3000K 3W Part Number]],Lutron_CFlex_Lookup[],MATCH("Lutron Kit PN",Lutron_CFlex_Lookup[#Headers],0),FALSE),"")</f>
        <v/>
      </c>
      <c r="AK427" s="1" t="str">
        <f>_xlfn.IFNA(VLOOKUP(Master_Reference[[#This Row],[C-Flex 3500K 3W Part Number]],Lutron_CFlex_Lookup[],MATCH("Lutron Kit PN",Lutron_CFlex_Lookup[#Headers],0),FALSE),"")</f>
        <v/>
      </c>
      <c r="AL427" s="1" t="str">
        <f>_xlfn.IFNA(VLOOKUP(Master_Reference[[#This Row],[C-Flex 4000K 3W Part Number]],Lutron_CFlex_Lookup[],MATCH("Lutron Kit PN",Lutron_CFlex_Lookup[#Headers],0),FALSE),"")</f>
        <v/>
      </c>
      <c r="AM427" s="1" t="str">
        <f>_xlfn.IFNA(VLOOKUP(Master_Reference[[#This Row],[C-Flex 5000K 3W Part Number]],Lutron_CFlex_Lookup[],MATCH("Lutron Kit PN",Lutron_CFlex_Lookup[#Headers],0),FALSE),"")</f>
        <v/>
      </c>
      <c r="AN427" s="1" t="b">
        <f>NOT(ISNA(VLOOKUP(Master_Reference[[#This Row],[Model Number]],ObsoleteModels[],1,FALSE)))</f>
        <v>1</v>
      </c>
      <c r="AO427" s="1" t="str">
        <f>IF(LEFT(Master_Reference[[#This Row],[Model Number]],1)="U",LEFT(Master_Reference[[#This Row],[Model Number]],4),LEFT(Master_Reference[[#This Row],[Model Number]],3))</f>
        <v>EHD</v>
      </c>
    </row>
    <row r="428" spans="1:41" x14ac:dyDescent="0.25">
      <c r="A428" s="2" t="s">
        <v>709</v>
      </c>
      <c r="B428" s="1" t="b">
        <v>1</v>
      </c>
      <c r="G428" s="1" t="str">
        <f>IF(OR(LEFT(RIGHT(Master_Reference[[#This Row],[Model Number]],3),1)="C",LEFT(RIGHT(Master_Reference[[#This Row],[Model Number]],4),1)="C"),TRUE,"")</f>
        <v/>
      </c>
      <c r="H428" s="1" t="str">
        <f>IF(LEFT(Master_Reference[[#This Row],[Model Number]],1)="U",TRUE,"")</f>
        <v/>
      </c>
      <c r="I428" s="1" t="str">
        <f>IF(Master_Reference[[#This Row],[Lamp Type]]="T4","",IF(Master_Reference[[#This Row],[Case Type]]="M","",TRUE))</f>
        <v/>
      </c>
      <c r="J428" s="1" t="s">
        <v>297</v>
      </c>
      <c r="K428" s="1">
        <v>39</v>
      </c>
      <c r="L428" s="1" t="s">
        <v>115</v>
      </c>
      <c r="M428" s="1">
        <v>1</v>
      </c>
      <c r="N428" s="1" t="s">
        <v>631</v>
      </c>
      <c r="O428" s="1" t="s">
        <v>632</v>
      </c>
      <c r="Q428" s="1" t="s">
        <v>456</v>
      </c>
      <c r="R428" t="b">
        <f>IF(COUNTBLANK(Master_Reference[[#This Row],[C-Flex 3000K Eco Part Number]:[C-Flex 4000K Eco Part Number]])=3,FALSE,TRUE)</f>
        <v>0</v>
      </c>
      <c r="S428" t="b">
        <f>IF(COUNTBLANK(Master_Reference[[#This Row],[C-Flex 3000K 3W Part Number]:[C-Flex 4000K 3W Part Number]])=3,FALSE,TRUE)</f>
        <v>0</v>
      </c>
      <c r="T428" t="b">
        <f>IF(COUNTBLANK(Master_Reference[[#This Row],[Lutron 3000K Eco Part Number]:[Lutron 4000K Eco Part Number]])=3,FALSE,TRUE)</f>
        <v>0</v>
      </c>
      <c r="U428" t="b">
        <f>IF(COUNTBLANK(Master_Reference[[#This Row],[Lutron 3000K 3W Part Number]:[Lutron 4000K 3W Part Number]])=3,FALSE,TRUE)</f>
        <v>0</v>
      </c>
      <c r="V428" s="12"/>
      <c r="W428" s="12"/>
      <c r="X428" s="12"/>
      <c r="Y428" t="s">
        <v>2125</v>
      </c>
      <c r="Z428" s="12"/>
      <c r="AA428" s="12"/>
      <c r="AB428" s="12"/>
      <c r="AC428" t="s">
        <v>2125</v>
      </c>
      <c r="AD428" t="str">
        <f>SUBSTITUTE(Master_Reference[[#This Row],[C-Flex 4000K Eco Part Number]],"40-","xx-")</f>
        <v/>
      </c>
      <c r="AE428" t="str">
        <f>SUBSTITUTE(Master_Reference[[#This Row],[C-Flex 4000K 3W Part Number]],"40-","xx-")</f>
        <v/>
      </c>
      <c r="AF428" s="1" t="str">
        <f>_xlfn.IFNA(VLOOKUP(Master_Reference[[#This Row],[C-Flex 3000K Eco Part Number]],Lutron_CFlex_Lookup[],MATCH("Lutron Kit PN",Lutron_CFlex_Lookup[#Headers],0),FALSE),"")</f>
        <v/>
      </c>
      <c r="AG428" s="1" t="str">
        <f>_xlfn.IFNA(VLOOKUP(Master_Reference[[#This Row],[C-Flex 3500K Eco Part Number]],Lutron_CFlex_Lookup[],MATCH("Lutron Kit PN",Lutron_CFlex_Lookup[#Headers],0),FALSE),"")</f>
        <v/>
      </c>
      <c r="AH428" s="1" t="str">
        <f>_xlfn.IFNA(VLOOKUP(Master_Reference[[#This Row],[C-Flex 4000K Eco Part Number]],Lutron_CFlex_Lookup[],MATCH("Lutron Kit PN",Lutron_CFlex_Lookup[#Headers],0),FALSE),"")</f>
        <v/>
      </c>
      <c r="AI428" s="1" t="str">
        <f>_xlfn.IFNA(VLOOKUP(Master_Reference[[#This Row],[C-Flex 5000K Eco Part Number]],Lutron_CFlex_Lookup[],MATCH("Lutron Kit PN",Lutron_CFlex_Lookup[#Headers],0),FALSE),"")</f>
        <v/>
      </c>
      <c r="AJ428" s="1" t="str">
        <f>_xlfn.IFNA(VLOOKUP(Master_Reference[[#This Row],[C-Flex 3000K 3W Part Number]],Lutron_CFlex_Lookup[],MATCH("Lutron Kit PN",Lutron_CFlex_Lookup[#Headers],0),FALSE),"")</f>
        <v/>
      </c>
      <c r="AK428" s="1" t="str">
        <f>_xlfn.IFNA(VLOOKUP(Master_Reference[[#This Row],[C-Flex 3500K 3W Part Number]],Lutron_CFlex_Lookup[],MATCH("Lutron Kit PN",Lutron_CFlex_Lookup[#Headers],0),FALSE),"")</f>
        <v/>
      </c>
      <c r="AL428" s="1" t="str">
        <f>_xlfn.IFNA(VLOOKUP(Master_Reference[[#This Row],[C-Flex 4000K 3W Part Number]],Lutron_CFlex_Lookup[],MATCH("Lutron Kit PN",Lutron_CFlex_Lookup[#Headers],0),FALSE),"")</f>
        <v/>
      </c>
      <c r="AM428" s="1" t="str">
        <f>_xlfn.IFNA(VLOOKUP(Master_Reference[[#This Row],[C-Flex 5000K 3W Part Number]],Lutron_CFlex_Lookup[],MATCH("Lutron Kit PN",Lutron_CFlex_Lookup[#Headers],0),FALSE),"")</f>
        <v/>
      </c>
      <c r="AN428" s="1" t="b">
        <f>NOT(ISNA(VLOOKUP(Master_Reference[[#This Row],[Model Number]],ObsoleteModels[],1,FALSE)))</f>
        <v>1</v>
      </c>
      <c r="AO428" s="1" t="str">
        <f>IF(LEFT(Master_Reference[[#This Row],[Model Number]],1)="U",LEFT(Master_Reference[[#This Row],[Model Number]],4),LEFT(Master_Reference[[#This Row],[Model Number]],3))</f>
        <v>EHD</v>
      </c>
    </row>
    <row r="429" spans="1:41" x14ac:dyDescent="0.25">
      <c r="A429" s="2" t="s">
        <v>710</v>
      </c>
      <c r="B429" s="1" t="b">
        <v>1</v>
      </c>
      <c r="G429" s="1" t="str">
        <f>IF(OR(LEFT(RIGHT(Master_Reference[[#This Row],[Model Number]],3),1)="C",LEFT(RIGHT(Master_Reference[[#This Row],[Model Number]],4),1)="C"),TRUE,"")</f>
        <v/>
      </c>
      <c r="H429" s="1" t="str">
        <f>IF(LEFT(Master_Reference[[#This Row],[Model Number]],1)="U",TRUE,"")</f>
        <v/>
      </c>
      <c r="I429" s="1" t="str">
        <f>IF(Master_Reference[[#This Row],[Lamp Type]]="T4","",IF(Master_Reference[[#This Row],[Case Type]]="M","",TRUE))</f>
        <v/>
      </c>
      <c r="J429" s="1" t="s">
        <v>297</v>
      </c>
      <c r="K429" s="1">
        <v>39</v>
      </c>
      <c r="L429" s="1" t="s">
        <v>115</v>
      </c>
      <c r="M429" s="1">
        <v>2</v>
      </c>
      <c r="N429" s="1" t="s">
        <v>631</v>
      </c>
      <c r="O429" s="1" t="s">
        <v>632</v>
      </c>
      <c r="Q429" s="1" t="s">
        <v>456</v>
      </c>
      <c r="R429" t="b">
        <f>IF(COUNTBLANK(Master_Reference[[#This Row],[C-Flex 3000K Eco Part Number]:[C-Flex 4000K Eco Part Number]])=3,FALSE,TRUE)</f>
        <v>0</v>
      </c>
      <c r="S429" t="b">
        <f>IF(COUNTBLANK(Master_Reference[[#This Row],[C-Flex 3000K 3W Part Number]:[C-Flex 4000K 3W Part Number]])=3,FALSE,TRUE)</f>
        <v>0</v>
      </c>
      <c r="T429" t="b">
        <f>IF(COUNTBLANK(Master_Reference[[#This Row],[Lutron 3000K Eco Part Number]:[Lutron 4000K Eco Part Number]])=3,FALSE,TRUE)</f>
        <v>0</v>
      </c>
      <c r="U429" t="b">
        <f>IF(COUNTBLANK(Master_Reference[[#This Row],[Lutron 3000K 3W Part Number]:[Lutron 4000K 3W Part Number]])=3,FALSE,TRUE)</f>
        <v>0</v>
      </c>
      <c r="V429" s="12"/>
      <c r="W429" s="12"/>
      <c r="X429" s="12"/>
      <c r="Y429" t="s">
        <v>2125</v>
      </c>
      <c r="Z429" s="12"/>
      <c r="AA429" s="12"/>
      <c r="AB429" s="12"/>
      <c r="AC429" t="s">
        <v>2125</v>
      </c>
      <c r="AD429" t="str">
        <f>SUBSTITUTE(Master_Reference[[#This Row],[C-Flex 4000K Eco Part Number]],"40-","xx-")</f>
        <v/>
      </c>
      <c r="AE429" t="str">
        <f>SUBSTITUTE(Master_Reference[[#This Row],[C-Flex 4000K 3W Part Number]],"40-","xx-")</f>
        <v/>
      </c>
      <c r="AF429" s="1" t="str">
        <f>_xlfn.IFNA(VLOOKUP(Master_Reference[[#This Row],[C-Flex 3000K Eco Part Number]],Lutron_CFlex_Lookup[],MATCH("Lutron Kit PN",Lutron_CFlex_Lookup[#Headers],0),FALSE),"")</f>
        <v/>
      </c>
      <c r="AG429" s="1" t="str">
        <f>_xlfn.IFNA(VLOOKUP(Master_Reference[[#This Row],[C-Flex 3500K Eco Part Number]],Lutron_CFlex_Lookup[],MATCH("Lutron Kit PN",Lutron_CFlex_Lookup[#Headers],0),FALSE),"")</f>
        <v/>
      </c>
      <c r="AH429" s="1" t="str">
        <f>_xlfn.IFNA(VLOOKUP(Master_Reference[[#This Row],[C-Flex 4000K Eco Part Number]],Lutron_CFlex_Lookup[],MATCH("Lutron Kit PN",Lutron_CFlex_Lookup[#Headers],0),FALSE),"")</f>
        <v/>
      </c>
      <c r="AI429" s="1" t="str">
        <f>_xlfn.IFNA(VLOOKUP(Master_Reference[[#This Row],[C-Flex 5000K Eco Part Number]],Lutron_CFlex_Lookup[],MATCH("Lutron Kit PN",Lutron_CFlex_Lookup[#Headers],0),FALSE),"")</f>
        <v/>
      </c>
      <c r="AJ429" s="1" t="str">
        <f>_xlfn.IFNA(VLOOKUP(Master_Reference[[#This Row],[C-Flex 3000K 3W Part Number]],Lutron_CFlex_Lookup[],MATCH("Lutron Kit PN",Lutron_CFlex_Lookup[#Headers],0),FALSE),"")</f>
        <v/>
      </c>
      <c r="AK429" s="1" t="str">
        <f>_xlfn.IFNA(VLOOKUP(Master_Reference[[#This Row],[C-Flex 3500K 3W Part Number]],Lutron_CFlex_Lookup[],MATCH("Lutron Kit PN",Lutron_CFlex_Lookup[#Headers],0),FALSE),"")</f>
        <v/>
      </c>
      <c r="AL429" s="1" t="str">
        <f>_xlfn.IFNA(VLOOKUP(Master_Reference[[#This Row],[C-Flex 4000K 3W Part Number]],Lutron_CFlex_Lookup[],MATCH("Lutron Kit PN",Lutron_CFlex_Lookup[#Headers],0),FALSE),"")</f>
        <v/>
      </c>
      <c r="AM429" s="1" t="str">
        <f>_xlfn.IFNA(VLOOKUP(Master_Reference[[#This Row],[C-Flex 5000K 3W Part Number]],Lutron_CFlex_Lookup[],MATCH("Lutron Kit PN",Lutron_CFlex_Lookup[#Headers],0),FALSE),"")</f>
        <v/>
      </c>
      <c r="AN429" s="1" t="b">
        <f>NOT(ISNA(VLOOKUP(Master_Reference[[#This Row],[Model Number]],ObsoleteModels[],1,FALSE)))</f>
        <v>1</v>
      </c>
      <c r="AO429" s="1" t="str">
        <f>IF(LEFT(Master_Reference[[#This Row],[Model Number]],1)="U",LEFT(Master_Reference[[#This Row],[Model Number]],4),LEFT(Master_Reference[[#This Row],[Model Number]],3))</f>
        <v>EHD</v>
      </c>
    </row>
    <row r="430" spans="1:41" x14ac:dyDescent="0.25">
      <c r="A430" s="2" t="s">
        <v>711</v>
      </c>
      <c r="B430" s="1" t="b">
        <v>1</v>
      </c>
      <c r="G430" s="1" t="str">
        <f>IF(OR(LEFT(RIGHT(Master_Reference[[#This Row],[Model Number]],3),1)="C",LEFT(RIGHT(Master_Reference[[#This Row],[Model Number]],4),1)="C"),TRUE,"")</f>
        <v/>
      </c>
      <c r="H430" s="1" t="str">
        <f>IF(LEFT(Master_Reference[[#This Row],[Model Number]],1)="U",TRUE,"")</f>
        <v/>
      </c>
      <c r="I430" s="1" t="str">
        <f>IF(Master_Reference[[#This Row],[Lamp Type]]="T4","",IF(Master_Reference[[#This Row],[Case Type]]="M","",TRUE))</f>
        <v/>
      </c>
      <c r="J430" s="1" t="s">
        <v>297</v>
      </c>
      <c r="K430" s="1">
        <v>39</v>
      </c>
      <c r="L430" s="1" t="s">
        <v>115</v>
      </c>
      <c r="M430" s="1">
        <v>1</v>
      </c>
      <c r="N430" s="1" t="s">
        <v>149</v>
      </c>
      <c r="O430" s="1" t="s">
        <v>632</v>
      </c>
      <c r="R430" t="b">
        <f>IF(COUNTBLANK(Master_Reference[[#This Row],[C-Flex 3000K Eco Part Number]:[C-Flex 4000K Eco Part Number]])=3,FALSE,TRUE)</f>
        <v>1</v>
      </c>
      <c r="S430" t="b">
        <f>IF(COUNTBLANK(Master_Reference[[#This Row],[C-Flex 3000K 3W Part Number]:[C-Flex 4000K 3W Part Number]])=3,FALSE,TRUE)</f>
        <v>0</v>
      </c>
      <c r="T430" t="b">
        <f>IF(COUNTBLANK(Master_Reference[[#This Row],[Lutron 3000K Eco Part Number]:[Lutron 4000K Eco Part Number]])=3,FALSE,TRUE)</f>
        <v>1</v>
      </c>
      <c r="U430" t="b">
        <f>IF(COUNTBLANK(Master_Reference[[#This Row],[Lutron 3000K 3W Part Number]:[Lutron 4000K 3W Part Number]])=3,FALSE,TRUE)</f>
        <v>0</v>
      </c>
      <c r="V430" s="12" t="s">
        <v>405</v>
      </c>
      <c r="W430" s="12" t="s">
        <v>406</v>
      </c>
      <c r="X430" s="12" t="s">
        <v>407</v>
      </c>
      <c r="Y430" t="s">
        <v>1727</v>
      </c>
      <c r="Z430" s="12"/>
      <c r="AA430" s="12"/>
      <c r="AB430" s="12"/>
      <c r="AC430" t="s">
        <v>2125</v>
      </c>
      <c r="AD430" t="str">
        <f>SUBSTITUTE(Master_Reference[[#This Row],[C-Flex 4000K Eco Part Number]],"40-","xx-")</f>
        <v>RP-T5HO-3FT-1L-8xx-E1-M-G2</v>
      </c>
      <c r="AE430" t="str">
        <f>SUBSTITUTE(Master_Reference[[#This Row],[C-Flex 4000K 3W Part Number]],"40-","xx-")</f>
        <v/>
      </c>
      <c r="AF430" s="1" t="str">
        <f>_xlfn.IFNA(VLOOKUP(Master_Reference[[#This Row],[C-Flex 3000K Eco Part Number]],Lutron_CFlex_Lookup[],MATCH("Lutron Kit PN",Lutron_CFlex_Lookup[#Headers],0),FALSE),"")</f>
        <v>ELD3T5H-1M30-q</v>
      </c>
      <c r="AG430" s="1" t="str">
        <f>_xlfn.IFNA(VLOOKUP(Master_Reference[[#This Row],[C-Flex 3500K Eco Part Number]],Lutron_CFlex_Lookup[],MATCH("Lutron Kit PN",Lutron_CFlex_Lookup[#Headers],0),FALSE),"")</f>
        <v>ELD3T5H-1M35-q</v>
      </c>
      <c r="AH430" s="1" t="str">
        <f>_xlfn.IFNA(VLOOKUP(Master_Reference[[#This Row],[C-Flex 4000K Eco Part Number]],Lutron_CFlex_Lookup[],MATCH("Lutron Kit PN",Lutron_CFlex_Lookup[#Headers],0),FALSE),"")</f>
        <v>ELD3T5H-1M40-q</v>
      </c>
      <c r="AI430" s="1" t="str">
        <f>_xlfn.IFNA(VLOOKUP(Master_Reference[[#This Row],[C-Flex 5000K Eco Part Number]],Lutron_CFlex_Lookup[],MATCH("Lutron Kit PN",Lutron_CFlex_Lookup[#Headers],0),FALSE),"")</f>
        <v>ELD3T5H-1M50-q</v>
      </c>
      <c r="AJ430" s="1" t="str">
        <f>_xlfn.IFNA(VLOOKUP(Master_Reference[[#This Row],[C-Flex 3000K 3W Part Number]],Lutron_CFlex_Lookup[],MATCH("Lutron Kit PN",Lutron_CFlex_Lookup[#Headers],0),FALSE),"")</f>
        <v/>
      </c>
      <c r="AK430" s="1" t="str">
        <f>_xlfn.IFNA(VLOOKUP(Master_Reference[[#This Row],[C-Flex 3500K 3W Part Number]],Lutron_CFlex_Lookup[],MATCH("Lutron Kit PN",Lutron_CFlex_Lookup[#Headers],0),FALSE),"")</f>
        <v/>
      </c>
      <c r="AL430" s="1" t="str">
        <f>_xlfn.IFNA(VLOOKUP(Master_Reference[[#This Row],[C-Flex 4000K 3W Part Number]],Lutron_CFlex_Lookup[],MATCH("Lutron Kit PN",Lutron_CFlex_Lookup[#Headers],0),FALSE),"")</f>
        <v/>
      </c>
      <c r="AM430" s="1" t="str">
        <f>_xlfn.IFNA(VLOOKUP(Master_Reference[[#This Row],[C-Flex 5000K 3W Part Number]],Lutron_CFlex_Lookup[],MATCH("Lutron Kit PN",Lutron_CFlex_Lookup[#Headers],0),FALSE),"")</f>
        <v/>
      </c>
      <c r="AN430" s="1" t="b">
        <f>NOT(ISNA(VLOOKUP(Master_Reference[[#This Row],[Model Number]],ObsoleteModels[],1,FALSE)))</f>
        <v>1</v>
      </c>
      <c r="AO430" s="1" t="str">
        <f>IF(LEFT(Master_Reference[[#This Row],[Model Number]],1)="U",LEFT(Master_Reference[[#This Row],[Model Number]],4),LEFT(Master_Reference[[#This Row],[Model Number]],3))</f>
        <v>EHD</v>
      </c>
    </row>
    <row r="431" spans="1:41" x14ac:dyDescent="0.25">
      <c r="A431" s="2" t="s">
        <v>712</v>
      </c>
      <c r="B431" s="1" t="b">
        <v>1</v>
      </c>
      <c r="G431" s="1" t="str">
        <f>IF(OR(LEFT(RIGHT(Master_Reference[[#This Row],[Model Number]],3),1)="C",LEFT(RIGHT(Master_Reference[[#This Row],[Model Number]],4),1)="C"),TRUE,"")</f>
        <v/>
      </c>
      <c r="H431" s="1" t="str">
        <f>IF(LEFT(Master_Reference[[#This Row],[Model Number]],1)="U",TRUE,"")</f>
        <v/>
      </c>
      <c r="I431" s="1" t="str">
        <f>IF(Master_Reference[[#This Row],[Lamp Type]]="T4","",IF(Master_Reference[[#This Row],[Case Type]]="M","",TRUE))</f>
        <v/>
      </c>
      <c r="J431" s="1" t="s">
        <v>297</v>
      </c>
      <c r="K431" s="1">
        <v>39</v>
      </c>
      <c r="L431" s="1" t="s">
        <v>115</v>
      </c>
      <c r="M431" s="1">
        <v>1</v>
      </c>
      <c r="N431" s="1" t="s">
        <v>149</v>
      </c>
      <c r="O431" s="1" t="s">
        <v>632</v>
      </c>
      <c r="Q431" s="1" t="s">
        <v>91</v>
      </c>
      <c r="R431" t="b">
        <f>IF(COUNTBLANK(Master_Reference[[#This Row],[C-Flex 3000K Eco Part Number]:[C-Flex 4000K Eco Part Number]])=3,FALSE,TRUE)</f>
        <v>0</v>
      </c>
      <c r="S431" t="b">
        <f>IF(COUNTBLANK(Master_Reference[[#This Row],[C-Flex 3000K 3W Part Number]:[C-Flex 4000K 3W Part Number]])=3,FALSE,TRUE)</f>
        <v>0</v>
      </c>
      <c r="T431" t="b">
        <f>IF(COUNTBLANK(Master_Reference[[#This Row],[Lutron 3000K Eco Part Number]:[Lutron 4000K Eco Part Number]])=3,FALSE,TRUE)</f>
        <v>0</v>
      </c>
      <c r="U431" t="b">
        <f>IF(COUNTBLANK(Master_Reference[[#This Row],[Lutron 3000K 3W Part Number]:[Lutron 4000K 3W Part Number]])=3,FALSE,TRUE)</f>
        <v>0</v>
      </c>
      <c r="V431" s="12"/>
      <c r="W431" s="12"/>
      <c r="X431" s="12"/>
      <c r="Y431" t="s">
        <v>2125</v>
      </c>
      <c r="Z431" s="12"/>
      <c r="AA431" s="12"/>
      <c r="AB431" s="12"/>
      <c r="AC431" t="s">
        <v>2125</v>
      </c>
      <c r="AD431" t="str">
        <f>SUBSTITUTE(Master_Reference[[#This Row],[C-Flex 4000K Eco Part Number]],"40-","xx-")</f>
        <v/>
      </c>
      <c r="AE431" t="str">
        <f>SUBSTITUTE(Master_Reference[[#This Row],[C-Flex 4000K 3W Part Number]],"40-","xx-")</f>
        <v/>
      </c>
      <c r="AF431" s="1" t="str">
        <f>_xlfn.IFNA(VLOOKUP(Master_Reference[[#This Row],[C-Flex 3000K Eco Part Number]],Lutron_CFlex_Lookup[],MATCH("Lutron Kit PN",Lutron_CFlex_Lookup[#Headers],0),FALSE),"")</f>
        <v/>
      </c>
      <c r="AG431" s="1" t="str">
        <f>_xlfn.IFNA(VLOOKUP(Master_Reference[[#This Row],[C-Flex 3500K Eco Part Number]],Lutron_CFlex_Lookup[],MATCH("Lutron Kit PN",Lutron_CFlex_Lookup[#Headers],0),FALSE),"")</f>
        <v/>
      </c>
      <c r="AH431" s="1" t="str">
        <f>_xlfn.IFNA(VLOOKUP(Master_Reference[[#This Row],[C-Flex 4000K Eco Part Number]],Lutron_CFlex_Lookup[],MATCH("Lutron Kit PN",Lutron_CFlex_Lookup[#Headers],0),FALSE),"")</f>
        <v/>
      </c>
      <c r="AI431" s="1" t="str">
        <f>_xlfn.IFNA(VLOOKUP(Master_Reference[[#This Row],[C-Flex 5000K Eco Part Number]],Lutron_CFlex_Lookup[],MATCH("Lutron Kit PN",Lutron_CFlex_Lookup[#Headers],0),FALSE),"")</f>
        <v/>
      </c>
      <c r="AJ431" s="1" t="str">
        <f>_xlfn.IFNA(VLOOKUP(Master_Reference[[#This Row],[C-Flex 3000K 3W Part Number]],Lutron_CFlex_Lookup[],MATCH("Lutron Kit PN",Lutron_CFlex_Lookup[#Headers],0),FALSE),"")</f>
        <v/>
      </c>
      <c r="AK431" s="1" t="str">
        <f>_xlfn.IFNA(VLOOKUP(Master_Reference[[#This Row],[C-Flex 3500K 3W Part Number]],Lutron_CFlex_Lookup[],MATCH("Lutron Kit PN",Lutron_CFlex_Lookup[#Headers],0),FALSE),"")</f>
        <v/>
      </c>
      <c r="AL431" s="1" t="str">
        <f>_xlfn.IFNA(VLOOKUP(Master_Reference[[#This Row],[C-Flex 4000K 3W Part Number]],Lutron_CFlex_Lookup[],MATCH("Lutron Kit PN",Lutron_CFlex_Lookup[#Headers],0),FALSE),"")</f>
        <v/>
      </c>
      <c r="AM431" s="1" t="str">
        <f>_xlfn.IFNA(VLOOKUP(Master_Reference[[#This Row],[C-Flex 5000K 3W Part Number]],Lutron_CFlex_Lookup[],MATCH("Lutron Kit PN",Lutron_CFlex_Lookup[#Headers],0),FALSE),"")</f>
        <v/>
      </c>
      <c r="AN431" s="1" t="b">
        <f>NOT(ISNA(VLOOKUP(Master_Reference[[#This Row],[Model Number]],ObsoleteModels[],1,FALSE)))</f>
        <v>1</v>
      </c>
      <c r="AO431" s="1" t="str">
        <f>IF(LEFT(Master_Reference[[#This Row],[Model Number]],1)="U",LEFT(Master_Reference[[#This Row],[Model Number]],4),LEFT(Master_Reference[[#This Row],[Model Number]],3))</f>
        <v>EHD</v>
      </c>
    </row>
    <row r="432" spans="1:41" x14ac:dyDescent="0.25">
      <c r="A432" s="2" t="s">
        <v>713</v>
      </c>
      <c r="B432" s="1" t="b">
        <v>1</v>
      </c>
      <c r="G432" s="1" t="b">
        <f>IF(OR(LEFT(RIGHT(Master_Reference[[#This Row],[Model Number]],3),1)="C",LEFT(RIGHT(Master_Reference[[#This Row],[Model Number]],4),1)="C"),TRUE,"")</f>
        <v>1</v>
      </c>
      <c r="H432" s="1" t="str">
        <f>IF(LEFT(Master_Reference[[#This Row],[Model Number]],1)="U",TRUE,"")</f>
        <v/>
      </c>
      <c r="I432" s="1" t="str">
        <f>IF(Master_Reference[[#This Row],[Lamp Type]]="T4","",IF(Master_Reference[[#This Row],[Case Type]]="M","",TRUE))</f>
        <v/>
      </c>
      <c r="J432" s="1" t="s">
        <v>297</v>
      </c>
      <c r="K432" s="1">
        <v>39</v>
      </c>
      <c r="L432" s="1" t="s">
        <v>115</v>
      </c>
      <c r="M432" s="1">
        <v>1</v>
      </c>
      <c r="N432" s="1" t="s">
        <v>149</v>
      </c>
      <c r="O432" s="1" t="s">
        <v>632</v>
      </c>
      <c r="R432" t="b">
        <f>IF(COUNTBLANK(Master_Reference[[#This Row],[C-Flex 3000K Eco Part Number]:[C-Flex 4000K Eco Part Number]])=3,FALSE,TRUE)</f>
        <v>1</v>
      </c>
      <c r="S432" t="b">
        <f>IF(COUNTBLANK(Master_Reference[[#This Row],[C-Flex 3000K 3W Part Number]:[C-Flex 4000K 3W Part Number]])=3,FALSE,TRUE)</f>
        <v>0</v>
      </c>
      <c r="T432" t="b">
        <f>IF(COUNTBLANK(Master_Reference[[#This Row],[Lutron 3000K Eco Part Number]:[Lutron 4000K Eco Part Number]])=3,FALSE,TRUE)</f>
        <v>1</v>
      </c>
      <c r="U432" t="b">
        <f>IF(COUNTBLANK(Master_Reference[[#This Row],[Lutron 3000K 3W Part Number]:[Lutron 4000K 3W Part Number]])=3,FALSE,TRUE)</f>
        <v>0</v>
      </c>
      <c r="V432" s="12" t="s">
        <v>405</v>
      </c>
      <c r="W432" s="12" t="s">
        <v>406</v>
      </c>
      <c r="X432" s="12" t="s">
        <v>407</v>
      </c>
      <c r="Y432" t="s">
        <v>1727</v>
      </c>
      <c r="Z432" s="12"/>
      <c r="AA432" s="12"/>
      <c r="AB432" s="12"/>
      <c r="AC432" t="s">
        <v>2125</v>
      </c>
      <c r="AD432" t="str">
        <f>SUBSTITUTE(Master_Reference[[#This Row],[C-Flex 4000K Eco Part Number]],"40-","xx-")</f>
        <v>RP-T5HO-3FT-1L-8xx-E1-M-G2</v>
      </c>
      <c r="AE432" t="str">
        <f>SUBSTITUTE(Master_Reference[[#This Row],[C-Flex 4000K 3W Part Number]],"40-","xx-")</f>
        <v/>
      </c>
      <c r="AF432" s="1" t="str">
        <f>_xlfn.IFNA(VLOOKUP(Master_Reference[[#This Row],[C-Flex 3000K Eco Part Number]],Lutron_CFlex_Lookup[],MATCH("Lutron Kit PN",Lutron_CFlex_Lookup[#Headers],0),FALSE),"")</f>
        <v>ELD3T5H-1M30-q</v>
      </c>
      <c r="AG432" s="1" t="str">
        <f>_xlfn.IFNA(VLOOKUP(Master_Reference[[#This Row],[C-Flex 3500K Eco Part Number]],Lutron_CFlex_Lookup[],MATCH("Lutron Kit PN",Lutron_CFlex_Lookup[#Headers],0),FALSE),"")</f>
        <v>ELD3T5H-1M35-q</v>
      </c>
      <c r="AH432" s="1" t="str">
        <f>_xlfn.IFNA(VLOOKUP(Master_Reference[[#This Row],[C-Flex 4000K Eco Part Number]],Lutron_CFlex_Lookup[],MATCH("Lutron Kit PN",Lutron_CFlex_Lookup[#Headers],0),FALSE),"")</f>
        <v>ELD3T5H-1M40-q</v>
      </c>
      <c r="AI432" s="1" t="str">
        <f>_xlfn.IFNA(VLOOKUP(Master_Reference[[#This Row],[C-Flex 5000K Eco Part Number]],Lutron_CFlex_Lookup[],MATCH("Lutron Kit PN",Lutron_CFlex_Lookup[#Headers],0),FALSE),"")</f>
        <v>ELD3T5H-1M50-q</v>
      </c>
      <c r="AJ432" s="1" t="str">
        <f>_xlfn.IFNA(VLOOKUP(Master_Reference[[#This Row],[C-Flex 3000K 3W Part Number]],Lutron_CFlex_Lookup[],MATCH("Lutron Kit PN",Lutron_CFlex_Lookup[#Headers],0),FALSE),"")</f>
        <v/>
      </c>
      <c r="AK432" s="1" t="str">
        <f>_xlfn.IFNA(VLOOKUP(Master_Reference[[#This Row],[C-Flex 3500K 3W Part Number]],Lutron_CFlex_Lookup[],MATCH("Lutron Kit PN",Lutron_CFlex_Lookup[#Headers],0),FALSE),"")</f>
        <v/>
      </c>
      <c r="AL432" s="1" t="str">
        <f>_xlfn.IFNA(VLOOKUP(Master_Reference[[#This Row],[C-Flex 4000K 3W Part Number]],Lutron_CFlex_Lookup[],MATCH("Lutron Kit PN",Lutron_CFlex_Lookup[#Headers],0),FALSE),"")</f>
        <v/>
      </c>
      <c r="AM432" s="1" t="str">
        <f>_xlfn.IFNA(VLOOKUP(Master_Reference[[#This Row],[C-Flex 5000K 3W Part Number]],Lutron_CFlex_Lookup[],MATCH("Lutron Kit PN",Lutron_CFlex_Lookup[#Headers],0),FALSE),"")</f>
        <v/>
      </c>
      <c r="AN432" s="1" t="b">
        <f>NOT(ISNA(VLOOKUP(Master_Reference[[#This Row],[Model Number]],ObsoleteModels[],1,FALSE)))</f>
        <v>1</v>
      </c>
      <c r="AO432" s="1" t="str">
        <f>IF(LEFT(Master_Reference[[#This Row],[Model Number]],1)="U",LEFT(Master_Reference[[#This Row],[Model Number]],4),LEFT(Master_Reference[[#This Row],[Model Number]],3))</f>
        <v>EHD</v>
      </c>
    </row>
    <row r="433" spans="1:41" x14ac:dyDescent="0.25">
      <c r="A433" s="2" t="s">
        <v>714</v>
      </c>
      <c r="B433" s="1" t="b">
        <v>1</v>
      </c>
      <c r="G433" s="1" t="str">
        <f>IF(OR(LEFT(RIGHT(Master_Reference[[#This Row],[Model Number]],3),1)="C",LEFT(RIGHT(Master_Reference[[#This Row],[Model Number]],4),1)="C"),TRUE,"")</f>
        <v/>
      </c>
      <c r="H433" s="1" t="str">
        <f>IF(LEFT(Master_Reference[[#This Row],[Model Number]],1)="U",TRUE,"")</f>
        <v/>
      </c>
      <c r="I433" s="1" t="str">
        <f>IF(Master_Reference[[#This Row],[Lamp Type]]="T4","",IF(Master_Reference[[#This Row],[Case Type]]="M","",TRUE))</f>
        <v/>
      </c>
      <c r="J433" s="1" t="s">
        <v>297</v>
      </c>
      <c r="K433" s="1">
        <v>39</v>
      </c>
      <c r="L433" s="1" t="s">
        <v>115</v>
      </c>
      <c r="M433" s="1">
        <v>2</v>
      </c>
      <c r="N433" s="1" t="s">
        <v>149</v>
      </c>
      <c r="O433" s="1" t="s">
        <v>632</v>
      </c>
      <c r="R433" t="b">
        <f>IF(COUNTBLANK(Master_Reference[[#This Row],[C-Flex 3000K Eco Part Number]:[C-Flex 4000K Eco Part Number]])=3,FALSE,TRUE)</f>
        <v>1</v>
      </c>
      <c r="S433" t="b">
        <f>IF(COUNTBLANK(Master_Reference[[#This Row],[C-Flex 3000K 3W Part Number]:[C-Flex 4000K 3W Part Number]])=3,FALSE,TRUE)</f>
        <v>0</v>
      </c>
      <c r="T433" t="b">
        <f>IF(COUNTBLANK(Master_Reference[[#This Row],[Lutron 3000K Eco Part Number]:[Lutron 4000K Eco Part Number]])=3,FALSE,TRUE)</f>
        <v>1</v>
      </c>
      <c r="U433" t="b">
        <f>IF(COUNTBLANK(Master_Reference[[#This Row],[Lutron 3000K 3W Part Number]:[Lutron 4000K 3W Part Number]])=3,FALSE,TRUE)</f>
        <v>0</v>
      </c>
      <c r="V433" s="12" t="s">
        <v>412</v>
      </c>
      <c r="W433" s="12" t="s">
        <v>413</v>
      </c>
      <c r="X433" s="12" t="s">
        <v>414</v>
      </c>
      <c r="Y433" t="s">
        <v>1728</v>
      </c>
      <c r="Z433" s="12"/>
      <c r="AA433" s="12"/>
      <c r="AB433" s="12"/>
      <c r="AC433" t="s">
        <v>2125</v>
      </c>
      <c r="AD433" t="str">
        <f>SUBSTITUTE(Master_Reference[[#This Row],[C-Flex 4000K Eco Part Number]],"40-","xx-")</f>
        <v>RP-T5HO-3FT-2L-8xx-E1-M-G2</v>
      </c>
      <c r="AE433" t="str">
        <f>SUBSTITUTE(Master_Reference[[#This Row],[C-Flex 4000K 3W Part Number]],"40-","xx-")</f>
        <v/>
      </c>
      <c r="AF433" s="1" t="str">
        <f>_xlfn.IFNA(VLOOKUP(Master_Reference[[#This Row],[C-Flex 3000K Eco Part Number]],Lutron_CFlex_Lookup[],MATCH("Lutron Kit PN",Lutron_CFlex_Lookup[#Headers],0),FALSE),"")</f>
        <v>ELD3T5H-2M30-q</v>
      </c>
      <c r="AG433" s="1" t="str">
        <f>_xlfn.IFNA(VLOOKUP(Master_Reference[[#This Row],[C-Flex 3500K Eco Part Number]],Lutron_CFlex_Lookup[],MATCH("Lutron Kit PN",Lutron_CFlex_Lookup[#Headers],0),FALSE),"")</f>
        <v>ELD3T5H-2M35-q</v>
      </c>
      <c r="AH433" s="1" t="str">
        <f>_xlfn.IFNA(VLOOKUP(Master_Reference[[#This Row],[C-Flex 4000K Eco Part Number]],Lutron_CFlex_Lookup[],MATCH("Lutron Kit PN",Lutron_CFlex_Lookup[#Headers],0),FALSE),"")</f>
        <v>ELD3T5H-2M40-q</v>
      </c>
      <c r="AI433" s="1" t="str">
        <f>_xlfn.IFNA(VLOOKUP(Master_Reference[[#This Row],[C-Flex 5000K Eco Part Number]],Lutron_CFlex_Lookup[],MATCH("Lutron Kit PN",Lutron_CFlex_Lookup[#Headers],0),FALSE),"")</f>
        <v>ELD3T5H-2M50-q</v>
      </c>
      <c r="AJ433" s="1" t="str">
        <f>_xlfn.IFNA(VLOOKUP(Master_Reference[[#This Row],[C-Flex 3000K 3W Part Number]],Lutron_CFlex_Lookup[],MATCH("Lutron Kit PN",Lutron_CFlex_Lookup[#Headers],0),FALSE),"")</f>
        <v/>
      </c>
      <c r="AK433" s="1" t="str">
        <f>_xlfn.IFNA(VLOOKUP(Master_Reference[[#This Row],[C-Flex 3500K 3W Part Number]],Lutron_CFlex_Lookup[],MATCH("Lutron Kit PN",Lutron_CFlex_Lookup[#Headers],0),FALSE),"")</f>
        <v/>
      </c>
      <c r="AL433" s="1" t="str">
        <f>_xlfn.IFNA(VLOOKUP(Master_Reference[[#This Row],[C-Flex 4000K 3W Part Number]],Lutron_CFlex_Lookup[],MATCH("Lutron Kit PN",Lutron_CFlex_Lookup[#Headers],0),FALSE),"")</f>
        <v/>
      </c>
      <c r="AM433" s="1" t="str">
        <f>_xlfn.IFNA(VLOOKUP(Master_Reference[[#This Row],[C-Flex 5000K 3W Part Number]],Lutron_CFlex_Lookup[],MATCH("Lutron Kit PN",Lutron_CFlex_Lookup[#Headers],0),FALSE),"")</f>
        <v/>
      </c>
      <c r="AN433" s="1" t="b">
        <f>NOT(ISNA(VLOOKUP(Master_Reference[[#This Row],[Model Number]],ObsoleteModels[],1,FALSE)))</f>
        <v>1</v>
      </c>
      <c r="AO433" s="1" t="str">
        <f>IF(LEFT(Master_Reference[[#This Row],[Model Number]],1)="U",LEFT(Master_Reference[[#This Row],[Model Number]],4),LEFT(Master_Reference[[#This Row],[Model Number]],3))</f>
        <v>EHD</v>
      </c>
    </row>
    <row r="434" spans="1:41" x14ac:dyDescent="0.25">
      <c r="A434" s="2" t="s">
        <v>715</v>
      </c>
      <c r="B434" s="1" t="b">
        <v>1</v>
      </c>
      <c r="G434" s="1" t="str">
        <f>IF(OR(LEFT(RIGHT(Master_Reference[[#This Row],[Model Number]],3),1)="C",LEFT(RIGHT(Master_Reference[[#This Row],[Model Number]],4),1)="C"),TRUE,"")</f>
        <v/>
      </c>
      <c r="H434" s="1" t="str">
        <f>IF(LEFT(Master_Reference[[#This Row],[Model Number]],1)="U",TRUE,"")</f>
        <v/>
      </c>
      <c r="I434" s="1" t="str">
        <f>IF(Master_Reference[[#This Row],[Lamp Type]]="T4","",IF(Master_Reference[[#This Row],[Case Type]]="M","",TRUE))</f>
        <v/>
      </c>
      <c r="J434" s="1" t="s">
        <v>297</v>
      </c>
      <c r="K434" s="1">
        <v>39</v>
      </c>
      <c r="L434" s="1" t="s">
        <v>115</v>
      </c>
      <c r="M434" s="1">
        <v>2</v>
      </c>
      <c r="N434" s="1" t="s">
        <v>149</v>
      </c>
      <c r="O434" s="1" t="s">
        <v>632</v>
      </c>
      <c r="Q434" s="1" t="s">
        <v>91</v>
      </c>
      <c r="R434" t="b">
        <f>IF(COUNTBLANK(Master_Reference[[#This Row],[C-Flex 3000K Eco Part Number]:[C-Flex 4000K Eco Part Number]])=3,FALSE,TRUE)</f>
        <v>0</v>
      </c>
      <c r="S434" t="b">
        <f>IF(COUNTBLANK(Master_Reference[[#This Row],[C-Flex 3000K 3W Part Number]:[C-Flex 4000K 3W Part Number]])=3,FALSE,TRUE)</f>
        <v>0</v>
      </c>
      <c r="T434" t="b">
        <f>IF(COUNTBLANK(Master_Reference[[#This Row],[Lutron 3000K Eco Part Number]:[Lutron 4000K Eco Part Number]])=3,FALSE,TRUE)</f>
        <v>0</v>
      </c>
      <c r="U434" t="b">
        <f>IF(COUNTBLANK(Master_Reference[[#This Row],[Lutron 3000K 3W Part Number]:[Lutron 4000K 3W Part Number]])=3,FALSE,TRUE)</f>
        <v>0</v>
      </c>
      <c r="V434" s="12"/>
      <c r="W434" s="12"/>
      <c r="X434" s="12"/>
      <c r="Y434" t="s">
        <v>2125</v>
      </c>
      <c r="Z434" s="12"/>
      <c r="AA434" s="12"/>
      <c r="AB434" s="12"/>
      <c r="AC434" t="s">
        <v>2125</v>
      </c>
      <c r="AD434" t="str">
        <f>SUBSTITUTE(Master_Reference[[#This Row],[C-Flex 4000K Eco Part Number]],"40-","xx-")</f>
        <v/>
      </c>
      <c r="AE434" t="str">
        <f>SUBSTITUTE(Master_Reference[[#This Row],[C-Flex 4000K 3W Part Number]],"40-","xx-")</f>
        <v/>
      </c>
      <c r="AF434" s="1" t="str">
        <f>_xlfn.IFNA(VLOOKUP(Master_Reference[[#This Row],[C-Flex 3000K Eco Part Number]],Lutron_CFlex_Lookup[],MATCH("Lutron Kit PN",Lutron_CFlex_Lookup[#Headers],0),FALSE),"")</f>
        <v/>
      </c>
      <c r="AG434" s="1" t="str">
        <f>_xlfn.IFNA(VLOOKUP(Master_Reference[[#This Row],[C-Flex 3500K Eco Part Number]],Lutron_CFlex_Lookup[],MATCH("Lutron Kit PN",Lutron_CFlex_Lookup[#Headers],0),FALSE),"")</f>
        <v/>
      </c>
      <c r="AH434" s="1" t="str">
        <f>_xlfn.IFNA(VLOOKUP(Master_Reference[[#This Row],[C-Flex 4000K Eco Part Number]],Lutron_CFlex_Lookup[],MATCH("Lutron Kit PN",Lutron_CFlex_Lookup[#Headers],0),FALSE),"")</f>
        <v/>
      </c>
      <c r="AI434" s="1" t="str">
        <f>_xlfn.IFNA(VLOOKUP(Master_Reference[[#This Row],[C-Flex 5000K Eco Part Number]],Lutron_CFlex_Lookup[],MATCH("Lutron Kit PN",Lutron_CFlex_Lookup[#Headers],0),FALSE),"")</f>
        <v/>
      </c>
      <c r="AJ434" s="1" t="str">
        <f>_xlfn.IFNA(VLOOKUP(Master_Reference[[#This Row],[C-Flex 3000K 3W Part Number]],Lutron_CFlex_Lookup[],MATCH("Lutron Kit PN",Lutron_CFlex_Lookup[#Headers],0),FALSE),"")</f>
        <v/>
      </c>
      <c r="AK434" s="1" t="str">
        <f>_xlfn.IFNA(VLOOKUP(Master_Reference[[#This Row],[C-Flex 3500K 3W Part Number]],Lutron_CFlex_Lookup[],MATCH("Lutron Kit PN",Lutron_CFlex_Lookup[#Headers],0),FALSE),"")</f>
        <v/>
      </c>
      <c r="AL434" s="1" t="str">
        <f>_xlfn.IFNA(VLOOKUP(Master_Reference[[#This Row],[C-Flex 4000K 3W Part Number]],Lutron_CFlex_Lookup[],MATCH("Lutron Kit PN",Lutron_CFlex_Lookup[#Headers],0),FALSE),"")</f>
        <v/>
      </c>
      <c r="AM434" s="1" t="str">
        <f>_xlfn.IFNA(VLOOKUP(Master_Reference[[#This Row],[C-Flex 5000K 3W Part Number]],Lutron_CFlex_Lookup[],MATCH("Lutron Kit PN",Lutron_CFlex_Lookup[#Headers],0),FALSE),"")</f>
        <v/>
      </c>
      <c r="AN434" s="1" t="b">
        <f>NOT(ISNA(VLOOKUP(Master_Reference[[#This Row],[Model Number]],ObsoleteModels[],1,FALSE)))</f>
        <v>1</v>
      </c>
      <c r="AO434" s="1" t="str">
        <f>IF(LEFT(Master_Reference[[#This Row],[Model Number]],1)="U",LEFT(Master_Reference[[#This Row],[Model Number]],4),LEFT(Master_Reference[[#This Row],[Model Number]],3))</f>
        <v>EHD</v>
      </c>
    </row>
    <row r="435" spans="1:41" x14ac:dyDescent="0.25">
      <c r="A435" s="2" t="s">
        <v>716</v>
      </c>
      <c r="B435" s="1" t="b">
        <v>1</v>
      </c>
      <c r="G435" s="1" t="b">
        <f>IF(OR(LEFT(RIGHT(Master_Reference[[#This Row],[Model Number]],3),1)="C",LEFT(RIGHT(Master_Reference[[#This Row],[Model Number]],4),1)="C"),TRUE,"")</f>
        <v>1</v>
      </c>
      <c r="H435" s="1" t="str">
        <f>IF(LEFT(Master_Reference[[#This Row],[Model Number]],1)="U",TRUE,"")</f>
        <v/>
      </c>
      <c r="I435" s="1" t="str">
        <f>IF(Master_Reference[[#This Row],[Lamp Type]]="T4","",IF(Master_Reference[[#This Row],[Case Type]]="M","",TRUE))</f>
        <v/>
      </c>
      <c r="J435" s="1" t="s">
        <v>297</v>
      </c>
      <c r="K435" s="1">
        <v>39</v>
      </c>
      <c r="L435" s="1" t="s">
        <v>115</v>
      </c>
      <c r="M435" s="1">
        <v>2</v>
      </c>
      <c r="N435" s="1" t="s">
        <v>149</v>
      </c>
      <c r="O435" s="1" t="s">
        <v>632</v>
      </c>
      <c r="R435" t="b">
        <f>IF(COUNTBLANK(Master_Reference[[#This Row],[C-Flex 3000K Eco Part Number]:[C-Flex 4000K Eco Part Number]])=3,FALSE,TRUE)</f>
        <v>1</v>
      </c>
      <c r="S435" t="b">
        <f>IF(COUNTBLANK(Master_Reference[[#This Row],[C-Flex 3000K 3W Part Number]:[C-Flex 4000K 3W Part Number]])=3,FALSE,TRUE)</f>
        <v>0</v>
      </c>
      <c r="T435" t="b">
        <f>IF(COUNTBLANK(Master_Reference[[#This Row],[Lutron 3000K Eco Part Number]:[Lutron 4000K Eco Part Number]])=3,FALSE,TRUE)</f>
        <v>1</v>
      </c>
      <c r="U435" t="b">
        <f>IF(COUNTBLANK(Master_Reference[[#This Row],[Lutron 3000K 3W Part Number]:[Lutron 4000K 3W Part Number]])=3,FALSE,TRUE)</f>
        <v>0</v>
      </c>
      <c r="V435" s="12" t="s">
        <v>412</v>
      </c>
      <c r="W435" s="12" t="s">
        <v>413</v>
      </c>
      <c r="X435" s="12" t="s">
        <v>414</v>
      </c>
      <c r="Y435" t="s">
        <v>1728</v>
      </c>
      <c r="Z435" s="12"/>
      <c r="AA435" s="12"/>
      <c r="AB435" s="12"/>
      <c r="AC435" t="s">
        <v>2125</v>
      </c>
      <c r="AD435" t="str">
        <f>SUBSTITUTE(Master_Reference[[#This Row],[C-Flex 4000K Eco Part Number]],"40-","xx-")</f>
        <v>RP-T5HO-3FT-2L-8xx-E1-M-G2</v>
      </c>
      <c r="AE435" t="str">
        <f>SUBSTITUTE(Master_Reference[[#This Row],[C-Flex 4000K 3W Part Number]],"40-","xx-")</f>
        <v/>
      </c>
      <c r="AF435" s="1" t="str">
        <f>_xlfn.IFNA(VLOOKUP(Master_Reference[[#This Row],[C-Flex 3000K Eco Part Number]],Lutron_CFlex_Lookup[],MATCH("Lutron Kit PN",Lutron_CFlex_Lookup[#Headers],0),FALSE),"")</f>
        <v>ELD3T5H-2M30-q</v>
      </c>
      <c r="AG435" s="1" t="str">
        <f>_xlfn.IFNA(VLOOKUP(Master_Reference[[#This Row],[C-Flex 3500K Eco Part Number]],Lutron_CFlex_Lookup[],MATCH("Lutron Kit PN",Lutron_CFlex_Lookup[#Headers],0),FALSE),"")</f>
        <v>ELD3T5H-2M35-q</v>
      </c>
      <c r="AH435" s="1" t="str">
        <f>_xlfn.IFNA(VLOOKUP(Master_Reference[[#This Row],[C-Flex 4000K Eco Part Number]],Lutron_CFlex_Lookup[],MATCH("Lutron Kit PN",Lutron_CFlex_Lookup[#Headers],0),FALSE),"")</f>
        <v>ELD3T5H-2M40-q</v>
      </c>
      <c r="AI435" s="1" t="str">
        <f>_xlfn.IFNA(VLOOKUP(Master_Reference[[#This Row],[C-Flex 5000K Eco Part Number]],Lutron_CFlex_Lookup[],MATCH("Lutron Kit PN",Lutron_CFlex_Lookup[#Headers],0),FALSE),"")</f>
        <v>ELD3T5H-2M50-q</v>
      </c>
      <c r="AJ435" s="1" t="str">
        <f>_xlfn.IFNA(VLOOKUP(Master_Reference[[#This Row],[C-Flex 3000K 3W Part Number]],Lutron_CFlex_Lookup[],MATCH("Lutron Kit PN",Lutron_CFlex_Lookup[#Headers],0),FALSE),"")</f>
        <v/>
      </c>
      <c r="AK435" s="1" t="str">
        <f>_xlfn.IFNA(VLOOKUP(Master_Reference[[#This Row],[C-Flex 3500K 3W Part Number]],Lutron_CFlex_Lookup[],MATCH("Lutron Kit PN",Lutron_CFlex_Lookup[#Headers],0),FALSE),"")</f>
        <v/>
      </c>
      <c r="AL435" s="1" t="str">
        <f>_xlfn.IFNA(VLOOKUP(Master_Reference[[#This Row],[C-Flex 4000K 3W Part Number]],Lutron_CFlex_Lookup[],MATCH("Lutron Kit PN",Lutron_CFlex_Lookup[#Headers],0),FALSE),"")</f>
        <v/>
      </c>
      <c r="AM435" s="1" t="str">
        <f>_xlfn.IFNA(VLOOKUP(Master_Reference[[#This Row],[C-Flex 5000K 3W Part Number]],Lutron_CFlex_Lookup[],MATCH("Lutron Kit PN",Lutron_CFlex_Lookup[#Headers],0),FALSE),"")</f>
        <v/>
      </c>
      <c r="AN435" s="1" t="b">
        <f>NOT(ISNA(VLOOKUP(Master_Reference[[#This Row],[Model Number]],ObsoleteModels[],1,FALSE)))</f>
        <v>1</v>
      </c>
      <c r="AO435" s="1" t="str">
        <f>IF(LEFT(Master_Reference[[#This Row],[Model Number]],1)="U",LEFT(Master_Reference[[#This Row],[Model Number]],4),LEFT(Master_Reference[[#This Row],[Model Number]],3))</f>
        <v>EHD</v>
      </c>
    </row>
    <row r="436" spans="1:41" x14ac:dyDescent="0.25">
      <c r="A436" s="2" t="s">
        <v>717</v>
      </c>
      <c r="B436" s="1" t="b">
        <v>1</v>
      </c>
      <c r="G436" s="1" t="b">
        <f>IF(OR(LEFT(RIGHT(Master_Reference[[#This Row],[Model Number]],3),1)="C",LEFT(RIGHT(Master_Reference[[#This Row],[Model Number]],4),1)="C"),TRUE,"")</f>
        <v>1</v>
      </c>
      <c r="H436" s="1" t="str">
        <f>IF(LEFT(Master_Reference[[#This Row],[Model Number]],1)="U",TRUE,"")</f>
        <v/>
      </c>
      <c r="I436" s="1" t="str">
        <f>IF(Master_Reference[[#This Row],[Lamp Type]]="T4","",IF(Master_Reference[[#This Row],[Case Type]]="M","",TRUE))</f>
        <v/>
      </c>
      <c r="J436" s="1" t="s">
        <v>297</v>
      </c>
      <c r="K436" s="1">
        <v>39</v>
      </c>
      <c r="L436" s="1" t="s">
        <v>115</v>
      </c>
      <c r="M436" s="1">
        <v>2</v>
      </c>
      <c r="N436" s="1" t="s">
        <v>149</v>
      </c>
      <c r="O436" s="1" t="s">
        <v>632</v>
      </c>
      <c r="R436" t="b">
        <f>IF(COUNTBLANK(Master_Reference[[#This Row],[C-Flex 3000K Eco Part Number]:[C-Flex 4000K Eco Part Number]])=3,FALSE,TRUE)</f>
        <v>1</v>
      </c>
      <c r="S436" t="b">
        <f>IF(COUNTBLANK(Master_Reference[[#This Row],[C-Flex 3000K 3W Part Number]:[C-Flex 4000K 3W Part Number]])=3,FALSE,TRUE)</f>
        <v>0</v>
      </c>
      <c r="T436" t="b">
        <f>IF(COUNTBLANK(Master_Reference[[#This Row],[Lutron 3000K Eco Part Number]:[Lutron 4000K Eco Part Number]])=3,FALSE,TRUE)</f>
        <v>1</v>
      </c>
      <c r="U436" t="b">
        <f>IF(COUNTBLANK(Master_Reference[[#This Row],[Lutron 3000K 3W Part Number]:[Lutron 4000K 3W Part Number]])=3,FALSE,TRUE)</f>
        <v>0</v>
      </c>
      <c r="V436" s="12" t="s">
        <v>412</v>
      </c>
      <c r="W436" s="12" t="s">
        <v>413</v>
      </c>
      <c r="X436" s="12" t="s">
        <v>414</v>
      </c>
      <c r="Y436" t="s">
        <v>1728</v>
      </c>
      <c r="Z436" s="12"/>
      <c r="AA436" s="12"/>
      <c r="AB436" s="12"/>
      <c r="AC436" t="s">
        <v>2125</v>
      </c>
      <c r="AD436" t="str">
        <f>SUBSTITUTE(Master_Reference[[#This Row],[C-Flex 4000K Eco Part Number]],"40-","xx-")</f>
        <v>RP-T5HO-3FT-2L-8xx-E1-M-G2</v>
      </c>
      <c r="AE436" t="str">
        <f>SUBSTITUTE(Master_Reference[[#This Row],[C-Flex 4000K 3W Part Number]],"40-","xx-")</f>
        <v/>
      </c>
      <c r="AF436" s="1" t="str">
        <f>_xlfn.IFNA(VLOOKUP(Master_Reference[[#This Row],[C-Flex 3000K Eco Part Number]],Lutron_CFlex_Lookup[],MATCH("Lutron Kit PN",Lutron_CFlex_Lookup[#Headers],0),FALSE),"")</f>
        <v>ELD3T5H-2M30-q</v>
      </c>
      <c r="AG436" s="1" t="str">
        <f>_xlfn.IFNA(VLOOKUP(Master_Reference[[#This Row],[C-Flex 3500K Eco Part Number]],Lutron_CFlex_Lookup[],MATCH("Lutron Kit PN",Lutron_CFlex_Lookup[#Headers],0),FALSE),"")</f>
        <v>ELD3T5H-2M35-q</v>
      </c>
      <c r="AH436" s="1" t="str">
        <f>_xlfn.IFNA(VLOOKUP(Master_Reference[[#This Row],[C-Flex 4000K Eco Part Number]],Lutron_CFlex_Lookup[],MATCH("Lutron Kit PN",Lutron_CFlex_Lookup[#Headers],0),FALSE),"")</f>
        <v>ELD3T5H-2M40-q</v>
      </c>
      <c r="AI436" s="1" t="str">
        <f>_xlfn.IFNA(VLOOKUP(Master_Reference[[#This Row],[C-Flex 5000K Eco Part Number]],Lutron_CFlex_Lookup[],MATCH("Lutron Kit PN",Lutron_CFlex_Lookup[#Headers],0),FALSE),"")</f>
        <v>ELD3T5H-2M50-q</v>
      </c>
      <c r="AJ436" s="1" t="str">
        <f>_xlfn.IFNA(VLOOKUP(Master_Reference[[#This Row],[C-Flex 3000K 3W Part Number]],Lutron_CFlex_Lookup[],MATCH("Lutron Kit PN",Lutron_CFlex_Lookup[#Headers],0),FALSE),"")</f>
        <v/>
      </c>
      <c r="AK436" s="1" t="str">
        <f>_xlfn.IFNA(VLOOKUP(Master_Reference[[#This Row],[C-Flex 3500K 3W Part Number]],Lutron_CFlex_Lookup[],MATCH("Lutron Kit PN",Lutron_CFlex_Lookup[#Headers],0),FALSE),"")</f>
        <v/>
      </c>
      <c r="AL436" s="1" t="str">
        <f>_xlfn.IFNA(VLOOKUP(Master_Reference[[#This Row],[C-Flex 4000K 3W Part Number]],Lutron_CFlex_Lookup[],MATCH("Lutron Kit PN",Lutron_CFlex_Lookup[#Headers],0),FALSE),"")</f>
        <v/>
      </c>
      <c r="AM436" s="1" t="str">
        <f>_xlfn.IFNA(VLOOKUP(Master_Reference[[#This Row],[C-Flex 5000K 3W Part Number]],Lutron_CFlex_Lookup[],MATCH("Lutron Kit PN",Lutron_CFlex_Lookup[#Headers],0),FALSE),"")</f>
        <v/>
      </c>
      <c r="AN436" s="1" t="b">
        <f>NOT(ISNA(VLOOKUP(Master_Reference[[#This Row],[Model Number]],ObsoleteModels[],1,FALSE)))</f>
        <v>1</v>
      </c>
      <c r="AO436" s="1" t="str">
        <f>IF(LEFT(Master_Reference[[#This Row],[Model Number]],1)="U",LEFT(Master_Reference[[#This Row],[Model Number]],4),LEFT(Master_Reference[[#This Row],[Model Number]],3))</f>
        <v>EHD</v>
      </c>
    </row>
    <row r="437" spans="1:41" x14ac:dyDescent="0.25">
      <c r="A437" s="2" t="s">
        <v>718</v>
      </c>
      <c r="B437" s="1" t="b">
        <v>1</v>
      </c>
      <c r="G437" s="1" t="b">
        <v>1</v>
      </c>
      <c r="H437" s="1" t="str">
        <f>IF(LEFT(Master_Reference[[#This Row],[Model Number]],1)="U",TRUE,"")</f>
        <v/>
      </c>
      <c r="I437" s="1" t="str">
        <f>IF(Master_Reference[[#This Row],[Lamp Type]]="T4","",IF(Master_Reference[[#This Row],[Case Type]]="M","",TRUE))</f>
        <v/>
      </c>
      <c r="J437" s="1" t="s">
        <v>123</v>
      </c>
      <c r="K437" s="1">
        <v>49</v>
      </c>
      <c r="L437" s="1" t="s">
        <v>118</v>
      </c>
      <c r="M437" s="1">
        <v>1</v>
      </c>
      <c r="N437" s="1" t="s">
        <v>631</v>
      </c>
      <c r="O437" s="1" t="s">
        <v>632</v>
      </c>
      <c r="Q437" s="1" t="s">
        <v>643</v>
      </c>
      <c r="R437" t="b">
        <f>IF(COUNTBLANK(Master_Reference[[#This Row],[C-Flex 3000K Eco Part Number]:[C-Flex 4000K Eco Part Number]])=3,FALSE,TRUE)</f>
        <v>0</v>
      </c>
      <c r="S437" t="b">
        <f>IF(COUNTBLANK(Master_Reference[[#This Row],[C-Flex 3000K 3W Part Number]:[C-Flex 4000K 3W Part Number]])=3,FALSE,TRUE)</f>
        <v>0</v>
      </c>
      <c r="T437" t="b">
        <f>IF(COUNTBLANK(Master_Reference[[#This Row],[Lutron 3000K Eco Part Number]:[Lutron 4000K Eco Part Number]])=3,FALSE,TRUE)</f>
        <v>0</v>
      </c>
      <c r="U437" t="b">
        <f>IF(COUNTBLANK(Master_Reference[[#This Row],[Lutron 3000K 3W Part Number]:[Lutron 4000K 3W Part Number]])=3,FALSE,TRUE)</f>
        <v>0</v>
      </c>
      <c r="V437" s="12"/>
      <c r="W437" s="12"/>
      <c r="X437" s="12"/>
      <c r="Y437" t="s">
        <v>2125</v>
      </c>
      <c r="Z437" s="12"/>
      <c r="AA437" s="12"/>
      <c r="AB437" s="12"/>
      <c r="AC437" t="s">
        <v>2125</v>
      </c>
      <c r="AD437" t="str">
        <f>SUBSTITUTE(Master_Reference[[#This Row],[C-Flex 4000K Eco Part Number]],"40-","xx-")</f>
        <v/>
      </c>
      <c r="AE437" t="str">
        <f>SUBSTITUTE(Master_Reference[[#This Row],[C-Flex 4000K 3W Part Number]],"40-","xx-")</f>
        <v/>
      </c>
      <c r="AF437" s="1" t="str">
        <f>_xlfn.IFNA(VLOOKUP(Master_Reference[[#This Row],[C-Flex 3000K Eco Part Number]],Lutron_CFlex_Lookup[],MATCH("Lutron Kit PN",Lutron_CFlex_Lookup[#Headers],0),FALSE),"")</f>
        <v/>
      </c>
      <c r="AG437" s="1" t="str">
        <f>_xlfn.IFNA(VLOOKUP(Master_Reference[[#This Row],[C-Flex 3500K Eco Part Number]],Lutron_CFlex_Lookup[],MATCH("Lutron Kit PN",Lutron_CFlex_Lookup[#Headers],0),FALSE),"")</f>
        <v/>
      </c>
      <c r="AH437" s="1" t="str">
        <f>_xlfn.IFNA(VLOOKUP(Master_Reference[[#This Row],[C-Flex 4000K Eco Part Number]],Lutron_CFlex_Lookup[],MATCH("Lutron Kit PN",Lutron_CFlex_Lookup[#Headers],0),FALSE),"")</f>
        <v/>
      </c>
      <c r="AI437" s="1" t="str">
        <f>_xlfn.IFNA(VLOOKUP(Master_Reference[[#This Row],[C-Flex 5000K Eco Part Number]],Lutron_CFlex_Lookup[],MATCH("Lutron Kit PN",Lutron_CFlex_Lookup[#Headers],0),FALSE),"")</f>
        <v/>
      </c>
      <c r="AJ437" s="1" t="str">
        <f>_xlfn.IFNA(VLOOKUP(Master_Reference[[#This Row],[C-Flex 3000K 3W Part Number]],Lutron_CFlex_Lookup[],MATCH("Lutron Kit PN",Lutron_CFlex_Lookup[#Headers],0),FALSE),"")</f>
        <v/>
      </c>
      <c r="AK437" s="1" t="str">
        <f>_xlfn.IFNA(VLOOKUP(Master_Reference[[#This Row],[C-Flex 3500K 3W Part Number]],Lutron_CFlex_Lookup[],MATCH("Lutron Kit PN",Lutron_CFlex_Lookup[#Headers],0),FALSE),"")</f>
        <v/>
      </c>
      <c r="AL437" s="1" t="str">
        <f>_xlfn.IFNA(VLOOKUP(Master_Reference[[#This Row],[C-Flex 4000K 3W Part Number]],Lutron_CFlex_Lookup[],MATCH("Lutron Kit PN",Lutron_CFlex_Lookup[#Headers],0),FALSE),"")</f>
        <v/>
      </c>
      <c r="AM437" s="1" t="str">
        <f>_xlfn.IFNA(VLOOKUP(Master_Reference[[#This Row],[C-Flex 5000K 3W Part Number]],Lutron_CFlex_Lookup[],MATCH("Lutron Kit PN",Lutron_CFlex_Lookup[#Headers],0),FALSE),"")</f>
        <v/>
      </c>
      <c r="AN437" s="1" t="b">
        <f>NOT(ISNA(VLOOKUP(Master_Reference[[#This Row],[Model Number]],ObsoleteModels[],1,FALSE)))</f>
        <v>1</v>
      </c>
      <c r="AO437" s="1" t="str">
        <f>IF(LEFT(Master_Reference[[#This Row],[Model Number]],1)="U",LEFT(Master_Reference[[#This Row],[Model Number]],4),LEFT(Master_Reference[[#This Row],[Model Number]],3))</f>
        <v>EHD</v>
      </c>
    </row>
    <row r="438" spans="1:41" x14ac:dyDescent="0.25">
      <c r="A438" s="2" t="s">
        <v>719</v>
      </c>
      <c r="B438" s="1" t="b">
        <v>1</v>
      </c>
      <c r="G438" s="1" t="b">
        <v>1</v>
      </c>
      <c r="H438" s="1" t="str">
        <f>IF(LEFT(Master_Reference[[#This Row],[Model Number]],1)="U",TRUE,"")</f>
        <v/>
      </c>
      <c r="I438" s="1" t="str">
        <f>IF(Master_Reference[[#This Row],[Lamp Type]]="T4","",IF(Master_Reference[[#This Row],[Case Type]]="M","",TRUE))</f>
        <v/>
      </c>
      <c r="J438" s="1" t="s">
        <v>123</v>
      </c>
      <c r="K438" s="1">
        <v>49</v>
      </c>
      <c r="L438" s="1" t="s">
        <v>118</v>
      </c>
      <c r="M438" s="1">
        <v>1</v>
      </c>
      <c r="N438" s="1" t="s">
        <v>149</v>
      </c>
      <c r="O438" s="1" t="s">
        <v>632</v>
      </c>
      <c r="R438" t="b">
        <f>IF(COUNTBLANK(Master_Reference[[#This Row],[C-Flex 3000K Eco Part Number]:[C-Flex 4000K Eco Part Number]])=3,FALSE,TRUE)</f>
        <v>1</v>
      </c>
      <c r="S438" t="b">
        <f>IF(COUNTBLANK(Master_Reference[[#This Row],[C-Flex 3000K 3W Part Number]:[C-Flex 4000K 3W Part Number]])=3,FALSE,TRUE)</f>
        <v>0</v>
      </c>
      <c r="T438" t="b">
        <f>IF(COUNTBLANK(Master_Reference[[#This Row],[Lutron 3000K Eco Part Number]:[Lutron 4000K Eco Part Number]])=3,FALSE,TRUE)</f>
        <v>1</v>
      </c>
      <c r="U438" t="b">
        <f>IF(COUNTBLANK(Master_Reference[[#This Row],[Lutron 3000K 3W Part Number]:[Lutron 4000K 3W Part Number]])=3,FALSE,TRUE)</f>
        <v>0</v>
      </c>
      <c r="V438" s="12" t="s">
        <v>283</v>
      </c>
      <c r="W438" s="12" t="s">
        <v>284</v>
      </c>
      <c r="X438" s="12" t="s">
        <v>285</v>
      </c>
      <c r="Y438" t="s">
        <v>1719</v>
      </c>
      <c r="Z438" s="12"/>
      <c r="AA438" s="12"/>
      <c r="AB438" s="12"/>
      <c r="AC438" t="s">
        <v>2125</v>
      </c>
      <c r="AD438" t="str">
        <f>SUBSTITUTE(Master_Reference[[#This Row],[C-Flex 4000K Eco Part Number]],"40-","xx-")</f>
        <v>RP-T5-4FT-1L-8xx-E1-M-G2</v>
      </c>
      <c r="AE438" t="str">
        <f>SUBSTITUTE(Master_Reference[[#This Row],[C-Flex 4000K 3W Part Number]],"40-","xx-")</f>
        <v/>
      </c>
      <c r="AF438" s="1" t="str">
        <f>_xlfn.IFNA(VLOOKUP(Master_Reference[[#This Row],[C-Flex 3000K Eco Part Number]],Lutron_CFlex_Lookup[],MATCH("Lutron Kit PN",Lutron_CFlex_Lookup[#Headers],0),FALSE),"")</f>
        <v>ELD4T5-1M30-q</v>
      </c>
      <c r="AG438" s="1" t="str">
        <f>_xlfn.IFNA(VLOOKUP(Master_Reference[[#This Row],[C-Flex 3500K Eco Part Number]],Lutron_CFlex_Lookup[],MATCH("Lutron Kit PN",Lutron_CFlex_Lookup[#Headers],0),FALSE),"")</f>
        <v>ELD4T5-1M35-q</v>
      </c>
      <c r="AH438" s="1" t="str">
        <f>_xlfn.IFNA(VLOOKUP(Master_Reference[[#This Row],[C-Flex 4000K Eco Part Number]],Lutron_CFlex_Lookup[],MATCH("Lutron Kit PN",Lutron_CFlex_Lookup[#Headers],0),FALSE),"")</f>
        <v>ELD4T5-1M40-q</v>
      </c>
      <c r="AI438" s="1" t="str">
        <f>_xlfn.IFNA(VLOOKUP(Master_Reference[[#This Row],[C-Flex 5000K Eco Part Number]],Lutron_CFlex_Lookup[],MATCH("Lutron Kit PN",Lutron_CFlex_Lookup[#Headers],0),FALSE),"")</f>
        <v>ELD4T5-1M50-q</v>
      </c>
      <c r="AJ438" s="1" t="str">
        <f>_xlfn.IFNA(VLOOKUP(Master_Reference[[#This Row],[C-Flex 3000K 3W Part Number]],Lutron_CFlex_Lookup[],MATCH("Lutron Kit PN",Lutron_CFlex_Lookup[#Headers],0),FALSE),"")</f>
        <v/>
      </c>
      <c r="AK438" s="1" t="str">
        <f>_xlfn.IFNA(VLOOKUP(Master_Reference[[#This Row],[C-Flex 3500K 3W Part Number]],Lutron_CFlex_Lookup[],MATCH("Lutron Kit PN",Lutron_CFlex_Lookup[#Headers],0),FALSE),"")</f>
        <v/>
      </c>
      <c r="AL438" s="1" t="str">
        <f>_xlfn.IFNA(VLOOKUP(Master_Reference[[#This Row],[C-Flex 4000K 3W Part Number]],Lutron_CFlex_Lookup[],MATCH("Lutron Kit PN",Lutron_CFlex_Lookup[#Headers],0),FALSE),"")</f>
        <v/>
      </c>
      <c r="AM438" s="1" t="str">
        <f>_xlfn.IFNA(VLOOKUP(Master_Reference[[#This Row],[C-Flex 5000K 3W Part Number]],Lutron_CFlex_Lookup[],MATCH("Lutron Kit PN",Lutron_CFlex_Lookup[#Headers],0),FALSE),"")</f>
        <v/>
      </c>
      <c r="AN438" s="1" t="b">
        <f>NOT(ISNA(VLOOKUP(Master_Reference[[#This Row],[Model Number]],ObsoleteModels[],1,FALSE)))</f>
        <v>1</v>
      </c>
      <c r="AO438" s="1" t="str">
        <f>IF(LEFT(Master_Reference[[#This Row],[Model Number]],1)="U",LEFT(Master_Reference[[#This Row],[Model Number]],4),LEFT(Master_Reference[[#This Row],[Model Number]],3))</f>
        <v>EHD</v>
      </c>
    </row>
    <row r="439" spans="1:41" x14ac:dyDescent="0.25">
      <c r="A439" s="2" t="s">
        <v>720</v>
      </c>
      <c r="B439" s="1" t="b">
        <v>1</v>
      </c>
      <c r="G439" s="1" t="b">
        <v>1</v>
      </c>
      <c r="H439" s="1" t="str">
        <f>IF(LEFT(Master_Reference[[#This Row],[Model Number]],1)="U",TRUE,"")</f>
        <v/>
      </c>
      <c r="I439" s="1" t="str">
        <f>IF(Master_Reference[[#This Row],[Lamp Type]]="T4","",IF(Master_Reference[[#This Row],[Case Type]]="M","",TRUE))</f>
        <v/>
      </c>
      <c r="J439" s="1" t="s">
        <v>123</v>
      </c>
      <c r="K439" s="1">
        <v>49</v>
      </c>
      <c r="L439" s="1" t="s">
        <v>118</v>
      </c>
      <c r="M439" s="1">
        <v>1</v>
      </c>
      <c r="N439" s="1" t="s">
        <v>149</v>
      </c>
      <c r="O439" s="1" t="s">
        <v>632</v>
      </c>
      <c r="Q439" s="1" t="s">
        <v>91</v>
      </c>
      <c r="R439" t="b">
        <f>IF(COUNTBLANK(Master_Reference[[#This Row],[C-Flex 3000K Eco Part Number]:[C-Flex 4000K Eco Part Number]])=3,FALSE,TRUE)</f>
        <v>0</v>
      </c>
      <c r="S439" t="b">
        <f>IF(COUNTBLANK(Master_Reference[[#This Row],[C-Flex 3000K 3W Part Number]:[C-Flex 4000K 3W Part Number]])=3,FALSE,TRUE)</f>
        <v>0</v>
      </c>
      <c r="T439" t="b">
        <f>IF(COUNTBLANK(Master_Reference[[#This Row],[Lutron 3000K Eco Part Number]:[Lutron 4000K Eco Part Number]])=3,FALSE,TRUE)</f>
        <v>0</v>
      </c>
      <c r="U439" t="b">
        <f>IF(COUNTBLANK(Master_Reference[[#This Row],[Lutron 3000K 3W Part Number]:[Lutron 4000K 3W Part Number]])=3,FALSE,TRUE)</f>
        <v>0</v>
      </c>
      <c r="V439" s="12"/>
      <c r="W439" s="12"/>
      <c r="X439" s="12"/>
      <c r="Y439" t="s">
        <v>2125</v>
      </c>
      <c r="Z439" s="12"/>
      <c r="AA439" s="12"/>
      <c r="AB439" s="12"/>
      <c r="AC439" t="s">
        <v>2125</v>
      </c>
      <c r="AD439" t="str">
        <f>SUBSTITUTE(Master_Reference[[#This Row],[C-Flex 4000K Eco Part Number]],"40-","xx-")</f>
        <v/>
      </c>
      <c r="AE439" t="str">
        <f>SUBSTITUTE(Master_Reference[[#This Row],[C-Flex 4000K 3W Part Number]],"40-","xx-")</f>
        <v/>
      </c>
      <c r="AF439" s="1" t="str">
        <f>_xlfn.IFNA(VLOOKUP(Master_Reference[[#This Row],[C-Flex 3000K Eco Part Number]],Lutron_CFlex_Lookup[],MATCH("Lutron Kit PN",Lutron_CFlex_Lookup[#Headers],0),FALSE),"")</f>
        <v/>
      </c>
      <c r="AG439" s="1" t="str">
        <f>_xlfn.IFNA(VLOOKUP(Master_Reference[[#This Row],[C-Flex 3500K Eco Part Number]],Lutron_CFlex_Lookup[],MATCH("Lutron Kit PN",Lutron_CFlex_Lookup[#Headers],0),FALSE),"")</f>
        <v/>
      </c>
      <c r="AH439" s="1" t="str">
        <f>_xlfn.IFNA(VLOOKUP(Master_Reference[[#This Row],[C-Flex 4000K Eco Part Number]],Lutron_CFlex_Lookup[],MATCH("Lutron Kit PN",Lutron_CFlex_Lookup[#Headers],0),FALSE),"")</f>
        <v/>
      </c>
      <c r="AI439" s="1" t="str">
        <f>_xlfn.IFNA(VLOOKUP(Master_Reference[[#This Row],[C-Flex 5000K Eco Part Number]],Lutron_CFlex_Lookup[],MATCH("Lutron Kit PN",Lutron_CFlex_Lookup[#Headers],0),FALSE),"")</f>
        <v/>
      </c>
      <c r="AJ439" s="1" t="str">
        <f>_xlfn.IFNA(VLOOKUP(Master_Reference[[#This Row],[C-Flex 3000K 3W Part Number]],Lutron_CFlex_Lookup[],MATCH("Lutron Kit PN",Lutron_CFlex_Lookup[#Headers],0),FALSE),"")</f>
        <v/>
      </c>
      <c r="AK439" s="1" t="str">
        <f>_xlfn.IFNA(VLOOKUP(Master_Reference[[#This Row],[C-Flex 3500K 3W Part Number]],Lutron_CFlex_Lookup[],MATCH("Lutron Kit PN",Lutron_CFlex_Lookup[#Headers],0),FALSE),"")</f>
        <v/>
      </c>
      <c r="AL439" s="1" t="str">
        <f>_xlfn.IFNA(VLOOKUP(Master_Reference[[#This Row],[C-Flex 4000K 3W Part Number]],Lutron_CFlex_Lookup[],MATCH("Lutron Kit PN",Lutron_CFlex_Lookup[#Headers],0),FALSE),"")</f>
        <v/>
      </c>
      <c r="AM439" s="1" t="str">
        <f>_xlfn.IFNA(VLOOKUP(Master_Reference[[#This Row],[C-Flex 5000K 3W Part Number]],Lutron_CFlex_Lookup[],MATCH("Lutron Kit PN",Lutron_CFlex_Lookup[#Headers],0),FALSE),"")</f>
        <v/>
      </c>
      <c r="AN439" s="1" t="b">
        <f>NOT(ISNA(VLOOKUP(Master_Reference[[#This Row],[Model Number]],ObsoleteModels[],1,FALSE)))</f>
        <v>1</v>
      </c>
      <c r="AO439" s="1" t="str">
        <f>IF(LEFT(Master_Reference[[#This Row],[Model Number]],1)="U",LEFT(Master_Reference[[#This Row],[Model Number]],4),LEFT(Master_Reference[[#This Row],[Model Number]],3))</f>
        <v>EHD</v>
      </c>
    </row>
    <row r="440" spans="1:41" x14ac:dyDescent="0.25">
      <c r="A440" s="2" t="s">
        <v>721</v>
      </c>
      <c r="B440" s="1" t="b">
        <v>1</v>
      </c>
      <c r="G440" s="1" t="b">
        <v>1</v>
      </c>
      <c r="H440" s="1" t="str">
        <f>IF(LEFT(Master_Reference[[#This Row],[Model Number]],1)="U",TRUE,"")</f>
        <v/>
      </c>
      <c r="I440" s="1" t="str">
        <f>IF(Master_Reference[[#This Row],[Lamp Type]]="T4","",IF(Master_Reference[[#This Row],[Case Type]]="M","",TRUE))</f>
        <v/>
      </c>
      <c r="J440" s="1" t="s">
        <v>123</v>
      </c>
      <c r="K440" s="1">
        <v>49</v>
      </c>
      <c r="L440" s="1" t="s">
        <v>118</v>
      </c>
      <c r="M440" s="1">
        <v>2</v>
      </c>
      <c r="N440" s="1" t="s">
        <v>149</v>
      </c>
      <c r="O440" s="1" t="s">
        <v>632</v>
      </c>
      <c r="R440" t="b">
        <f>IF(COUNTBLANK(Master_Reference[[#This Row],[C-Flex 3000K Eco Part Number]:[C-Flex 4000K Eco Part Number]])=3,FALSE,TRUE)</f>
        <v>1</v>
      </c>
      <c r="S440" t="b">
        <f>IF(COUNTBLANK(Master_Reference[[#This Row],[C-Flex 3000K 3W Part Number]:[C-Flex 4000K 3W Part Number]])=3,FALSE,TRUE)</f>
        <v>0</v>
      </c>
      <c r="T440" t="b">
        <f>IF(COUNTBLANK(Master_Reference[[#This Row],[Lutron 3000K Eco Part Number]:[Lutron 4000K Eco Part Number]])=3,FALSE,TRUE)</f>
        <v>1</v>
      </c>
      <c r="U440" t="b">
        <f>IF(COUNTBLANK(Master_Reference[[#This Row],[Lutron 3000K 3W Part Number]:[Lutron 4000K 3W Part Number]])=3,FALSE,TRUE)</f>
        <v>0</v>
      </c>
      <c r="V440" s="12" t="s">
        <v>290</v>
      </c>
      <c r="W440" s="12" t="s">
        <v>291</v>
      </c>
      <c r="X440" s="12" t="s">
        <v>292</v>
      </c>
      <c r="Y440" t="s">
        <v>1720</v>
      </c>
      <c r="Z440" s="12"/>
      <c r="AA440" s="12"/>
      <c r="AB440" s="12"/>
      <c r="AC440" t="s">
        <v>2125</v>
      </c>
      <c r="AD440" t="str">
        <f>SUBSTITUTE(Master_Reference[[#This Row],[C-Flex 4000K Eco Part Number]],"40-","xx-")</f>
        <v>RP-T5-4FT-2L-8xx-E1-M-G2</v>
      </c>
      <c r="AE440" t="str">
        <f>SUBSTITUTE(Master_Reference[[#This Row],[C-Flex 4000K 3W Part Number]],"40-","xx-")</f>
        <v/>
      </c>
      <c r="AF440" s="1" t="str">
        <f>_xlfn.IFNA(VLOOKUP(Master_Reference[[#This Row],[C-Flex 3000K Eco Part Number]],Lutron_CFlex_Lookup[],MATCH("Lutron Kit PN",Lutron_CFlex_Lookup[#Headers],0),FALSE),"")</f>
        <v>ELD4T5-2M30-q</v>
      </c>
      <c r="AG440" s="1" t="str">
        <f>_xlfn.IFNA(VLOOKUP(Master_Reference[[#This Row],[C-Flex 3500K Eco Part Number]],Lutron_CFlex_Lookup[],MATCH("Lutron Kit PN",Lutron_CFlex_Lookup[#Headers],0),FALSE),"")</f>
        <v>ELD4T5-2M35-q</v>
      </c>
      <c r="AH440" s="1" t="str">
        <f>_xlfn.IFNA(VLOOKUP(Master_Reference[[#This Row],[C-Flex 4000K Eco Part Number]],Lutron_CFlex_Lookup[],MATCH("Lutron Kit PN",Lutron_CFlex_Lookup[#Headers],0),FALSE),"")</f>
        <v>ELD4T5-2M40-q</v>
      </c>
      <c r="AI440" s="1" t="str">
        <f>_xlfn.IFNA(VLOOKUP(Master_Reference[[#This Row],[C-Flex 5000K Eco Part Number]],Lutron_CFlex_Lookup[],MATCH("Lutron Kit PN",Lutron_CFlex_Lookup[#Headers],0),FALSE),"")</f>
        <v>ELD4T5-2M50-q</v>
      </c>
      <c r="AJ440" s="1" t="str">
        <f>_xlfn.IFNA(VLOOKUP(Master_Reference[[#This Row],[C-Flex 3000K 3W Part Number]],Lutron_CFlex_Lookup[],MATCH("Lutron Kit PN",Lutron_CFlex_Lookup[#Headers],0),FALSE),"")</f>
        <v/>
      </c>
      <c r="AK440" s="1" t="str">
        <f>_xlfn.IFNA(VLOOKUP(Master_Reference[[#This Row],[C-Flex 3500K 3W Part Number]],Lutron_CFlex_Lookup[],MATCH("Lutron Kit PN",Lutron_CFlex_Lookup[#Headers],0),FALSE),"")</f>
        <v/>
      </c>
      <c r="AL440" s="1" t="str">
        <f>_xlfn.IFNA(VLOOKUP(Master_Reference[[#This Row],[C-Flex 4000K 3W Part Number]],Lutron_CFlex_Lookup[],MATCH("Lutron Kit PN",Lutron_CFlex_Lookup[#Headers],0),FALSE),"")</f>
        <v/>
      </c>
      <c r="AM440" s="1" t="str">
        <f>_xlfn.IFNA(VLOOKUP(Master_Reference[[#This Row],[C-Flex 5000K 3W Part Number]],Lutron_CFlex_Lookup[],MATCH("Lutron Kit PN",Lutron_CFlex_Lookup[#Headers],0),FALSE),"")</f>
        <v/>
      </c>
      <c r="AN440" s="1" t="b">
        <f>NOT(ISNA(VLOOKUP(Master_Reference[[#This Row],[Model Number]],ObsoleteModels[],1,FALSE)))</f>
        <v>1</v>
      </c>
      <c r="AO440" s="1" t="str">
        <f>IF(LEFT(Master_Reference[[#This Row],[Model Number]],1)="U",LEFT(Master_Reference[[#This Row],[Model Number]],4),LEFT(Master_Reference[[#This Row],[Model Number]],3))</f>
        <v>EHD</v>
      </c>
    </row>
    <row r="441" spans="1:41" x14ac:dyDescent="0.25">
      <c r="A441" s="2" t="s">
        <v>722</v>
      </c>
      <c r="B441" s="1" t="b">
        <v>1</v>
      </c>
      <c r="G441" s="1" t="b">
        <v>1</v>
      </c>
      <c r="H441" s="1" t="str">
        <f>IF(LEFT(Master_Reference[[#This Row],[Model Number]],1)="U",TRUE,"")</f>
        <v/>
      </c>
      <c r="I441" s="1" t="str">
        <f>IF(Master_Reference[[#This Row],[Lamp Type]]="T4","",IF(Master_Reference[[#This Row],[Case Type]]="M","",TRUE))</f>
        <v/>
      </c>
      <c r="J441" s="1" t="s">
        <v>123</v>
      </c>
      <c r="K441" s="1">
        <v>49</v>
      </c>
      <c r="L441" s="1" t="s">
        <v>118</v>
      </c>
      <c r="M441" s="1">
        <v>2</v>
      </c>
      <c r="N441" s="1" t="s">
        <v>149</v>
      </c>
      <c r="O441" s="1" t="s">
        <v>632</v>
      </c>
      <c r="Q441" s="1" t="s">
        <v>91</v>
      </c>
      <c r="R441" t="b">
        <f>IF(COUNTBLANK(Master_Reference[[#This Row],[C-Flex 3000K Eco Part Number]:[C-Flex 4000K Eco Part Number]])=3,FALSE,TRUE)</f>
        <v>0</v>
      </c>
      <c r="S441" t="b">
        <f>IF(COUNTBLANK(Master_Reference[[#This Row],[C-Flex 3000K 3W Part Number]:[C-Flex 4000K 3W Part Number]])=3,FALSE,TRUE)</f>
        <v>0</v>
      </c>
      <c r="T441" t="b">
        <f>IF(COUNTBLANK(Master_Reference[[#This Row],[Lutron 3000K Eco Part Number]:[Lutron 4000K Eco Part Number]])=3,FALSE,TRUE)</f>
        <v>0</v>
      </c>
      <c r="U441" t="b">
        <f>IF(COUNTBLANK(Master_Reference[[#This Row],[Lutron 3000K 3W Part Number]:[Lutron 4000K 3W Part Number]])=3,FALSE,TRUE)</f>
        <v>0</v>
      </c>
      <c r="V441" s="12"/>
      <c r="W441" s="12"/>
      <c r="X441" s="12"/>
      <c r="Y441" t="s">
        <v>2125</v>
      </c>
      <c r="Z441" s="12"/>
      <c r="AA441" s="12"/>
      <c r="AB441" s="12"/>
      <c r="AC441" t="s">
        <v>2125</v>
      </c>
      <c r="AD441" t="str">
        <f>SUBSTITUTE(Master_Reference[[#This Row],[C-Flex 4000K Eco Part Number]],"40-","xx-")</f>
        <v/>
      </c>
      <c r="AE441" t="str">
        <f>SUBSTITUTE(Master_Reference[[#This Row],[C-Flex 4000K 3W Part Number]],"40-","xx-")</f>
        <v/>
      </c>
      <c r="AF441" s="1" t="str">
        <f>_xlfn.IFNA(VLOOKUP(Master_Reference[[#This Row],[C-Flex 3000K Eco Part Number]],Lutron_CFlex_Lookup[],MATCH("Lutron Kit PN",Lutron_CFlex_Lookup[#Headers],0),FALSE),"")</f>
        <v/>
      </c>
      <c r="AG441" s="1" t="str">
        <f>_xlfn.IFNA(VLOOKUP(Master_Reference[[#This Row],[C-Flex 3500K Eco Part Number]],Lutron_CFlex_Lookup[],MATCH("Lutron Kit PN",Lutron_CFlex_Lookup[#Headers],0),FALSE),"")</f>
        <v/>
      </c>
      <c r="AH441" s="1" t="str">
        <f>_xlfn.IFNA(VLOOKUP(Master_Reference[[#This Row],[C-Flex 4000K Eco Part Number]],Lutron_CFlex_Lookup[],MATCH("Lutron Kit PN",Lutron_CFlex_Lookup[#Headers],0),FALSE),"")</f>
        <v/>
      </c>
      <c r="AI441" s="1" t="str">
        <f>_xlfn.IFNA(VLOOKUP(Master_Reference[[#This Row],[C-Flex 5000K Eco Part Number]],Lutron_CFlex_Lookup[],MATCH("Lutron Kit PN",Lutron_CFlex_Lookup[#Headers],0),FALSE),"")</f>
        <v/>
      </c>
      <c r="AJ441" s="1" t="str">
        <f>_xlfn.IFNA(VLOOKUP(Master_Reference[[#This Row],[C-Flex 3000K 3W Part Number]],Lutron_CFlex_Lookup[],MATCH("Lutron Kit PN",Lutron_CFlex_Lookup[#Headers],0),FALSE),"")</f>
        <v/>
      </c>
      <c r="AK441" s="1" t="str">
        <f>_xlfn.IFNA(VLOOKUP(Master_Reference[[#This Row],[C-Flex 3500K 3W Part Number]],Lutron_CFlex_Lookup[],MATCH("Lutron Kit PN",Lutron_CFlex_Lookup[#Headers],0),FALSE),"")</f>
        <v/>
      </c>
      <c r="AL441" s="1" t="str">
        <f>_xlfn.IFNA(VLOOKUP(Master_Reference[[#This Row],[C-Flex 4000K 3W Part Number]],Lutron_CFlex_Lookup[],MATCH("Lutron Kit PN",Lutron_CFlex_Lookup[#Headers],0),FALSE),"")</f>
        <v/>
      </c>
      <c r="AM441" s="1" t="str">
        <f>_xlfn.IFNA(VLOOKUP(Master_Reference[[#This Row],[C-Flex 5000K 3W Part Number]],Lutron_CFlex_Lookup[],MATCH("Lutron Kit PN",Lutron_CFlex_Lookup[#Headers],0),FALSE),"")</f>
        <v/>
      </c>
      <c r="AN441" s="1" t="b">
        <f>NOT(ISNA(VLOOKUP(Master_Reference[[#This Row],[Model Number]],ObsoleteModels[],1,FALSE)))</f>
        <v>1</v>
      </c>
      <c r="AO441" s="1" t="str">
        <f>IF(LEFT(Master_Reference[[#This Row],[Model Number]],1)="U",LEFT(Master_Reference[[#This Row],[Model Number]],4),LEFT(Master_Reference[[#This Row],[Model Number]],3))</f>
        <v>EHD</v>
      </c>
    </row>
    <row r="442" spans="1:41" x14ac:dyDescent="0.25">
      <c r="A442" s="2" t="s">
        <v>723</v>
      </c>
      <c r="B442" s="1" t="b">
        <v>1</v>
      </c>
      <c r="G442" s="1" t="str">
        <f>IF(OR(LEFT(RIGHT(Master_Reference[[#This Row],[Model Number]],3),1)="C",LEFT(RIGHT(Master_Reference[[#This Row],[Model Number]],4),1)="C"),TRUE,"")</f>
        <v/>
      </c>
      <c r="H442" s="1" t="str">
        <f>IF(LEFT(Master_Reference[[#This Row],[Model Number]],1)="U",TRUE,"")</f>
        <v/>
      </c>
      <c r="I442" s="1" t="b">
        <f>IF(Master_Reference[[#This Row],[Lamp Type]]="T4","",IF(Master_Reference[[#This Row],[Case Type]]="M","",TRUE))</f>
        <v>1</v>
      </c>
      <c r="J442" s="1" t="s">
        <v>297</v>
      </c>
      <c r="K442" s="1">
        <v>54</v>
      </c>
      <c r="L442" s="1" t="s">
        <v>118</v>
      </c>
      <c r="M442" s="1">
        <v>1</v>
      </c>
      <c r="N442" s="1">
        <v>347</v>
      </c>
      <c r="O442" s="1" t="s">
        <v>113</v>
      </c>
      <c r="Q442" s="1" t="s">
        <v>535</v>
      </c>
      <c r="R442" t="b">
        <f>IF(COUNTBLANK(Master_Reference[[#This Row],[C-Flex 3000K Eco Part Number]:[C-Flex 4000K Eco Part Number]])=3,FALSE,TRUE)</f>
        <v>0</v>
      </c>
      <c r="S442" t="b">
        <f>IF(COUNTBLANK(Master_Reference[[#This Row],[C-Flex 3000K 3W Part Number]:[C-Flex 4000K 3W Part Number]])=3,FALSE,TRUE)</f>
        <v>0</v>
      </c>
      <c r="T442" t="b">
        <f>IF(COUNTBLANK(Master_Reference[[#This Row],[Lutron 3000K Eco Part Number]:[Lutron 4000K Eco Part Number]])=3,FALSE,TRUE)</f>
        <v>0</v>
      </c>
      <c r="U442" t="b">
        <f>IF(COUNTBLANK(Master_Reference[[#This Row],[Lutron 3000K 3W Part Number]:[Lutron 4000K 3W Part Number]])=3,FALSE,TRUE)</f>
        <v>0</v>
      </c>
      <c r="V442" s="12"/>
      <c r="W442" s="12"/>
      <c r="X442" s="12"/>
      <c r="Y442" t="s">
        <v>2125</v>
      </c>
      <c r="Z442" s="12"/>
      <c r="AA442" s="12"/>
      <c r="AB442" s="12"/>
      <c r="AC442" t="s">
        <v>2125</v>
      </c>
      <c r="AD442" t="str">
        <f>SUBSTITUTE(Master_Reference[[#This Row],[C-Flex 4000K Eco Part Number]],"40-","xx-")</f>
        <v/>
      </c>
      <c r="AE442" t="str">
        <f>SUBSTITUTE(Master_Reference[[#This Row],[C-Flex 4000K 3W Part Number]],"40-","xx-")</f>
        <v/>
      </c>
      <c r="AF442" s="1" t="str">
        <f>_xlfn.IFNA(VLOOKUP(Master_Reference[[#This Row],[C-Flex 3000K Eco Part Number]],Lutron_CFlex_Lookup[],MATCH("Lutron Kit PN",Lutron_CFlex_Lookup[#Headers],0),FALSE),"")</f>
        <v/>
      </c>
      <c r="AG442" s="1" t="str">
        <f>_xlfn.IFNA(VLOOKUP(Master_Reference[[#This Row],[C-Flex 3500K Eco Part Number]],Lutron_CFlex_Lookup[],MATCH("Lutron Kit PN",Lutron_CFlex_Lookup[#Headers],0),FALSE),"")</f>
        <v/>
      </c>
      <c r="AH442" s="1" t="str">
        <f>_xlfn.IFNA(VLOOKUP(Master_Reference[[#This Row],[C-Flex 4000K Eco Part Number]],Lutron_CFlex_Lookup[],MATCH("Lutron Kit PN",Lutron_CFlex_Lookup[#Headers],0),FALSE),"")</f>
        <v/>
      </c>
      <c r="AI442" s="1" t="str">
        <f>_xlfn.IFNA(VLOOKUP(Master_Reference[[#This Row],[C-Flex 5000K Eco Part Number]],Lutron_CFlex_Lookup[],MATCH("Lutron Kit PN",Lutron_CFlex_Lookup[#Headers],0),FALSE),"")</f>
        <v/>
      </c>
      <c r="AJ442" s="1" t="str">
        <f>_xlfn.IFNA(VLOOKUP(Master_Reference[[#This Row],[C-Flex 3000K 3W Part Number]],Lutron_CFlex_Lookup[],MATCH("Lutron Kit PN",Lutron_CFlex_Lookup[#Headers],0),FALSE),"")</f>
        <v/>
      </c>
      <c r="AK442" s="1" t="str">
        <f>_xlfn.IFNA(VLOOKUP(Master_Reference[[#This Row],[C-Flex 3500K 3W Part Number]],Lutron_CFlex_Lookup[],MATCH("Lutron Kit PN",Lutron_CFlex_Lookup[#Headers],0),FALSE),"")</f>
        <v/>
      </c>
      <c r="AL442" s="1" t="str">
        <f>_xlfn.IFNA(VLOOKUP(Master_Reference[[#This Row],[C-Flex 4000K 3W Part Number]],Lutron_CFlex_Lookup[],MATCH("Lutron Kit PN",Lutron_CFlex_Lookup[#Headers],0),FALSE),"")</f>
        <v/>
      </c>
      <c r="AM442" s="1" t="str">
        <f>_xlfn.IFNA(VLOOKUP(Master_Reference[[#This Row],[C-Flex 5000K 3W Part Number]],Lutron_CFlex_Lookup[],MATCH("Lutron Kit PN",Lutron_CFlex_Lookup[#Headers],0),FALSE),"")</f>
        <v/>
      </c>
      <c r="AN442" s="1" t="b">
        <f>NOT(ISNA(VLOOKUP(Master_Reference[[#This Row],[Model Number]],ObsoleteModels[],1,FALSE)))</f>
        <v>1</v>
      </c>
      <c r="AO442" s="1" t="str">
        <f>IF(LEFT(Master_Reference[[#This Row],[Model Number]],1)="U",LEFT(Master_Reference[[#This Row],[Model Number]],4),LEFT(Master_Reference[[#This Row],[Model Number]],3))</f>
        <v>EHD</v>
      </c>
    </row>
    <row r="443" spans="1:41" x14ac:dyDescent="0.25">
      <c r="A443" s="2" t="s">
        <v>724</v>
      </c>
      <c r="B443" s="1" t="b">
        <v>1</v>
      </c>
      <c r="G443" s="1" t="str">
        <f>IF(OR(LEFT(RIGHT(Master_Reference[[#This Row],[Model Number]],3),1)="C",LEFT(RIGHT(Master_Reference[[#This Row],[Model Number]],4),1)="C"),TRUE,"")</f>
        <v/>
      </c>
      <c r="H443" s="1" t="str">
        <f>IF(LEFT(Master_Reference[[#This Row],[Model Number]],1)="U",TRUE,"")</f>
        <v/>
      </c>
      <c r="I443" s="1" t="b">
        <f>IF(Master_Reference[[#This Row],[Lamp Type]]="T4","",IF(Master_Reference[[#This Row],[Case Type]]="M","",TRUE))</f>
        <v>1</v>
      </c>
      <c r="J443" s="1" t="s">
        <v>297</v>
      </c>
      <c r="K443" s="1">
        <v>54</v>
      </c>
      <c r="L443" s="1" t="s">
        <v>118</v>
      </c>
      <c r="M443" s="1">
        <v>2</v>
      </c>
      <c r="N443" s="1">
        <v>347</v>
      </c>
      <c r="O443" s="1" t="s">
        <v>113</v>
      </c>
      <c r="Q443" s="1" t="s">
        <v>535</v>
      </c>
      <c r="R443" t="b">
        <f>IF(COUNTBLANK(Master_Reference[[#This Row],[C-Flex 3000K Eco Part Number]:[C-Flex 4000K Eco Part Number]])=3,FALSE,TRUE)</f>
        <v>0</v>
      </c>
      <c r="S443" t="b">
        <f>IF(COUNTBLANK(Master_Reference[[#This Row],[C-Flex 3000K 3W Part Number]:[C-Flex 4000K 3W Part Number]])=3,FALSE,TRUE)</f>
        <v>0</v>
      </c>
      <c r="T443" t="b">
        <f>IF(COUNTBLANK(Master_Reference[[#This Row],[Lutron 3000K Eco Part Number]:[Lutron 4000K Eco Part Number]])=3,FALSE,TRUE)</f>
        <v>0</v>
      </c>
      <c r="U443" t="b">
        <f>IF(COUNTBLANK(Master_Reference[[#This Row],[Lutron 3000K 3W Part Number]:[Lutron 4000K 3W Part Number]])=3,FALSE,TRUE)</f>
        <v>0</v>
      </c>
      <c r="V443" s="12"/>
      <c r="W443" s="12"/>
      <c r="X443" s="12"/>
      <c r="Y443" t="s">
        <v>2125</v>
      </c>
      <c r="Z443" s="12"/>
      <c r="AA443" s="12"/>
      <c r="AB443" s="12"/>
      <c r="AC443" t="s">
        <v>2125</v>
      </c>
      <c r="AD443" t="str">
        <f>SUBSTITUTE(Master_Reference[[#This Row],[C-Flex 4000K Eco Part Number]],"40-","xx-")</f>
        <v/>
      </c>
      <c r="AE443" t="str">
        <f>SUBSTITUTE(Master_Reference[[#This Row],[C-Flex 4000K 3W Part Number]],"40-","xx-")</f>
        <v/>
      </c>
      <c r="AF443" s="1" t="str">
        <f>_xlfn.IFNA(VLOOKUP(Master_Reference[[#This Row],[C-Flex 3000K Eco Part Number]],Lutron_CFlex_Lookup[],MATCH("Lutron Kit PN",Lutron_CFlex_Lookup[#Headers],0),FALSE),"")</f>
        <v/>
      </c>
      <c r="AG443" s="1" t="str">
        <f>_xlfn.IFNA(VLOOKUP(Master_Reference[[#This Row],[C-Flex 3500K Eco Part Number]],Lutron_CFlex_Lookup[],MATCH("Lutron Kit PN",Lutron_CFlex_Lookup[#Headers],0),FALSE),"")</f>
        <v/>
      </c>
      <c r="AH443" s="1" t="str">
        <f>_xlfn.IFNA(VLOOKUP(Master_Reference[[#This Row],[C-Flex 4000K Eco Part Number]],Lutron_CFlex_Lookup[],MATCH("Lutron Kit PN",Lutron_CFlex_Lookup[#Headers],0),FALSE),"")</f>
        <v/>
      </c>
      <c r="AI443" s="1" t="str">
        <f>_xlfn.IFNA(VLOOKUP(Master_Reference[[#This Row],[C-Flex 5000K Eco Part Number]],Lutron_CFlex_Lookup[],MATCH("Lutron Kit PN",Lutron_CFlex_Lookup[#Headers],0),FALSE),"")</f>
        <v/>
      </c>
      <c r="AJ443" s="1" t="str">
        <f>_xlfn.IFNA(VLOOKUP(Master_Reference[[#This Row],[C-Flex 3000K 3W Part Number]],Lutron_CFlex_Lookup[],MATCH("Lutron Kit PN",Lutron_CFlex_Lookup[#Headers],0),FALSE),"")</f>
        <v/>
      </c>
      <c r="AK443" s="1" t="str">
        <f>_xlfn.IFNA(VLOOKUP(Master_Reference[[#This Row],[C-Flex 3500K 3W Part Number]],Lutron_CFlex_Lookup[],MATCH("Lutron Kit PN",Lutron_CFlex_Lookup[#Headers],0),FALSE),"")</f>
        <v/>
      </c>
      <c r="AL443" s="1" t="str">
        <f>_xlfn.IFNA(VLOOKUP(Master_Reference[[#This Row],[C-Flex 4000K 3W Part Number]],Lutron_CFlex_Lookup[],MATCH("Lutron Kit PN",Lutron_CFlex_Lookup[#Headers],0),FALSE),"")</f>
        <v/>
      </c>
      <c r="AM443" s="1" t="str">
        <f>_xlfn.IFNA(VLOOKUP(Master_Reference[[#This Row],[C-Flex 5000K 3W Part Number]],Lutron_CFlex_Lookup[],MATCH("Lutron Kit PN",Lutron_CFlex_Lookup[#Headers],0),FALSE),"")</f>
        <v/>
      </c>
      <c r="AN443" s="1" t="b">
        <f>NOT(ISNA(VLOOKUP(Master_Reference[[#This Row],[Model Number]],ObsoleteModels[],1,FALSE)))</f>
        <v>1</v>
      </c>
      <c r="AO443" s="1" t="str">
        <f>IF(LEFT(Master_Reference[[#This Row],[Model Number]],1)="U",LEFT(Master_Reference[[#This Row],[Model Number]],4),LEFT(Master_Reference[[#This Row],[Model Number]],3))</f>
        <v>EHD</v>
      </c>
    </row>
    <row r="444" spans="1:41" x14ac:dyDescent="0.25">
      <c r="A444" s="2" t="s">
        <v>725</v>
      </c>
      <c r="B444" s="1" t="b">
        <v>1</v>
      </c>
      <c r="G444" s="1" t="str">
        <f>IF(OR(LEFT(RIGHT(Master_Reference[[#This Row],[Model Number]],3),1)="C",LEFT(RIGHT(Master_Reference[[#This Row],[Model Number]],4),1)="C"),TRUE,"")</f>
        <v/>
      </c>
      <c r="H444" s="1" t="str">
        <f>IF(LEFT(Master_Reference[[#This Row],[Model Number]],1)="U",TRUE,"")</f>
        <v/>
      </c>
      <c r="I444" s="1" t="b">
        <f>IF(Master_Reference[[#This Row],[Lamp Type]]="T4","",IF(Master_Reference[[#This Row],[Case Type]]="M","",TRUE))</f>
        <v>1</v>
      </c>
      <c r="J444" s="1" t="s">
        <v>297</v>
      </c>
      <c r="K444" s="1">
        <v>54</v>
      </c>
      <c r="L444" s="1" t="s">
        <v>118</v>
      </c>
      <c r="M444" s="1">
        <v>1</v>
      </c>
      <c r="N444" s="1" t="s">
        <v>149</v>
      </c>
      <c r="O444" s="1" t="s">
        <v>113</v>
      </c>
      <c r="R444" t="b">
        <f>IF(COUNTBLANK(Master_Reference[[#This Row],[C-Flex 3000K Eco Part Number]:[C-Flex 4000K Eco Part Number]])=3,FALSE,TRUE)</f>
        <v>1</v>
      </c>
      <c r="S444" t="b">
        <f>IF(COUNTBLANK(Master_Reference[[#This Row],[C-Flex 3000K 3W Part Number]:[C-Flex 4000K 3W Part Number]])=3,FALSE,TRUE)</f>
        <v>0</v>
      </c>
      <c r="T444" t="b">
        <f>IF(COUNTBLANK(Master_Reference[[#This Row],[Lutron 3000K Eco Part Number]:[Lutron 4000K Eco Part Number]])=3,FALSE,TRUE)</f>
        <v>1</v>
      </c>
      <c r="U444" t="b">
        <f>IF(COUNTBLANK(Master_Reference[[#This Row],[Lutron 3000K 3W Part Number]:[Lutron 4000K 3W Part Number]])=3,FALSE,TRUE)</f>
        <v>0</v>
      </c>
      <c r="V444" s="12" t="s">
        <v>298</v>
      </c>
      <c r="W444" s="12" t="s">
        <v>299</v>
      </c>
      <c r="X444" s="12" t="s">
        <v>300</v>
      </c>
      <c r="Y444" t="s">
        <v>1733</v>
      </c>
      <c r="Z444" s="12"/>
      <c r="AA444" s="12"/>
      <c r="AB444" s="12"/>
      <c r="AC444" t="s">
        <v>2125</v>
      </c>
      <c r="AD444" t="str">
        <f>SUBSTITUTE(Master_Reference[[#This Row],[C-Flex 4000K Eco Part Number]],"40-","xx-")</f>
        <v>RP-T5HO-4FT-1L-8xx-E1-M-G2</v>
      </c>
      <c r="AE444" t="str">
        <f>SUBSTITUTE(Master_Reference[[#This Row],[C-Flex 4000K 3W Part Number]],"40-","xx-")</f>
        <v/>
      </c>
      <c r="AF444" s="1" t="str">
        <f>_xlfn.IFNA(VLOOKUP(Master_Reference[[#This Row],[C-Flex 3000K Eco Part Number]],Lutron_CFlex_Lookup[],MATCH("Lutron Kit PN",Lutron_CFlex_Lookup[#Headers],0),FALSE),"")</f>
        <v>ELD4T5H-1M30-q</v>
      </c>
      <c r="AG444" s="1" t="str">
        <f>_xlfn.IFNA(VLOOKUP(Master_Reference[[#This Row],[C-Flex 3500K Eco Part Number]],Lutron_CFlex_Lookup[],MATCH("Lutron Kit PN",Lutron_CFlex_Lookup[#Headers],0),FALSE),"")</f>
        <v>ELD4T5H-1M35-q</v>
      </c>
      <c r="AH444" s="1" t="str">
        <f>_xlfn.IFNA(VLOOKUP(Master_Reference[[#This Row],[C-Flex 4000K Eco Part Number]],Lutron_CFlex_Lookup[],MATCH("Lutron Kit PN",Lutron_CFlex_Lookup[#Headers],0),FALSE),"")</f>
        <v>ELD4T5H-1M40-q</v>
      </c>
      <c r="AI444" s="1" t="str">
        <f>_xlfn.IFNA(VLOOKUP(Master_Reference[[#This Row],[C-Flex 5000K Eco Part Number]],Lutron_CFlex_Lookup[],MATCH("Lutron Kit PN",Lutron_CFlex_Lookup[#Headers],0),FALSE),"")</f>
        <v>ELD4T5H-1M50-q</v>
      </c>
      <c r="AJ444" s="1" t="str">
        <f>_xlfn.IFNA(VLOOKUP(Master_Reference[[#This Row],[C-Flex 3000K 3W Part Number]],Lutron_CFlex_Lookup[],MATCH("Lutron Kit PN",Lutron_CFlex_Lookup[#Headers],0),FALSE),"")</f>
        <v/>
      </c>
      <c r="AK444" s="1" t="str">
        <f>_xlfn.IFNA(VLOOKUP(Master_Reference[[#This Row],[C-Flex 3500K 3W Part Number]],Lutron_CFlex_Lookup[],MATCH("Lutron Kit PN",Lutron_CFlex_Lookup[#Headers],0),FALSE),"")</f>
        <v/>
      </c>
      <c r="AL444" s="1" t="str">
        <f>_xlfn.IFNA(VLOOKUP(Master_Reference[[#This Row],[C-Flex 4000K 3W Part Number]],Lutron_CFlex_Lookup[],MATCH("Lutron Kit PN",Lutron_CFlex_Lookup[#Headers],0),FALSE),"")</f>
        <v/>
      </c>
      <c r="AM444" s="1" t="str">
        <f>_xlfn.IFNA(VLOOKUP(Master_Reference[[#This Row],[C-Flex 5000K 3W Part Number]],Lutron_CFlex_Lookup[],MATCH("Lutron Kit PN",Lutron_CFlex_Lookup[#Headers],0),FALSE),"")</f>
        <v/>
      </c>
      <c r="AN444" s="1" t="b">
        <f>NOT(ISNA(VLOOKUP(Master_Reference[[#This Row],[Model Number]],ObsoleteModels[],1,FALSE)))</f>
        <v>1</v>
      </c>
      <c r="AO444" s="1" t="str">
        <f>IF(LEFT(Master_Reference[[#This Row],[Model Number]],1)="U",LEFT(Master_Reference[[#This Row],[Model Number]],4),LEFT(Master_Reference[[#This Row],[Model Number]],3))</f>
        <v>EHD</v>
      </c>
    </row>
    <row r="445" spans="1:41" x14ac:dyDescent="0.25">
      <c r="A445" s="2" t="s">
        <v>726</v>
      </c>
      <c r="B445" s="1" t="b">
        <v>1</v>
      </c>
      <c r="G445" s="1" t="str">
        <f>IF(OR(LEFT(RIGHT(Master_Reference[[#This Row],[Model Number]],3),1)="C",LEFT(RIGHT(Master_Reference[[#This Row],[Model Number]],4),1)="C"),TRUE,"")</f>
        <v/>
      </c>
      <c r="H445" s="1" t="str">
        <f>IF(LEFT(Master_Reference[[#This Row],[Model Number]],1)="U",TRUE,"")</f>
        <v/>
      </c>
      <c r="I445" s="1" t="b">
        <f>IF(Master_Reference[[#This Row],[Lamp Type]]="T4","",IF(Master_Reference[[#This Row],[Case Type]]="M","",TRUE))</f>
        <v>1</v>
      </c>
      <c r="J445" s="1" t="s">
        <v>297</v>
      </c>
      <c r="K445" s="1">
        <v>54</v>
      </c>
      <c r="L445" s="1" t="s">
        <v>118</v>
      </c>
      <c r="M445" s="1">
        <v>1</v>
      </c>
      <c r="N445" s="1" t="s">
        <v>149</v>
      </c>
      <c r="O445" s="1" t="s">
        <v>113</v>
      </c>
      <c r="R445" t="b">
        <f>IF(COUNTBLANK(Master_Reference[[#This Row],[C-Flex 3000K Eco Part Number]:[C-Flex 4000K Eco Part Number]])=3,FALSE,TRUE)</f>
        <v>1</v>
      </c>
      <c r="S445" t="b">
        <f>IF(COUNTBLANK(Master_Reference[[#This Row],[C-Flex 3000K 3W Part Number]:[C-Flex 4000K 3W Part Number]])=3,FALSE,TRUE)</f>
        <v>0</v>
      </c>
      <c r="T445" t="b">
        <f>IF(COUNTBLANK(Master_Reference[[#This Row],[Lutron 3000K Eco Part Number]:[Lutron 4000K Eco Part Number]])=3,FALSE,TRUE)</f>
        <v>1</v>
      </c>
      <c r="U445" t="b">
        <f>IF(COUNTBLANK(Master_Reference[[#This Row],[Lutron 3000K 3W Part Number]:[Lutron 4000K 3W Part Number]])=3,FALSE,TRUE)</f>
        <v>0</v>
      </c>
      <c r="V445" s="12" t="s">
        <v>298</v>
      </c>
      <c r="W445" s="12" t="s">
        <v>299</v>
      </c>
      <c r="X445" s="12" t="s">
        <v>300</v>
      </c>
      <c r="Y445" t="s">
        <v>1733</v>
      </c>
      <c r="Z445" s="12"/>
      <c r="AA445" s="12"/>
      <c r="AB445" s="12"/>
      <c r="AC445" t="s">
        <v>2125</v>
      </c>
      <c r="AD445" t="str">
        <f>SUBSTITUTE(Master_Reference[[#This Row],[C-Flex 4000K Eco Part Number]],"40-","xx-")</f>
        <v>RP-T5HO-4FT-1L-8xx-E1-M-G2</v>
      </c>
      <c r="AE445" t="str">
        <f>SUBSTITUTE(Master_Reference[[#This Row],[C-Flex 4000K 3W Part Number]],"40-","xx-")</f>
        <v/>
      </c>
      <c r="AF445" s="1" t="str">
        <f>_xlfn.IFNA(VLOOKUP(Master_Reference[[#This Row],[C-Flex 3000K Eco Part Number]],Lutron_CFlex_Lookup[],MATCH("Lutron Kit PN",Lutron_CFlex_Lookup[#Headers],0),FALSE),"")</f>
        <v>ELD4T5H-1M30-q</v>
      </c>
      <c r="AG445" s="1" t="str">
        <f>_xlfn.IFNA(VLOOKUP(Master_Reference[[#This Row],[C-Flex 3500K Eco Part Number]],Lutron_CFlex_Lookup[],MATCH("Lutron Kit PN",Lutron_CFlex_Lookup[#Headers],0),FALSE),"")</f>
        <v>ELD4T5H-1M35-q</v>
      </c>
      <c r="AH445" s="1" t="str">
        <f>_xlfn.IFNA(VLOOKUP(Master_Reference[[#This Row],[C-Flex 4000K Eco Part Number]],Lutron_CFlex_Lookup[],MATCH("Lutron Kit PN",Lutron_CFlex_Lookup[#Headers],0),FALSE),"")</f>
        <v>ELD4T5H-1M40-q</v>
      </c>
      <c r="AI445" s="1" t="str">
        <f>_xlfn.IFNA(VLOOKUP(Master_Reference[[#This Row],[C-Flex 5000K Eco Part Number]],Lutron_CFlex_Lookup[],MATCH("Lutron Kit PN",Lutron_CFlex_Lookup[#Headers],0),FALSE),"")</f>
        <v>ELD4T5H-1M50-q</v>
      </c>
      <c r="AJ445" s="1" t="str">
        <f>_xlfn.IFNA(VLOOKUP(Master_Reference[[#This Row],[C-Flex 3000K 3W Part Number]],Lutron_CFlex_Lookup[],MATCH("Lutron Kit PN",Lutron_CFlex_Lookup[#Headers],0),FALSE),"")</f>
        <v/>
      </c>
      <c r="AK445" s="1" t="str">
        <f>_xlfn.IFNA(VLOOKUP(Master_Reference[[#This Row],[C-Flex 3500K 3W Part Number]],Lutron_CFlex_Lookup[],MATCH("Lutron Kit PN",Lutron_CFlex_Lookup[#Headers],0),FALSE),"")</f>
        <v/>
      </c>
      <c r="AL445" s="1" t="str">
        <f>_xlfn.IFNA(VLOOKUP(Master_Reference[[#This Row],[C-Flex 4000K 3W Part Number]],Lutron_CFlex_Lookup[],MATCH("Lutron Kit PN",Lutron_CFlex_Lookup[#Headers],0),FALSE),"")</f>
        <v/>
      </c>
      <c r="AM445" s="1" t="str">
        <f>_xlfn.IFNA(VLOOKUP(Master_Reference[[#This Row],[C-Flex 5000K 3W Part Number]],Lutron_CFlex_Lookup[],MATCH("Lutron Kit PN",Lutron_CFlex_Lookup[#Headers],0),FALSE),"")</f>
        <v/>
      </c>
      <c r="AN445" s="1" t="b">
        <f>NOT(ISNA(VLOOKUP(Master_Reference[[#This Row],[Model Number]],ObsoleteModels[],1,FALSE)))</f>
        <v>1</v>
      </c>
      <c r="AO445" s="1" t="str">
        <f>IF(LEFT(Master_Reference[[#This Row],[Model Number]],1)="U",LEFT(Master_Reference[[#This Row],[Model Number]],4),LEFT(Master_Reference[[#This Row],[Model Number]],3))</f>
        <v>EHD</v>
      </c>
    </row>
    <row r="446" spans="1:41" x14ac:dyDescent="0.25">
      <c r="A446" s="2" t="s">
        <v>727</v>
      </c>
      <c r="B446" s="1" t="b">
        <v>1</v>
      </c>
      <c r="G446" s="1" t="b">
        <f>IF(OR(LEFT(RIGHT(Master_Reference[[#This Row],[Model Number]],3),1)="C",LEFT(RIGHT(Master_Reference[[#This Row],[Model Number]],4),1)="C"),TRUE,"")</f>
        <v>1</v>
      </c>
      <c r="H446" s="1" t="str">
        <f>IF(LEFT(Master_Reference[[#This Row],[Model Number]],1)="U",TRUE,"")</f>
        <v/>
      </c>
      <c r="I446" s="1" t="b">
        <f>IF(Master_Reference[[#This Row],[Lamp Type]]="T4","",IF(Master_Reference[[#This Row],[Case Type]]="M","",TRUE))</f>
        <v>1</v>
      </c>
      <c r="J446" s="1" t="s">
        <v>297</v>
      </c>
      <c r="K446" s="1">
        <v>54</v>
      </c>
      <c r="L446" s="1" t="s">
        <v>118</v>
      </c>
      <c r="M446" s="1">
        <v>1</v>
      </c>
      <c r="N446" s="1" t="s">
        <v>149</v>
      </c>
      <c r="O446" s="1" t="s">
        <v>113</v>
      </c>
      <c r="R446" t="b">
        <f>IF(COUNTBLANK(Master_Reference[[#This Row],[C-Flex 3000K Eco Part Number]:[C-Flex 4000K Eco Part Number]])=3,FALSE,TRUE)</f>
        <v>1</v>
      </c>
      <c r="S446" t="b">
        <f>IF(COUNTBLANK(Master_Reference[[#This Row],[C-Flex 3000K 3W Part Number]:[C-Flex 4000K 3W Part Number]])=3,FALSE,TRUE)</f>
        <v>0</v>
      </c>
      <c r="T446" t="b">
        <f>IF(COUNTBLANK(Master_Reference[[#This Row],[Lutron 3000K Eco Part Number]:[Lutron 4000K Eco Part Number]])=3,FALSE,TRUE)</f>
        <v>1</v>
      </c>
      <c r="U446" t="b">
        <f>IF(COUNTBLANK(Master_Reference[[#This Row],[Lutron 3000K 3W Part Number]:[Lutron 4000K 3W Part Number]])=3,FALSE,TRUE)</f>
        <v>0</v>
      </c>
      <c r="V446" s="12" t="s">
        <v>298</v>
      </c>
      <c r="W446" s="12" t="s">
        <v>299</v>
      </c>
      <c r="X446" s="12" t="s">
        <v>300</v>
      </c>
      <c r="Y446" t="s">
        <v>1733</v>
      </c>
      <c r="Z446" s="12"/>
      <c r="AA446" s="12"/>
      <c r="AB446" s="12"/>
      <c r="AC446" t="s">
        <v>2125</v>
      </c>
      <c r="AD446" t="str">
        <f>SUBSTITUTE(Master_Reference[[#This Row],[C-Flex 4000K Eco Part Number]],"40-","xx-")</f>
        <v>RP-T5HO-4FT-1L-8xx-E1-M-G2</v>
      </c>
      <c r="AE446" t="str">
        <f>SUBSTITUTE(Master_Reference[[#This Row],[C-Flex 4000K 3W Part Number]],"40-","xx-")</f>
        <v/>
      </c>
      <c r="AF446" s="1" t="str">
        <f>_xlfn.IFNA(VLOOKUP(Master_Reference[[#This Row],[C-Flex 3000K Eco Part Number]],Lutron_CFlex_Lookup[],MATCH("Lutron Kit PN",Lutron_CFlex_Lookup[#Headers],0),FALSE),"")</f>
        <v>ELD4T5H-1M30-q</v>
      </c>
      <c r="AG446" s="1" t="str">
        <f>_xlfn.IFNA(VLOOKUP(Master_Reference[[#This Row],[C-Flex 3500K Eco Part Number]],Lutron_CFlex_Lookup[],MATCH("Lutron Kit PN",Lutron_CFlex_Lookup[#Headers],0),FALSE),"")</f>
        <v>ELD4T5H-1M35-q</v>
      </c>
      <c r="AH446" s="1" t="str">
        <f>_xlfn.IFNA(VLOOKUP(Master_Reference[[#This Row],[C-Flex 4000K Eco Part Number]],Lutron_CFlex_Lookup[],MATCH("Lutron Kit PN",Lutron_CFlex_Lookup[#Headers],0),FALSE),"")</f>
        <v>ELD4T5H-1M40-q</v>
      </c>
      <c r="AI446" s="1" t="str">
        <f>_xlfn.IFNA(VLOOKUP(Master_Reference[[#This Row],[C-Flex 5000K Eco Part Number]],Lutron_CFlex_Lookup[],MATCH("Lutron Kit PN",Lutron_CFlex_Lookup[#Headers],0),FALSE),"")</f>
        <v>ELD4T5H-1M50-q</v>
      </c>
      <c r="AJ446" s="1" t="str">
        <f>_xlfn.IFNA(VLOOKUP(Master_Reference[[#This Row],[C-Flex 3000K 3W Part Number]],Lutron_CFlex_Lookup[],MATCH("Lutron Kit PN",Lutron_CFlex_Lookup[#Headers],0),FALSE),"")</f>
        <v/>
      </c>
      <c r="AK446" s="1" t="str">
        <f>_xlfn.IFNA(VLOOKUP(Master_Reference[[#This Row],[C-Flex 3500K 3W Part Number]],Lutron_CFlex_Lookup[],MATCH("Lutron Kit PN",Lutron_CFlex_Lookup[#Headers],0),FALSE),"")</f>
        <v/>
      </c>
      <c r="AL446" s="1" t="str">
        <f>_xlfn.IFNA(VLOOKUP(Master_Reference[[#This Row],[C-Flex 4000K 3W Part Number]],Lutron_CFlex_Lookup[],MATCH("Lutron Kit PN",Lutron_CFlex_Lookup[#Headers],0),FALSE),"")</f>
        <v/>
      </c>
      <c r="AM446" s="1" t="str">
        <f>_xlfn.IFNA(VLOOKUP(Master_Reference[[#This Row],[C-Flex 5000K 3W Part Number]],Lutron_CFlex_Lookup[],MATCH("Lutron Kit PN",Lutron_CFlex_Lookup[#Headers],0),FALSE),"")</f>
        <v/>
      </c>
      <c r="AN446" s="1" t="b">
        <f>NOT(ISNA(VLOOKUP(Master_Reference[[#This Row],[Model Number]],ObsoleteModels[],1,FALSE)))</f>
        <v>1</v>
      </c>
      <c r="AO446" s="1" t="str">
        <f>IF(LEFT(Master_Reference[[#This Row],[Model Number]],1)="U",LEFT(Master_Reference[[#This Row],[Model Number]],4),LEFT(Master_Reference[[#This Row],[Model Number]],3))</f>
        <v>EHD</v>
      </c>
    </row>
    <row r="447" spans="1:41" x14ac:dyDescent="0.25">
      <c r="A447" s="2" t="s">
        <v>728</v>
      </c>
      <c r="B447" s="1" t="b">
        <v>1</v>
      </c>
      <c r="G447" s="1" t="b">
        <f>IF(OR(LEFT(RIGHT(Master_Reference[[#This Row],[Model Number]],3),1)="C",LEFT(RIGHT(Master_Reference[[#This Row],[Model Number]],4),1)="C"),TRUE,"")</f>
        <v>1</v>
      </c>
      <c r="H447" s="1" t="str">
        <f>IF(LEFT(Master_Reference[[#This Row],[Model Number]],1)="U",TRUE,"")</f>
        <v/>
      </c>
      <c r="I447" s="1" t="b">
        <f>IF(Master_Reference[[#This Row],[Lamp Type]]="T4","",IF(Master_Reference[[#This Row],[Case Type]]="M","",TRUE))</f>
        <v>1</v>
      </c>
      <c r="J447" s="1" t="s">
        <v>297</v>
      </c>
      <c r="K447" s="1">
        <v>54</v>
      </c>
      <c r="L447" s="1" t="s">
        <v>118</v>
      </c>
      <c r="M447" s="1">
        <v>1</v>
      </c>
      <c r="N447" s="1" t="s">
        <v>149</v>
      </c>
      <c r="O447" s="1" t="s">
        <v>113</v>
      </c>
      <c r="R447" t="b">
        <f>IF(COUNTBLANK(Master_Reference[[#This Row],[C-Flex 3000K Eco Part Number]:[C-Flex 4000K Eco Part Number]])=3,FALSE,TRUE)</f>
        <v>1</v>
      </c>
      <c r="S447" t="b">
        <f>IF(COUNTBLANK(Master_Reference[[#This Row],[C-Flex 3000K 3W Part Number]:[C-Flex 4000K 3W Part Number]])=3,FALSE,TRUE)</f>
        <v>0</v>
      </c>
      <c r="T447" t="b">
        <f>IF(COUNTBLANK(Master_Reference[[#This Row],[Lutron 3000K Eco Part Number]:[Lutron 4000K Eco Part Number]])=3,FALSE,TRUE)</f>
        <v>1</v>
      </c>
      <c r="U447" t="b">
        <f>IF(COUNTBLANK(Master_Reference[[#This Row],[Lutron 3000K 3W Part Number]:[Lutron 4000K 3W Part Number]])=3,FALSE,TRUE)</f>
        <v>0</v>
      </c>
      <c r="V447" s="12" t="s">
        <v>298</v>
      </c>
      <c r="W447" s="12" t="s">
        <v>299</v>
      </c>
      <c r="X447" s="12" t="s">
        <v>300</v>
      </c>
      <c r="Y447" t="s">
        <v>1733</v>
      </c>
      <c r="Z447" s="12"/>
      <c r="AA447" s="12"/>
      <c r="AB447" s="12"/>
      <c r="AC447" t="s">
        <v>2125</v>
      </c>
      <c r="AD447" t="str">
        <f>SUBSTITUTE(Master_Reference[[#This Row],[C-Flex 4000K Eco Part Number]],"40-","xx-")</f>
        <v>RP-T5HO-4FT-1L-8xx-E1-M-G2</v>
      </c>
      <c r="AE447" t="str">
        <f>SUBSTITUTE(Master_Reference[[#This Row],[C-Flex 4000K 3W Part Number]],"40-","xx-")</f>
        <v/>
      </c>
      <c r="AF447" s="1" t="str">
        <f>_xlfn.IFNA(VLOOKUP(Master_Reference[[#This Row],[C-Flex 3000K Eco Part Number]],Lutron_CFlex_Lookup[],MATCH("Lutron Kit PN",Lutron_CFlex_Lookup[#Headers],0),FALSE),"")</f>
        <v>ELD4T5H-1M30-q</v>
      </c>
      <c r="AG447" s="1" t="str">
        <f>_xlfn.IFNA(VLOOKUP(Master_Reference[[#This Row],[C-Flex 3500K Eco Part Number]],Lutron_CFlex_Lookup[],MATCH("Lutron Kit PN",Lutron_CFlex_Lookup[#Headers],0),FALSE),"")</f>
        <v>ELD4T5H-1M35-q</v>
      </c>
      <c r="AH447" s="1" t="str">
        <f>_xlfn.IFNA(VLOOKUP(Master_Reference[[#This Row],[C-Flex 4000K Eco Part Number]],Lutron_CFlex_Lookup[],MATCH("Lutron Kit PN",Lutron_CFlex_Lookup[#Headers],0),FALSE),"")</f>
        <v>ELD4T5H-1M40-q</v>
      </c>
      <c r="AI447" s="1" t="str">
        <f>_xlfn.IFNA(VLOOKUP(Master_Reference[[#This Row],[C-Flex 5000K Eco Part Number]],Lutron_CFlex_Lookup[],MATCH("Lutron Kit PN",Lutron_CFlex_Lookup[#Headers],0),FALSE),"")</f>
        <v>ELD4T5H-1M50-q</v>
      </c>
      <c r="AJ447" s="1" t="str">
        <f>_xlfn.IFNA(VLOOKUP(Master_Reference[[#This Row],[C-Flex 3000K 3W Part Number]],Lutron_CFlex_Lookup[],MATCH("Lutron Kit PN",Lutron_CFlex_Lookup[#Headers],0),FALSE),"")</f>
        <v/>
      </c>
      <c r="AK447" s="1" t="str">
        <f>_xlfn.IFNA(VLOOKUP(Master_Reference[[#This Row],[C-Flex 3500K 3W Part Number]],Lutron_CFlex_Lookup[],MATCH("Lutron Kit PN",Lutron_CFlex_Lookup[#Headers],0),FALSE),"")</f>
        <v/>
      </c>
      <c r="AL447" s="1" t="str">
        <f>_xlfn.IFNA(VLOOKUP(Master_Reference[[#This Row],[C-Flex 4000K 3W Part Number]],Lutron_CFlex_Lookup[],MATCH("Lutron Kit PN",Lutron_CFlex_Lookup[#Headers],0),FALSE),"")</f>
        <v/>
      </c>
      <c r="AM447" s="1" t="str">
        <f>_xlfn.IFNA(VLOOKUP(Master_Reference[[#This Row],[C-Flex 5000K 3W Part Number]],Lutron_CFlex_Lookup[],MATCH("Lutron Kit PN",Lutron_CFlex_Lookup[#Headers],0),FALSE),"")</f>
        <v/>
      </c>
      <c r="AN447" s="1" t="b">
        <f>NOT(ISNA(VLOOKUP(Master_Reference[[#This Row],[Model Number]],ObsoleteModels[],1,FALSE)))</f>
        <v>1</v>
      </c>
      <c r="AO447" s="1" t="str">
        <f>IF(LEFT(Master_Reference[[#This Row],[Model Number]],1)="U",LEFT(Master_Reference[[#This Row],[Model Number]],4),LEFT(Master_Reference[[#This Row],[Model Number]],3))</f>
        <v>EHD</v>
      </c>
    </row>
    <row r="448" spans="1:41" x14ac:dyDescent="0.25">
      <c r="A448" s="2" t="s">
        <v>729</v>
      </c>
      <c r="B448" s="1" t="b">
        <v>1</v>
      </c>
      <c r="G448" s="1" t="str">
        <f>IF(OR(LEFT(RIGHT(Master_Reference[[#This Row],[Model Number]],3),1)="C",LEFT(RIGHT(Master_Reference[[#This Row],[Model Number]],4),1)="C"),TRUE,"")</f>
        <v/>
      </c>
      <c r="H448" s="1" t="str">
        <f>IF(LEFT(Master_Reference[[#This Row],[Model Number]],1)="U",TRUE,"")</f>
        <v/>
      </c>
      <c r="I448" s="1" t="b">
        <f>IF(Master_Reference[[#This Row],[Lamp Type]]="T4","",IF(Master_Reference[[#This Row],[Case Type]]="M","",TRUE))</f>
        <v>1</v>
      </c>
      <c r="J448" s="1" t="s">
        <v>297</v>
      </c>
      <c r="K448" s="1">
        <v>54</v>
      </c>
      <c r="L448" s="1" t="s">
        <v>118</v>
      </c>
      <c r="M448" s="1">
        <v>2</v>
      </c>
      <c r="N448" s="1" t="s">
        <v>149</v>
      </c>
      <c r="O448" s="1" t="s">
        <v>113</v>
      </c>
      <c r="R448" t="b">
        <f>IF(COUNTBLANK(Master_Reference[[#This Row],[C-Flex 3000K Eco Part Number]:[C-Flex 4000K Eco Part Number]])=3,FALSE,TRUE)</f>
        <v>1</v>
      </c>
      <c r="S448" t="b">
        <f>IF(COUNTBLANK(Master_Reference[[#This Row],[C-Flex 3000K 3W Part Number]:[C-Flex 4000K 3W Part Number]])=3,FALSE,TRUE)</f>
        <v>0</v>
      </c>
      <c r="T448" t="b">
        <f>IF(COUNTBLANK(Master_Reference[[#This Row],[Lutron 3000K Eco Part Number]:[Lutron 4000K Eco Part Number]])=3,FALSE,TRUE)</f>
        <v>1</v>
      </c>
      <c r="U448" t="b">
        <f>IF(COUNTBLANK(Master_Reference[[#This Row],[Lutron 3000K 3W Part Number]:[Lutron 4000K 3W Part Number]])=3,FALSE,TRUE)</f>
        <v>0</v>
      </c>
      <c r="V448" s="12" t="s">
        <v>305</v>
      </c>
      <c r="W448" s="12" t="s">
        <v>306</v>
      </c>
      <c r="X448" s="12" t="s">
        <v>307</v>
      </c>
      <c r="Y448" t="s">
        <v>1734</v>
      </c>
      <c r="Z448" s="12"/>
      <c r="AA448" s="12"/>
      <c r="AB448" s="12"/>
      <c r="AC448" t="s">
        <v>2125</v>
      </c>
      <c r="AD448" t="str">
        <f>SUBSTITUTE(Master_Reference[[#This Row],[C-Flex 4000K Eco Part Number]],"40-","xx-")</f>
        <v>RP-T5HO-4FT-2L-8xx-E1-M-G2</v>
      </c>
      <c r="AE448" t="str">
        <f>SUBSTITUTE(Master_Reference[[#This Row],[C-Flex 4000K 3W Part Number]],"40-","xx-")</f>
        <v/>
      </c>
      <c r="AF448" s="1" t="str">
        <f>_xlfn.IFNA(VLOOKUP(Master_Reference[[#This Row],[C-Flex 3000K Eco Part Number]],Lutron_CFlex_Lookup[],MATCH("Lutron Kit PN",Lutron_CFlex_Lookup[#Headers],0),FALSE),"")</f>
        <v>ELD4T5H-2M30-q</v>
      </c>
      <c r="AG448" s="1" t="str">
        <f>_xlfn.IFNA(VLOOKUP(Master_Reference[[#This Row],[C-Flex 3500K Eco Part Number]],Lutron_CFlex_Lookup[],MATCH("Lutron Kit PN",Lutron_CFlex_Lookup[#Headers],0),FALSE),"")</f>
        <v>ELD4T5H-2M35-q</v>
      </c>
      <c r="AH448" s="1" t="str">
        <f>_xlfn.IFNA(VLOOKUP(Master_Reference[[#This Row],[C-Flex 4000K Eco Part Number]],Lutron_CFlex_Lookup[],MATCH("Lutron Kit PN",Lutron_CFlex_Lookup[#Headers],0),FALSE),"")</f>
        <v>ELD4T5H-2M40-q</v>
      </c>
      <c r="AI448" s="1" t="str">
        <f>_xlfn.IFNA(VLOOKUP(Master_Reference[[#This Row],[C-Flex 5000K Eco Part Number]],Lutron_CFlex_Lookup[],MATCH("Lutron Kit PN",Lutron_CFlex_Lookup[#Headers],0),FALSE),"")</f>
        <v>ELD4T5H-2M50-q</v>
      </c>
      <c r="AJ448" s="1" t="str">
        <f>_xlfn.IFNA(VLOOKUP(Master_Reference[[#This Row],[C-Flex 3000K 3W Part Number]],Lutron_CFlex_Lookup[],MATCH("Lutron Kit PN",Lutron_CFlex_Lookup[#Headers],0),FALSE),"")</f>
        <v/>
      </c>
      <c r="AK448" s="1" t="str">
        <f>_xlfn.IFNA(VLOOKUP(Master_Reference[[#This Row],[C-Flex 3500K 3W Part Number]],Lutron_CFlex_Lookup[],MATCH("Lutron Kit PN",Lutron_CFlex_Lookup[#Headers],0),FALSE),"")</f>
        <v/>
      </c>
      <c r="AL448" s="1" t="str">
        <f>_xlfn.IFNA(VLOOKUP(Master_Reference[[#This Row],[C-Flex 4000K 3W Part Number]],Lutron_CFlex_Lookup[],MATCH("Lutron Kit PN",Lutron_CFlex_Lookup[#Headers],0),FALSE),"")</f>
        <v/>
      </c>
      <c r="AM448" s="1" t="str">
        <f>_xlfn.IFNA(VLOOKUP(Master_Reference[[#This Row],[C-Flex 5000K 3W Part Number]],Lutron_CFlex_Lookup[],MATCH("Lutron Kit PN",Lutron_CFlex_Lookup[#Headers],0),FALSE),"")</f>
        <v/>
      </c>
      <c r="AN448" s="1" t="b">
        <f>NOT(ISNA(VLOOKUP(Master_Reference[[#This Row],[Model Number]],ObsoleteModels[],1,FALSE)))</f>
        <v>1</v>
      </c>
      <c r="AO448" s="1" t="str">
        <f>IF(LEFT(Master_Reference[[#This Row],[Model Number]],1)="U",LEFT(Master_Reference[[#This Row],[Model Number]],4),LEFT(Master_Reference[[#This Row],[Model Number]],3))</f>
        <v>EHD</v>
      </c>
    </row>
    <row r="449" spans="1:41" x14ac:dyDescent="0.25">
      <c r="A449" s="2" t="s">
        <v>730</v>
      </c>
      <c r="B449" s="1" t="b">
        <v>1</v>
      </c>
      <c r="G449" s="1" t="str">
        <f>IF(OR(LEFT(RIGHT(Master_Reference[[#This Row],[Model Number]],3),1)="C",LEFT(RIGHT(Master_Reference[[#This Row],[Model Number]],4),1)="C"),TRUE,"")</f>
        <v/>
      </c>
      <c r="H449" s="1" t="str">
        <f>IF(LEFT(Master_Reference[[#This Row],[Model Number]],1)="U",TRUE,"")</f>
        <v/>
      </c>
      <c r="I449" s="1" t="b">
        <f>IF(Master_Reference[[#This Row],[Lamp Type]]="T4","",IF(Master_Reference[[#This Row],[Case Type]]="M","",TRUE))</f>
        <v>1</v>
      </c>
      <c r="J449" s="1" t="s">
        <v>297</v>
      </c>
      <c r="K449" s="1">
        <v>54</v>
      </c>
      <c r="L449" s="1" t="s">
        <v>118</v>
      </c>
      <c r="M449" s="1">
        <v>2</v>
      </c>
      <c r="N449" s="1" t="s">
        <v>149</v>
      </c>
      <c r="O449" s="1" t="s">
        <v>113</v>
      </c>
      <c r="R449" t="b">
        <f>IF(COUNTBLANK(Master_Reference[[#This Row],[C-Flex 3000K Eco Part Number]:[C-Flex 4000K Eco Part Number]])=3,FALSE,TRUE)</f>
        <v>1</v>
      </c>
      <c r="S449" t="b">
        <f>IF(COUNTBLANK(Master_Reference[[#This Row],[C-Flex 3000K 3W Part Number]:[C-Flex 4000K 3W Part Number]])=3,FALSE,TRUE)</f>
        <v>0</v>
      </c>
      <c r="T449" t="b">
        <f>IF(COUNTBLANK(Master_Reference[[#This Row],[Lutron 3000K Eco Part Number]:[Lutron 4000K Eco Part Number]])=3,FALSE,TRUE)</f>
        <v>1</v>
      </c>
      <c r="U449" t="b">
        <f>IF(COUNTBLANK(Master_Reference[[#This Row],[Lutron 3000K 3W Part Number]:[Lutron 4000K 3W Part Number]])=3,FALSE,TRUE)</f>
        <v>0</v>
      </c>
      <c r="V449" s="12" t="s">
        <v>305</v>
      </c>
      <c r="W449" s="12" t="s">
        <v>306</v>
      </c>
      <c r="X449" s="12" t="s">
        <v>307</v>
      </c>
      <c r="Y449" t="s">
        <v>1734</v>
      </c>
      <c r="Z449" s="12"/>
      <c r="AA449" s="12"/>
      <c r="AB449" s="12"/>
      <c r="AC449" t="s">
        <v>2125</v>
      </c>
      <c r="AD449" t="str">
        <f>SUBSTITUTE(Master_Reference[[#This Row],[C-Flex 4000K Eco Part Number]],"40-","xx-")</f>
        <v>RP-T5HO-4FT-2L-8xx-E1-M-G2</v>
      </c>
      <c r="AE449" t="str">
        <f>SUBSTITUTE(Master_Reference[[#This Row],[C-Flex 4000K 3W Part Number]],"40-","xx-")</f>
        <v/>
      </c>
      <c r="AF449" s="1" t="str">
        <f>_xlfn.IFNA(VLOOKUP(Master_Reference[[#This Row],[C-Flex 3000K Eco Part Number]],Lutron_CFlex_Lookup[],MATCH("Lutron Kit PN",Lutron_CFlex_Lookup[#Headers],0),FALSE),"")</f>
        <v>ELD4T5H-2M30-q</v>
      </c>
      <c r="AG449" s="1" t="str">
        <f>_xlfn.IFNA(VLOOKUP(Master_Reference[[#This Row],[C-Flex 3500K Eco Part Number]],Lutron_CFlex_Lookup[],MATCH("Lutron Kit PN",Lutron_CFlex_Lookup[#Headers],0),FALSE),"")</f>
        <v>ELD4T5H-2M35-q</v>
      </c>
      <c r="AH449" s="1" t="str">
        <f>_xlfn.IFNA(VLOOKUP(Master_Reference[[#This Row],[C-Flex 4000K Eco Part Number]],Lutron_CFlex_Lookup[],MATCH("Lutron Kit PN",Lutron_CFlex_Lookup[#Headers],0),FALSE),"")</f>
        <v>ELD4T5H-2M40-q</v>
      </c>
      <c r="AI449" s="1" t="str">
        <f>_xlfn.IFNA(VLOOKUP(Master_Reference[[#This Row],[C-Flex 5000K Eco Part Number]],Lutron_CFlex_Lookup[],MATCH("Lutron Kit PN",Lutron_CFlex_Lookup[#Headers],0),FALSE),"")</f>
        <v>ELD4T5H-2M50-q</v>
      </c>
      <c r="AJ449" s="1" t="str">
        <f>_xlfn.IFNA(VLOOKUP(Master_Reference[[#This Row],[C-Flex 3000K 3W Part Number]],Lutron_CFlex_Lookup[],MATCH("Lutron Kit PN",Lutron_CFlex_Lookup[#Headers],0),FALSE),"")</f>
        <v/>
      </c>
      <c r="AK449" s="1" t="str">
        <f>_xlfn.IFNA(VLOOKUP(Master_Reference[[#This Row],[C-Flex 3500K 3W Part Number]],Lutron_CFlex_Lookup[],MATCH("Lutron Kit PN",Lutron_CFlex_Lookup[#Headers],0),FALSE),"")</f>
        <v/>
      </c>
      <c r="AL449" s="1" t="str">
        <f>_xlfn.IFNA(VLOOKUP(Master_Reference[[#This Row],[C-Flex 4000K 3W Part Number]],Lutron_CFlex_Lookup[],MATCH("Lutron Kit PN",Lutron_CFlex_Lookup[#Headers],0),FALSE),"")</f>
        <v/>
      </c>
      <c r="AM449" s="1" t="str">
        <f>_xlfn.IFNA(VLOOKUP(Master_Reference[[#This Row],[C-Flex 5000K 3W Part Number]],Lutron_CFlex_Lookup[],MATCH("Lutron Kit PN",Lutron_CFlex_Lookup[#Headers],0),FALSE),"")</f>
        <v/>
      </c>
      <c r="AN449" s="1" t="b">
        <f>NOT(ISNA(VLOOKUP(Master_Reference[[#This Row],[Model Number]],ObsoleteModels[],1,FALSE)))</f>
        <v>1</v>
      </c>
      <c r="AO449" s="1" t="str">
        <f>IF(LEFT(Master_Reference[[#This Row],[Model Number]],1)="U",LEFT(Master_Reference[[#This Row],[Model Number]],4),LEFT(Master_Reference[[#This Row],[Model Number]],3))</f>
        <v>EHD</v>
      </c>
    </row>
    <row r="450" spans="1:41" x14ac:dyDescent="0.25">
      <c r="A450" s="2" t="s">
        <v>731</v>
      </c>
      <c r="B450" s="1" t="b">
        <v>1</v>
      </c>
      <c r="G450" s="1" t="str">
        <f>IF(OR(LEFT(RIGHT(Master_Reference[[#This Row],[Model Number]],3),1)="C",LEFT(RIGHT(Master_Reference[[#This Row],[Model Number]],4),1)="C"),TRUE,"")</f>
        <v/>
      </c>
      <c r="H450" s="1" t="str">
        <f>IF(LEFT(Master_Reference[[#This Row],[Model Number]],1)="U",TRUE,"")</f>
        <v/>
      </c>
      <c r="I450" s="1" t="str">
        <f>IF(Master_Reference[[#This Row],[Lamp Type]]="T4","",IF(Master_Reference[[#This Row],[Case Type]]="M","",TRUE))</f>
        <v/>
      </c>
      <c r="J450" s="1" t="s">
        <v>297</v>
      </c>
      <c r="K450" s="1">
        <v>54</v>
      </c>
      <c r="L450" s="1" t="s">
        <v>118</v>
      </c>
      <c r="M450" s="1">
        <v>1</v>
      </c>
      <c r="N450" s="1" t="s">
        <v>631</v>
      </c>
      <c r="O450" s="1" t="s">
        <v>632</v>
      </c>
      <c r="Q450" s="1" t="s">
        <v>456</v>
      </c>
      <c r="R450" t="b">
        <f>IF(COUNTBLANK(Master_Reference[[#This Row],[C-Flex 3000K Eco Part Number]:[C-Flex 4000K Eco Part Number]])=3,FALSE,TRUE)</f>
        <v>0</v>
      </c>
      <c r="S450" t="b">
        <f>IF(COUNTBLANK(Master_Reference[[#This Row],[C-Flex 3000K 3W Part Number]:[C-Flex 4000K 3W Part Number]])=3,FALSE,TRUE)</f>
        <v>0</v>
      </c>
      <c r="T450" t="b">
        <f>IF(COUNTBLANK(Master_Reference[[#This Row],[Lutron 3000K Eco Part Number]:[Lutron 4000K Eco Part Number]])=3,FALSE,TRUE)</f>
        <v>0</v>
      </c>
      <c r="U450" t="b">
        <f>IF(COUNTBLANK(Master_Reference[[#This Row],[Lutron 3000K 3W Part Number]:[Lutron 4000K 3W Part Number]])=3,FALSE,TRUE)</f>
        <v>0</v>
      </c>
      <c r="V450" s="12"/>
      <c r="W450" s="12"/>
      <c r="X450" s="12"/>
      <c r="Y450" t="s">
        <v>2125</v>
      </c>
      <c r="Z450" s="12"/>
      <c r="AA450" s="12"/>
      <c r="AB450" s="12"/>
      <c r="AC450" t="s">
        <v>2125</v>
      </c>
      <c r="AD450" t="str">
        <f>SUBSTITUTE(Master_Reference[[#This Row],[C-Flex 4000K Eco Part Number]],"40-","xx-")</f>
        <v/>
      </c>
      <c r="AE450" t="str">
        <f>SUBSTITUTE(Master_Reference[[#This Row],[C-Flex 4000K 3W Part Number]],"40-","xx-")</f>
        <v/>
      </c>
      <c r="AF450" s="1" t="str">
        <f>_xlfn.IFNA(VLOOKUP(Master_Reference[[#This Row],[C-Flex 3000K Eco Part Number]],Lutron_CFlex_Lookup[],MATCH("Lutron Kit PN",Lutron_CFlex_Lookup[#Headers],0),FALSE),"")</f>
        <v/>
      </c>
      <c r="AG450" s="1" t="str">
        <f>_xlfn.IFNA(VLOOKUP(Master_Reference[[#This Row],[C-Flex 3500K Eco Part Number]],Lutron_CFlex_Lookup[],MATCH("Lutron Kit PN",Lutron_CFlex_Lookup[#Headers],0),FALSE),"")</f>
        <v/>
      </c>
      <c r="AH450" s="1" t="str">
        <f>_xlfn.IFNA(VLOOKUP(Master_Reference[[#This Row],[C-Flex 4000K Eco Part Number]],Lutron_CFlex_Lookup[],MATCH("Lutron Kit PN",Lutron_CFlex_Lookup[#Headers],0),FALSE),"")</f>
        <v/>
      </c>
      <c r="AI450" s="1" t="str">
        <f>_xlfn.IFNA(VLOOKUP(Master_Reference[[#This Row],[C-Flex 5000K Eco Part Number]],Lutron_CFlex_Lookup[],MATCH("Lutron Kit PN",Lutron_CFlex_Lookup[#Headers],0),FALSE),"")</f>
        <v/>
      </c>
      <c r="AJ450" s="1" t="str">
        <f>_xlfn.IFNA(VLOOKUP(Master_Reference[[#This Row],[C-Flex 3000K 3W Part Number]],Lutron_CFlex_Lookup[],MATCH("Lutron Kit PN",Lutron_CFlex_Lookup[#Headers],0),FALSE),"")</f>
        <v/>
      </c>
      <c r="AK450" s="1" t="str">
        <f>_xlfn.IFNA(VLOOKUP(Master_Reference[[#This Row],[C-Flex 3500K 3W Part Number]],Lutron_CFlex_Lookup[],MATCH("Lutron Kit PN",Lutron_CFlex_Lookup[#Headers],0),FALSE),"")</f>
        <v/>
      </c>
      <c r="AL450" s="1" t="str">
        <f>_xlfn.IFNA(VLOOKUP(Master_Reference[[#This Row],[C-Flex 4000K 3W Part Number]],Lutron_CFlex_Lookup[],MATCH("Lutron Kit PN",Lutron_CFlex_Lookup[#Headers],0),FALSE),"")</f>
        <v/>
      </c>
      <c r="AM450" s="1" t="str">
        <f>_xlfn.IFNA(VLOOKUP(Master_Reference[[#This Row],[C-Flex 5000K 3W Part Number]],Lutron_CFlex_Lookup[],MATCH("Lutron Kit PN",Lutron_CFlex_Lookup[#Headers],0),FALSE),"")</f>
        <v/>
      </c>
      <c r="AN450" s="1" t="b">
        <f>NOT(ISNA(VLOOKUP(Master_Reference[[#This Row],[Model Number]],ObsoleteModels[],1,FALSE)))</f>
        <v>1</v>
      </c>
      <c r="AO450" s="1" t="str">
        <f>IF(LEFT(Master_Reference[[#This Row],[Model Number]],1)="U",LEFT(Master_Reference[[#This Row],[Model Number]],4),LEFT(Master_Reference[[#This Row],[Model Number]],3))</f>
        <v>EHD</v>
      </c>
    </row>
    <row r="451" spans="1:41" x14ac:dyDescent="0.25">
      <c r="A451" s="2" t="s">
        <v>732</v>
      </c>
      <c r="B451" s="1" t="b">
        <v>1</v>
      </c>
      <c r="G451" s="1" t="str">
        <f>IF(OR(LEFT(RIGHT(Master_Reference[[#This Row],[Model Number]],3),1)="C",LEFT(RIGHT(Master_Reference[[#This Row],[Model Number]],4),1)="C"),TRUE,"")</f>
        <v/>
      </c>
      <c r="H451" s="1" t="str">
        <f>IF(LEFT(Master_Reference[[#This Row],[Model Number]],1)="U",TRUE,"")</f>
        <v/>
      </c>
      <c r="I451" s="1" t="str">
        <f>IF(Master_Reference[[#This Row],[Lamp Type]]="T4","",IF(Master_Reference[[#This Row],[Case Type]]="M","",TRUE))</f>
        <v/>
      </c>
      <c r="J451" s="1" t="s">
        <v>297</v>
      </c>
      <c r="K451" s="1">
        <v>54</v>
      </c>
      <c r="L451" s="1" t="s">
        <v>118</v>
      </c>
      <c r="M451" s="1">
        <v>1</v>
      </c>
      <c r="N451" s="1" t="s">
        <v>631</v>
      </c>
      <c r="O451" s="1" t="s">
        <v>632</v>
      </c>
      <c r="Q451" s="1" t="s">
        <v>643</v>
      </c>
      <c r="R451" t="b">
        <f>IF(COUNTBLANK(Master_Reference[[#This Row],[C-Flex 3000K Eco Part Number]:[C-Flex 4000K Eco Part Number]])=3,FALSE,TRUE)</f>
        <v>0</v>
      </c>
      <c r="S451" t="b">
        <f>IF(COUNTBLANK(Master_Reference[[#This Row],[C-Flex 3000K 3W Part Number]:[C-Flex 4000K 3W Part Number]])=3,FALSE,TRUE)</f>
        <v>0</v>
      </c>
      <c r="T451" t="b">
        <f>IF(COUNTBLANK(Master_Reference[[#This Row],[Lutron 3000K Eco Part Number]:[Lutron 4000K Eco Part Number]])=3,FALSE,TRUE)</f>
        <v>0</v>
      </c>
      <c r="U451" t="b">
        <f>IF(COUNTBLANK(Master_Reference[[#This Row],[Lutron 3000K 3W Part Number]:[Lutron 4000K 3W Part Number]])=3,FALSE,TRUE)</f>
        <v>0</v>
      </c>
      <c r="V451" s="12"/>
      <c r="W451" s="12"/>
      <c r="X451" s="12"/>
      <c r="Y451" t="s">
        <v>2125</v>
      </c>
      <c r="Z451" s="12"/>
      <c r="AA451" s="12"/>
      <c r="AB451" s="12"/>
      <c r="AC451" t="s">
        <v>2125</v>
      </c>
      <c r="AD451" t="str">
        <f>SUBSTITUTE(Master_Reference[[#This Row],[C-Flex 4000K Eco Part Number]],"40-","xx-")</f>
        <v/>
      </c>
      <c r="AE451" t="str">
        <f>SUBSTITUTE(Master_Reference[[#This Row],[C-Flex 4000K 3W Part Number]],"40-","xx-")</f>
        <v/>
      </c>
      <c r="AF451" s="1" t="str">
        <f>_xlfn.IFNA(VLOOKUP(Master_Reference[[#This Row],[C-Flex 3000K Eco Part Number]],Lutron_CFlex_Lookup[],MATCH("Lutron Kit PN",Lutron_CFlex_Lookup[#Headers],0),FALSE),"")</f>
        <v/>
      </c>
      <c r="AG451" s="1" t="str">
        <f>_xlfn.IFNA(VLOOKUP(Master_Reference[[#This Row],[C-Flex 3500K Eco Part Number]],Lutron_CFlex_Lookup[],MATCH("Lutron Kit PN",Lutron_CFlex_Lookup[#Headers],0),FALSE),"")</f>
        <v/>
      </c>
      <c r="AH451" s="1" t="str">
        <f>_xlfn.IFNA(VLOOKUP(Master_Reference[[#This Row],[C-Flex 4000K Eco Part Number]],Lutron_CFlex_Lookup[],MATCH("Lutron Kit PN",Lutron_CFlex_Lookup[#Headers],0),FALSE),"")</f>
        <v/>
      </c>
      <c r="AI451" s="1" t="str">
        <f>_xlfn.IFNA(VLOOKUP(Master_Reference[[#This Row],[C-Flex 5000K Eco Part Number]],Lutron_CFlex_Lookup[],MATCH("Lutron Kit PN",Lutron_CFlex_Lookup[#Headers],0),FALSE),"")</f>
        <v/>
      </c>
      <c r="AJ451" s="1" t="str">
        <f>_xlfn.IFNA(VLOOKUP(Master_Reference[[#This Row],[C-Flex 3000K 3W Part Number]],Lutron_CFlex_Lookup[],MATCH("Lutron Kit PN",Lutron_CFlex_Lookup[#Headers],0),FALSE),"")</f>
        <v/>
      </c>
      <c r="AK451" s="1" t="str">
        <f>_xlfn.IFNA(VLOOKUP(Master_Reference[[#This Row],[C-Flex 3500K 3W Part Number]],Lutron_CFlex_Lookup[],MATCH("Lutron Kit PN",Lutron_CFlex_Lookup[#Headers],0),FALSE),"")</f>
        <v/>
      </c>
      <c r="AL451" s="1" t="str">
        <f>_xlfn.IFNA(VLOOKUP(Master_Reference[[#This Row],[C-Flex 4000K 3W Part Number]],Lutron_CFlex_Lookup[],MATCH("Lutron Kit PN",Lutron_CFlex_Lookup[#Headers],0),FALSE),"")</f>
        <v/>
      </c>
      <c r="AM451" s="1" t="str">
        <f>_xlfn.IFNA(VLOOKUP(Master_Reference[[#This Row],[C-Flex 5000K 3W Part Number]],Lutron_CFlex_Lookup[],MATCH("Lutron Kit PN",Lutron_CFlex_Lookup[#Headers],0),FALSE),"")</f>
        <v/>
      </c>
      <c r="AN451" s="1" t="b">
        <f>NOT(ISNA(VLOOKUP(Master_Reference[[#This Row],[Model Number]],ObsoleteModels[],1,FALSE)))</f>
        <v>1</v>
      </c>
      <c r="AO451" s="1" t="str">
        <f>IF(LEFT(Master_Reference[[#This Row],[Model Number]],1)="U",LEFT(Master_Reference[[#This Row],[Model Number]],4),LEFT(Master_Reference[[#This Row],[Model Number]],3))</f>
        <v>EHD</v>
      </c>
    </row>
    <row r="452" spans="1:41" x14ac:dyDescent="0.25">
      <c r="A452" s="2" t="s">
        <v>733</v>
      </c>
      <c r="B452" s="1" t="b">
        <v>1</v>
      </c>
      <c r="G452" s="1" t="str">
        <f>IF(OR(LEFT(RIGHT(Master_Reference[[#This Row],[Model Number]],3),1)="C",LEFT(RIGHT(Master_Reference[[#This Row],[Model Number]],4),1)="C"),TRUE,"")</f>
        <v/>
      </c>
      <c r="H452" s="1" t="str">
        <f>IF(LEFT(Master_Reference[[#This Row],[Model Number]],1)="U",TRUE,"")</f>
        <v/>
      </c>
      <c r="I452" s="1" t="str">
        <f>IF(Master_Reference[[#This Row],[Lamp Type]]="T4","",IF(Master_Reference[[#This Row],[Case Type]]="M","",TRUE))</f>
        <v/>
      </c>
      <c r="J452" s="1" t="s">
        <v>297</v>
      </c>
      <c r="K452" s="1">
        <v>54</v>
      </c>
      <c r="L452" s="1" t="s">
        <v>118</v>
      </c>
      <c r="M452" s="1">
        <v>1</v>
      </c>
      <c r="N452" s="1" t="s">
        <v>631</v>
      </c>
      <c r="O452" s="1" t="s">
        <v>632</v>
      </c>
      <c r="Q452" s="1" t="s">
        <v>646</v>
      </c>
      <c r="R452" t="b">
        <f>IF(COUNTBLANK(Master_Reference[[#This Row],[C-Flex 3000K Eco Part Number]:[C-Flex 4000K Eco Part Number]])=3,FALSE,TRUE)</f>
        <v>0</v>
      </c>
      <c r="S452" t="b">
        <f>IF(COUNTBLANK(Master_Reference[[#This Row],[C-Flex 3000K 3W Part Number]:[C-Flex 4000K 3W Part Number]])=3,FALSE,TRUE)</f>
        <v>0</v>
      </c>
      <c r="T452" t="b">
        <f>IF(COUNTBLANK(Master_Reference[[#This Row],[Lutron 3000K Eco Part Number]:[Lutron 4000K Eco Part Number]])=3,FALSE,TRUE)</f>
        <v>0</v>
      </c>
      <c r="U452" t="b">
        <f>IF(COUNTBLANK(Master_Reference[[#This Row],[Lutron 3000K 3W Part Number]:[Lutron 4000K 3W Part Number]])=3,FALSE,TRUE)</f>
        <v>0</v>
      </c>
      <c r="V452" s="12"/>
      <c r="W452" s="12"/>
      <c r="X452" s="12"/>
      <c r="Y452" t="s">
        <v>2125</v>
      </c>
      <c r="Z452" s="12"/>
      <c r="AA452" s="12"/>
      <c r="AB452" s="12"/>
      <c r="AC452" t="s">
        <v>2125</v>
      </c>
      <c r="AD452" t="str">
        <f>SUBSTITUTE(Master_Reference[[#This Row],[C-Flex 4000K Eco Part Number]],"40-","xx-")</f>
        <v/>
      </c>
      <c r="AE452" t="str">
        <f>SUBSTITUTE(Master_Reference[[#This Row],[C-Flex 4000K 3W Part Number]],"40-","xx-")</f>
        <v/>
      </c>
      <c r="AF452" s="1" t="str">
        <f>_xlfn.IFNA(VLOOKUP(Master_Reference[[#This Row],[C-Flex 3000K Eco Part Number]],Lutron_CFlex_Lookup[],MATCH("Lutron Kit PN",Lutron_CFlex_Lookup[#Headers],0),FALSE),"")</f>
        <v/>
      </c>
      <c r="AG452" s="1" t="str">
        <f>_xlfn.IFNA(VLOOKUP(Master_Reference[[#This Row],[C-Flex 3500K Eco Part Number]],Lutron_CFlex_Lookup[],MATCH("Lutron Kit PN",Lutron_CFlex_Lookup[#Headers],0),FALSE),"")</f>
        <v/>
      </c>
      <c r="AH452" s="1" t="str">
        <f>_xlfn.IFNA(VLOOKUP(Master_Reference[[#This Row],[C-Flex 4000K Eco Part Number]],Lutron_CFlex_Lookup[],MATCH("Lutron Kit PN",Lutron_CFlex_Lookup[#Headers],0),FALSE),"")</f>
        <v/>
      </c>
      <c r="AI452" s="1" t="str">
        <f>_xlfn.IFNA(VLOOKUP(Master_Reference[[#This Row],[C-Flex 5000K Eco Part Number]],Lutron_CFlex_Lookup[],MATCH("Lutron Kit PN",Lutron_CFlex_Lookup[#Headers],0),FALSE),"")</f>
        <v/>
      </c>
      <c r="AJ452" s="1" t="str">
        <f>_xlfn.IFNA(VLOOKUP(Master_Reference[[#This Row],[C-Flex 3000K 3W Part Number]],Lutron_CFlex_Lookup[],MATCH("Lutron Kit PN",Lutron_CFlex_Lookup[#Headers],0),FALSE),"")</f>
        <v/>
      </c>
      <c r="AK452" s="1" t="str">
        <f>_xlfn.IFNA(VLOOKUP(Master_Reference[[#This Row],[C-Flex 3500K 3W Part Number]],Lutron_CFlex_Lookup[],MATCH("Lutron Kit PN",Lutron_CFlex_Lookup[#Headers],0),FALSE),"")</f>
        <v/>
      </c>
      <c r="AL452" s="1" t="str">
        <f>_xlfn.IFNA(VLOOKUP(Master_Reference[[#This Row],[C-Flex 4000K 3W Part Number]],Lutron_CFlex_Lookup[],MATCH("Lutron Kit PN",Lutron_CFlex_Lookup[#Headers],0),FALSE),"")</f>
        <v/>
      </c>
      <c r="AM452" s="1" t="str">
        <f>_xlfn.IFNA(VLOOKUP(Master_Reference[[#This Row],[C-Flex 5000K 3W Part Number]],Lutron_CFlex_Lookup[],MATCH("Lutron Kit PN",Lutron_CFlex_Lookup[#Headers],0),FALSE),"")</f>
        <v/>
      </c>
      <c r="AN452" s="1" t="b">
        <f>NOT(ISNA(VLOOKUP(Master_Reference[[#This Row],[Model Number]],ObsoleteModels[],1,FALSE)))</f>
        <v>1</v>
      </c>
      <c r="AO452" s="1" t="str">
        <f>IF(LEFT(Master_Reference[[#This Row],[Model Number]],1)="U",LEFT(Master_Reference[[#This Row],[Model Number]],4),LEFT(Master_Reference[[#This Row],[Model Number]],3))</f>
        <v>EHD</v>
      </c>
    </row>
    <row r="453" spans="1:41" x14ac:dyDescent="0.25">
      <c r="A453" s="2" t="s">
        <v>734</v>
      </c>
      <c r="B453" s="1" t="b">
        <v>1</v>
      </c>
      <c r="G453" s="1" t="str">
        <f>IF(OR(LEFT(RIGHT(Master_Reference[[#This Row],[Model Number]],3),1)="C",LEFT(RIGHT(Master_Reference[[#This Row],[Model Number]],4),1)="C"),TRUE,"")</f>
        <v/>
      </c>
      <c r="H453" s="1" t="str">
        <f>IF(LEFT(Master_Reference[[#This Row],[Model Number]],1)="U",TRUE,"")</f>
        <v/>
      </c>
      <c r="I453" s="1" t="str">
        <f>IF(Master_Reference[[#This Row],[Lamp Type]]="T4","",IF(Master_Reference[[#This Row],[Case Type]]="M","",TRUE))</f>
        <v/>
      </c>
      <c r="J453" s="1" t="s">
        <v>297</v>
      </c>
      <c r="K453" s="1">
        <v>54</v>
      </c>
      <c r="L453" s="1" t="s">
        <v>118</v>
      </c>
      <c r="M453" s="1">
        <v>2</v>
      </c>
      <c r="N453" s="1" t="s">
        <v>631</v>
      </c>
      <c r="O453" s="1" t="s">
        <v>632</v>
      </c>
      <c r="Q453" s="1" t="s">
        <v>456</v>
      </c>
      <c r="R453" t="b">
        <f>IF(COUNTBLANK(Master_Reference[[#This Row],[C-Flex 3000K Eco Part Number]:[C-Flex 4000K Eco Part Number]])=3,FALSE,TRUE)</f>
        <v>0</v>
      </c>
      <c r="S453" t="b">
        <f>IF(COUNTBLANK(Master_Reference[[#This Row],[C-Flex 3000K 3W Part Number]:[C-Flex 4000K 3W Part Number]])=3,FALSE,TRUE)</f>
        <v>0</v>
      </c>
      <c r="T453" t="b">
        <f>IF(COUNTBLANK(Master_Reference[[#This Row],[Lutron 3000K Eco Part Number]:[Lutron 4000K Eco Part Number]])=3,FALSE,TRUE)</f>
        <v>0</v>
      </c>
      <c r="U453" t="b">
        <f>IF(COUNTBLANK(Master_Reference[[#This Row],[Lutron 3000K 3W Part Number]:[Lutron 4000K 3W Part Number]])=3,FALSE,TRUE)</f>
        <v>0</v>
      </c>
      <c r="V453" s="12"/>
      <c r="W453" s="12"/>
      <c r="X453" s="12"/>
      <c r="Y453" t="s">
        <v>2125</v>
      </c>
      <c r="Z453" s="12"/>
      <c r="AA453" s="12"/>
      <c r="AB453" s="12"/>
      <c r="AC453" t="s">
        <v>2125</v>
      </c>
      <c r="AD453" t="str">
        <f>SUBSTITUTE(Master_Reference[[#This Row],[C-Flex 4000K Eco Part Number]],"40-","xx-")</f>
        <v/>
      </c>
      <c r="AE453" t="str">
        <f>SUBSTITUTE(Master_Reference[[#This Row],[C-Flex 4000K 3W Part Number]],"40-","xx-")</f>
        <v/>
      </c>
      <c r="AF453" s="1" t="str">
        <f>_xlfn.IFNA(VLOOKUP(Master_Reference[[#This Row],[C-Flex 3000K Eco Part Number]],Lutron_CFlex_Lookup[],MATCH("Lutron Kit PN",Lutron_CFlex_Lookup[#Headers],0),FALSE),"")</f>
        <v/>
      </c>
      <c r="AG453" s="1" t="str">
        <f>_xlfn.IFNA(VLOOKUP(Master_Reference[[#This Row],[C-Flex 3500K Eco Part Number]],Lutron_CFlex_Lookup[],MATCH("Lutron Kit PN",Lutron_CFlex_Lookup[#Headers],0),FALSE),"")</f>
        <v/>
      </c>
      <c r="AH453" s="1" t="str">
        <f>_xlfn.IFNA(VLOOKUP(Master_Reference[[#This Row],[C-Flex 4000K Eco Part Number]],Lutron_CFlex_Lookup[],MATCH("Lutron Kit PN",Lutron_CFlex_Lookup[#Headers],0),FALSE),"")</f>
        <v/>
      </c>
      <c r="AI453" s="1" t="str">
        <f>_xlfn.IFNA(VLOOKUP(Master_Reference[[#This Row],[C-Flex 5000K Eco Part Number]],Lutron_CFlex_Lookup[],MATCH("Lutron Kit PN",Lutron_CFlex_Lookup[#Headers],0),FALSE),"")</f>
        <v/>
      </c>
      <c r="AJ453" s="1" t="str">
        <f>_xlfn.IFNA(VLOOKUP(Master_Reference[[#This Row],[C-Flex 3000K 3W Part Number]],Lutron_CFlex_Lookup[],MATCH("Lutron Kit PN",Lutron_CFlex_Lookup[#Headers],0),FALSE),"")</f>
        <v/>
      </c>
      <c r="AK453" s="1" t="str">
        <f>_xlfn.IFNA(VLOOKUP(Master_Reference[[#This Row],[C-Flex 3500K 3W Part Number]],Lutron_CFlex_Lookup[],MATCH("Lutron Kit PN",Lutron_CFlex_Lookup[#Headers],0),FALSE),"")</f>
        <v/>
      </c>
      <c r="AL453" s="1" t="str">
        <f>_xlfn.IFNA(VLOOKUP(Master_Reference[[#This Row],[C-Flex 4000K 3W Part Number]],Lutron_CFlex_Lookup[],MATCH("Lutron Kit PN",Lutron_CFlex_Lookup[#Headers],0),FALSE),"")</f>
        <v/>
      </c>
      <c r="AM453" s="1" t="str">
        <f>_xlfn.IFNA(VLOOKUP(Master_Reference[[#This Row],[C-Flex 5000K 3W Part Number]],Lutron_CFlex_Lookup[],MATCH("Lutron Kit PN",Lutron_CFlex_Lookup[#Headers],0),FALSE),"")</f>
        <v/>
      </c>
      <c r="AN453" s="1" t="b">
        <f>NOT(ISNA(VLOOKUP(Master_Reference[[#This Row],[Model Number]],ObsoleteModels[],1,FALSE)))</f>
        <v>1</v>
      </c>
      <c r="AO453" s="1" t="str">
        <f>IF(LEFT(Master_Reference[[#This Row],[Model Number]],1)="U",LEFT(Master_Reference[[#This Row],[Model Number]],4),LEFT(Master_Reference[[#This Row],[Model Number]],3))</f>
        <v>EHD</v>
      </c>
    </row>
    <row r="454" spans="1:41" x14ac:dyDescent="0.25">
      <c r="A454" s="2" t="s">
        <v>735</v>
      </c>
      <c r="B454" s="1" t="b">
        <v>1</v>
      </c>
      <c r="G454" s="1" t="str">
        <f>IF(OR(LEFT(RIGHT(Master_Reference[[#This Row],[Model Number]],3),1)="C",LEFT(RIGHT(Master_Reference[[#This Row],[Model Number]],4),1)="C"),TRUE,"")</f>
        <v/>
      </c>
      <c r="H454" s="1" t="str">
        <f>IF(LEFT(Master_Reference[[#This Row],[Model Number]],1)="U",TRUE,"")</f>
        <v/>
      </c>
      <c r="I454" s="1" t="str">
        <f>IF(Master_Reference[[#This Row],[Lamp Type]]="T4","",IF(Master_Reference[[#This Row],[Case Type]]="M","",TRUE))</f>
        <v/>
      </c>
      <c r="J454" s="1" t="s">
        <v>297</v>
      </c>
      <c r="K454" s="1">
        <v>54</v>
      </c>
      <c r="L454" s="1" t="s">
        <v>118</v>
      </c>
      <c r="M454" s="1">
        <v>2</v>
      </c>
      <c r="N454" s="1" t="s">
        <v>631</v>
      </c>
      <c r="O454" s="1" t="s">
        <v>632</v>
      </c>
      <c r="Q454" s="1" t="s">
        <v>643</v>
      </c>
      <c r="R454" t="b">
        <f>IF(COUNTBLANK(Master_Reference[[#This Row],[C-Flex 3000K Eco Part Number]:[C-Flex 4000K Eco Part Number]])=3,FALSE,TRUE)</f>
        <v>0</v>
      </c>
      <c r="S454" t="b">
        <f>IF(COUNTBLANK(Master_Reference[[#This Row],[C-Flex 3000K 3W Part Number]:[C-Flex 4000K 3W Part Number]])=3,FALSE,TRUE)</f>
        <v>0</v>
      </c>
      <c r="T454" t="b">
        <f>IF(COUNTBLANK(Master_Reference[[#This Row],[Lutron 3000K Eco Part Number]:[Lutron 4000K Eco Part Number]])=3,FALSE,TRUE)</f>
        <v>0</v>
      </c>
      <c r="U454" t="b">
        <f>IF(COUNTBLANK(Master_Reference[[#This Row],[Lutron 3000K 3W Part Number]:[Lutron 4000K 3W Part Number]])=3,FALSE,TRUE)</f>
        <v>0</v>
      </c>
      <c r="V454" s="12"/>
      <c r="W454" s="12"/>
      <c r="X454" s="12"/>
      <c r="Y454" t="s">
        <v>2125</v>
      </c>
      <c r="Z454" s="12"/>
      <c r="AA454" s="12"/>
      <c r="AB454" s="12"/>
      <c r="AC454" t="s">
        <v>2125</v>
      </c>
      <c r="AD454" t="str">
        <f>SUBSTITUTE(Master_Reference[[#This Row],[C-Flex 4000K Eco Part Number]],"40-","xx-")</f>
        <v/>
      </c>
      <c r="AE454" t="str">
        <f>SUBSTITUTE(Master_Reference[[#This Row],[C-Flex 4000K 3W Part Number]],"40-","xx-")</f>
        <v/>
      </c>
      <c r="AF454" s="1" t="str">
        <f>_xlfn.IFNA(VLOOKUP(Master_Reference[[#This Row],[C-Flex 3000K Eco Part Number]],Lutron_CFlex_Lookup[],MATCH("Lutron Kit PN",Lutron_CFlex_Lookup[#Headers],0),FALSE),"")</f>
        <v/>
      </c>
      <c r="AG454" s="1" t="str">
        <f>_xlfn.IFNA(VLOOKUP(Master_Reference[[#This Row],[C-Flex 3500K Eco Part Number]],Lutron_CFlex_Lookup[],MATCH("Lutron Kit PN",Lutron_CFlex_Lookup[#Headers],0),FALSE),"")</f>
        <v/>
      </c>
      <c r="AH454" s="1" t="str">
        <f>_xlfn.IFNA(VLOOKUP(Master_Reference[[#This Row],[C-Flex 4000K Eco Part Number]],Lutron_CFlex_Lookup[],MATCH("Lutron Kit PN",Lutron_CFlex_Lookup[#Headers],0),FALSE),"")</f>
        <v/>
      </c>
      <c r="AI454" s="1" t="str">
        <f>_xlfn.IFNA(VLOOKUP(Master_Reference[[#This Row],[C-Flex 5000K Eco Part Number]],Lutron_CFlex_Lookup[],MATCH("Lutron Kit PN",Lutron_CFlex_Lookup[#Headers],0),FALSE),"")</f>
        <v/>
      </c>
      <c r="AJ454" s="1" t="str">
        <f>_xlfn.IFNA(VLOOKUP(Master_Reference[[#This Row],[C-Flex 3000K 3W Part Number]],Lutron_CFlex_Lookup[],MATCH("Lutron Kit PN",Lutron_CFlex_Lookup[#Headers],0),FALSE),"")</f>
        <v/>
      </c>
      <c r="AK454" s="1" t="str">
        <f>_xlfn.IFNA(VLOOKUP(Master_Reference[[#This Row],[C-Flex 3500K 3W Part Number]],Lutron_CFlex_Lookup[],MATCH("Lutron Kit PN",Lutron_CFlex_Lookup[#Headers],0),FALSE),"")</f>
        <v/>
      </c>
      <c r="AL454" s="1" t="str">
        <f>_xlfn.IFNA(VLOOKUP(Master_Reference[[#This Row],[C-Flex 4000K 3W Part Number]],Lutron_CFlex_Lookup[],MATCH("Lutron Kit PN",Lutron_CFlex_Lookup[#Headers],0),FALSE),"")</f>
        <v/>
      </c>
      <c r="AM454" s="1" t="str">
        <f>_xlfn.IFNA(VLOOKUP(Master_Reference[[#This Row],[C-Flex 5000K 3W Part Number]],Lutron_CFlex_Lookup[],MATCH("Lutron Kit PN",Lutron_CFlex_Lookup[#Headers],0),FALSE),"")</f>
        <v/>
      </c>
      <c r="AN454" s="1" t="b">
        <f>NOT(ISNA(VLOOKUP(Master_Reference[[#This Row],[Model Number]],ObsoleteModels[],1,FALSE)))</f>
        <v>1</v>
      </c>
      <c r="AO454" s="1" t="str">
        <f>IF(LEFT(Master_Reference[[#This Row],[Model Number]],1)="U",LEFT(Master_Reference[[#This Row],[Model Number]],4),LEFT(Master_Reference[[#This Row],[Model Number]],3))</f>
        <v>EHD</v>
      </c>
    </row>
    <row r="455" spans="1:41" x14ac:dyDescent="0.25">
      <c r="A455" s="2" t="s">
        <v>736</v>
      </c>
      <c r="B455" s="1" t="b">
        <v>1</v>
      </c>
      <c r="G455" s="1" t="str">
        <f>IF(OR(LEFT(RIGHT(Master_Reference[[#This Row],[Model Number]],3),1)="C",LEFT(RIGHT(Master_Reference[[#This Row],[Model Number]],4),1)="C"),TRUE,"")</f>
        <v/>
      </c>
      <c r="H455" s="1" t="str">
        <f>IF(LEFT(Master_Reference[[#This Row],[Model Number]],1)="U",TRUE,"")</f>
        <v/>
      </c>
      <c r="I455" s="1" t="str">
        <f>IF(Master_Reference[[#This Row],[Lamp Type]]="T4","",IF(Master_Reference[[#This Row],[Case Type]]="M","",TRUE))</f>
        <v/>
      </c>
      <c r="J455" s="1" t="s">
        <v>297</v>
      </c>
      <c r="K455" s="1">
        <v>54</v>
      </c>
      <c r="L455" s="1" t="s">
        <v>118</v>
      </c>
      <c r="M455" s="1">
        <v>2</v>
      </c>
      <c r="N455" s="1" t="s">
        <v>631</v>
      </c>
      <c r="O455" s="1" t="s">
        <v>632</v>
      </c>
      <c r="Q455" s="1" t="s">
        <v>640</v>
      </c>
      <c r="R455" t="b">
        <f>IF(COUNTBLANK(Master_Reference[[#This Row],[C-Flex 3000K Eco Part Number]:[C-Flex 4000K Eco Part Number]])=3,FALSE,TRUE)</f>
        <v>0</v>
      </c>
      <c r="S455" t="b">
        <f>IF(COUNTBLANK(Master_Reference[[#This Row],[C-Flex 3000K 3W Part Number]:[C-Flex 4000K 3W Part Number]])=3,FALSE,TRUE)</f>
        <v>0</v>
      </c>
      <c r="T455" t="b">
        <f>IF(COUNTBLANK(Master_Reference[[#This Row],[Lutron 3000K Eco Part Number]:[Lutron 4000K Eco Part Number]])=3,FALSE,TRUE)</f>
        <v>0</v>
      </c>
      <c r="U455" t="b">
        <f>IF(COUNTBLANK(Master_Reference[[#This Row],[Lutron 3000K 3W Part Number]:[Lutron 4000K 3W Part Number]])=3,FALSE,TRUE)</f>
        <v>0</v>
      </c>
      <c r="V455" s="12"/>
      <c r="W455" s="12"/>
      <c r="X455" s="12"/>
      <c r="Y455" t="s">
        <v>2125</v>
      </c>
      <c r="Z455" s="12"/>
      <c r="AA455" s="12"/>
      <c r="AB455" s="12"/>
      <c r="AC455" t="s">
        <v>2125</v>
      </c>
      <c r="AD455" t="str">
        <f>SUBSTITUTE(Master_Reference[[#This Row],[C-Flex 4000K Eco Part Number]],"40-","xx-")</f>
        <v/>
      </c>
      <c r="AE455" t="str">
        <f>SUBSTITUTE(Master_Reference[[#This Row],[C-Flex 4000K 3W Part Number]],"40-","xx-")</f>
        <v/>
      </c>
      <c r="AF455" s="1" t="str">
        <f>_xlfn.IFNA(VLOOKUP(Master_Reference[[#This Row],[C-Flex 3000K Eco Part Number]],Lutron_CFlex_Lookup[],MATCH("Lutron Kit PN",Lutron_CFlex_Lookup[#Headers],0),FALSE),"")</f>
        <v/>
      </c>
      <c r="AG455" s="1" t="str">
        <f>_xlfn.IFNA(VLOOKUP(Master_Reference[[#This Row],[C-Flex 3500K Eco Part Number]],Lutron_CFlex_Lookup[],MATCH("Lutron Kit PN",Lutron_CFlex_Lookup[#Headers],0),FALSE),"")</f>
        <v/>
      </c>
      <c r="AH455" s="1" t="str">
        <f>_xlfn.IFNA(VLOOKUP(Master_Reference[[#This Row],[C-Flex 4000K Eco Part Number]],Lutron_CFlex_Lookup[],MATCH("Lutron Kit PN",Lutron_CFlex_Lookup[#Headers],0),FALSE),"")</f>
        <v/>
      </c>
      <c r="AI455" s="1" t="str">
        <f>_xlfn.IFNA(VLOOKUP(Master_Reference[[#This Row],[C-Flex 5000K Eco Part Number]],Lutron_CFlex_Lookup[],MATCH("Lutron Kit PN",Lutron_CFlex_Lookup[#Headers],0),FALSE),"")</f>
        <v/>
      </c>
      <c r="AJ455" s="1" t="str">
        <f>_xlfn.IFNA(VLOOKUP(Master_Reference[[#This Row],[C-Flex 3000K 3W Part Number]],Lutron_CFlex_Lookup[],MATCH("Lutron Kit PN",Lutron_CFlex_Lookup[#Headers],0),FALSE),"")</f>
        <v/>
      </c>
      <c r="AK455" s="1" t="str">
        <f>_xlfn.IFNA(VLOOKUP(Master_Reference[[#This Row],[C-Flex 3500K 3W Part Number]],Lutron_CFlex_Lookup[],MATCH("Lutron Kit PN",Lutron_CFlex_Lookup[#Headers],0),FALSE),"")</f>
        <v/>
      </c>
      <c r="AL455" s="1" t="str">
        <f>_xlfn.IFNA(VLOOKUP(Master_Reference[[#This Row],[C-Flex 4000K 3W Part Number]],Lutron_CFlex_Lookup[],MATCH("Lutron Kit PN",Lutron_CFlex_Lookup[#Headers],0),FALSE),"")</f>
        <v/>
      </c>
      <c r="AM455" s="1" t="str">
        <f>_xlfn.IFNA(VLOOKUP(Master_Reference[[#This Row],[C-Flex 5000K 3W Part Number]],Lutron_CFlex_Lookup[],MATCH("Lutron Kit PN",Lutron_CFlex_Lookup[#Headers],0),FALSE),"")</f>
        <v/>
      </c>
      <c r="AN455" s="1" t="b">
        <f>NOT(ISNA(VLOOKUP(Master_Reference[[#This Row],[Model Number]],ObsoleteModels[],1,FALSE)))</f>
        <v>1</v>
      </c>
      <c r="AO455" s="1" t="str">
        <f>IF(LEFT(Master_Reference[[#This Row],[Model Number]],1)="U",LEFT(Master_Reference[[#This Row],[Model Number]],4),LEFT(Master_Reference[[#This Row],[Model Number]],3))</f>
        <v>EHD</v>
      </c>
    </row>
    <row r="456" spans="1:41" x14ac:dyDescent="0.25">
      <c r="A456" s="2" t="s">
        <v>737</v>
      </c>
      <c r="B456" s="1" t="b">
        <v>1</v>
      </c>
      <c r="G456" s="1" t="str">
        <f>IF(OR(LEFT(RIGHT(Master_Reference[[#This Row],[Model Number]],3),1)="C",LEFT(RIGHT(Master_Reference[[#This Row],[Model Number]],4),1)="C"),TRUE,"")</f>
        <v/>
      </c>
      <c r="H456" s="1" t="str">
        <f>IF(LEFT(Master_Reference[[#This Row],[Model Number]],1)="U",TRUE,"")</f>
        <v/>
      </c>
      <c r="I456" s="1" t="str">
        <f>IF(Master_Reference[[#This Row],[Lamp Type]]="T4","",IF(Master_Reference[[#This Row],[Case Type]]="M","",TRUE))</f>
        <v/>
      </c>
      <c r="J456" s="1" t="s">
        <v>297</v>
      </c>
      <c r="K456" s="1">
        <v>54</v>
      </c>
      <c r="L456" s="1" t="s">
        <v>118</v>
      </c>
      <c r="M456" s="1">
        <v>2</v>
      </c>
      <c r="N456" s="1" t="s">
        <v>631</v>
      </c>
      <c r="O456" s="1" t="s">
        <v>632</v>
      </c>
      <c r="Q456" s="1" t="s">
        <v>646</v>
      </c>
      <c r="R456" t="b">
        <f>IF(COUNTBLANK(Master_Reference[[#This Row],[C-Flex 3000K Eco Part Number]:[C-Flex 4000K Eco Part Number]])=3,FALSE,TRUE)</f>
        <v>0</v>
      </c>
      <c r="S456" t="b">
        <f>IF(COUNTBLANK(Master_Reference[[#This Row],[C-Flex 3000K 3W Part Number]:[C-Flex 4000K 3W Part Number]])=3,FALSE,TRUE)</f>
        <v>0</v>
      </c>
      <c r="T456" t="b">
        <f>IF(COUNTBLANK(Master_Reference[[#This Row],[Lutron 3000K Eco Part Number]:[Lutron 4000K Eco Part Number]])=3,FALSE,TRUE)</f>
        <v>0</v>
      </c>
      <c r="U456" t="b">
        <f>IF(COUNTBLANK(Master_Reference[[#This Row],[Lutron 3000K 3W Part Number]:[Lutron 4000K 3W Part Number]])=3,FALSE,TRUE)</f>
        <v>0</v>
      </c>
      <c r="V456" s="12"/>
      <c r="W456" s="12"/>
      <c r="X456" s="12"/>
      <c r="Y456" t="s">
        <v>2125</v>
      </c>
      <c r="Z456" s="12"/>
      <c r="AA456" s="12"/>
      <c r="AB456" s="12"/>
      <c r="AC456" t="s">
        <v>2125</v>
      </c>
      <c r="AD456" t="str">
        <f>SUBSTITUTE(Master_Reference[[#This Row],[C-Flex 4000K Eco Part Number]],"40-","xx-")</f>
        <v/>
      </c>
      <c r="AE456" t="str">
        <f>SUBSTITUTE(Master_Reference[[#This Row],[C-Flex 4000K 3W Part Number]],"40-","xx-")</f>
        <v/>
      </c>
      <c r="AF456" s="1" t="str">
        <f>_xlfn.IFNA(VLOOKUP(Master_Reference[[#This Row],[C-Flex 3000K Eco Part Number]],Lutron_CFlex_Lookup[],MATCH("Lutron Kit PN",Lutron_CFlex_Lookup[#Headers],0),FALSE),"")</f>
        <v/>
      </c>
      <c r="AG456" s="1" t="str">
        <f>_xlfn.IFNA(VLOOKUP(Master_Reference[[#This Row],[C-Flex 3500K Eco Part Number]],Lutron_CFlex_Lookup[],MATCH("Lutron Kit PN",Lutron_CFlex_Lookup[#Headers],0),FALSE),"")</f>
        <v/>
      </c>
      <c r="AH456" s="1" t="str">
        <f>_xlfn.IFNA(VLOOKUP(Master_Reference[[#This Row],[C-Flex 4000K Eco Part Number]],Lutron_CFlex_Lookup[],MATCH("Lutron Kit PN",Lutron_CFlex_Lookup[#Headers],0),FALSE),"")</f>
        <v/>
      </c>
      <c r="AI456" s="1" t="str">
        <f>_xlfn.IFNA(VLOOKUP(Master_Reference[[#This Row],[C-Flex 5000K Eco Part Number]],Lutron_CFlex_Lookup[],MATCH("Lutron Kit PN",Lutron_CFlex_Lookup[#Headers],0),FALSE),"")</f>
        <v/>
      </c>
      <c r="AJ456" s="1" t="str">
        <f>_xlfn.IFNA(VLOOKUP(Master_Reference[[#This Row],[C-Flex 3000K 3W Part Number]],Lutron_CFlex_Lookup[],MATCH("Lutron Kit PN",Lutron_CFlex_Lookup[#Headers],0),FALSE),"")</f>
        <v/>
      </c>
      <c r="AK456" s="1" t="str">
        <f>_xlfn.IFNA(VLOOKUP(Master_Reference[[#This Row],[C-Flex 3500K 3W Part Number]],Lutron_CFlex_Lookup[],MATCH("Lutron Kit PN",Lutron_CFlex_Lookup[#Headers],0),FALSE),"")</f>
        <v/>
      </c>
      <c r="AL456" s="1" t="str">
        <f>_xlfn.IFNA(VLOOKUP(Master_Reference[[#This Row],[C-Flex 4000K 3W Part Number]],Lutron_CFlex_Lookup[],MATCH("Lutron Kit PN",Lutron_CFlex_Lookup[#Headers],0),FALSE),"")</f>
        <v/>
      </c>
      <c r="AM456" s="1" t="str">
        <f>_xlfn.IFNA(VLOOKUP(Master_Reference[[#This Row],[C-Flex 5000K 3W Part Number]],Lutron_CFlex_Lookup[],MATCH("Lutron Kit PN",Lutron_CFlex_Lookup[#Headers],0),FALSE),"")</f>
        <v/>
      </c>
      <c r="AN456" s="1" t="b">
        <f>NOT(ISNA(VLOOKUP(Master_Reference[[#This Row],[Model Number]],ObsoleteModels[],1,FALSE)))</f>
        <v>1</v>
      </c>
      <c r="AO456" s="1" t="str">
        <f>IF(LEFT(Master_Reference[[#This Row],[Model Number]],1)="U",LEFT(Master_Reference[[#This Row],[Model Number]],4),LEFT(Master_Reference[[#This Row],[Model Number]],3))</f>
        <v>EHD</v>
      </c>
    </row>
    <row r="457" spans="1:41" x14ac:dyDescent="0.25">
      <c r="A457" s="2" t="s">
        <v>738</v>
      </c>
      <c r="B457" s="1" t="b">
        <v>1</v>
      </c>
      <c r="G457" s="1" t="str">
        <f>IF(OR(LEFT(RIGHT(Master_Reference[[#This Row],[Model Number]],3),1)="C",LEFT(RIGHT(Master_Reference[[#This Row],[Model Number]],4),1)="C"),TRUE,"")</f>
        <v/>
      </c>
      <c r="H457" s="1" t="str">
        <f>IF(LEFT(Master_Reference[[#This Row],[Model Number]],1)="U",TRUE,"")</f>
        <v/>
      </c>
      <c r="I457" s="1" t="str">
        <f>IF(Master_Reference[[#This Row],[Lamp Type]]="T4","",IF(Master_Reference[[#This Row],[Case Type]]="M","",TRUE))</f>
        <v/>
      </c>
      <c r="J457" s="1" t="s">
        <v>297</v>
      </c>
      <c r="K457" s="1">
        <v>54</v>
      </c>
      <c r="L457" s="1" t="s">
        <v>118</v>
      </c>
      <c r="M457" s="1">
        <v>1</v>
      </c>
      <c r="N457" s="1" t="s">
        <v>149</v>
      </c>
      <c r="O457" s="1" t="s">
        <v>632</v>
      </c>
      <c r="R457" t="b">
        <f>IF(COUNTBLANK(Master_Reference[[#This Row],[C-Flex 3000K Eco Part Number]:[C-Flex 4000K Eco Part Number]])=3,FALSE,TRUE)</f>
        <v>1</v>
      </c>
      <c r="S457" t="b">
        <f>IF(COUNTBLANK(Master_Reference[[#This Row],[C-Flex 3000K 3W Part Number]:[C-Flex 4000K 3W Part Number]])=3,FALSE,TRUE)</f>
        <v>0</v>
      </c>
      <c r="T457" t="b">
        <f>IF(COUNTBLANK(Master_Reference[[#This Row],[Lutron 3000K Eco Part Number]:[Lutron 4000K Eco Part Number]])=3,FALSE,TRUE)</f>
        <v>1</v>
      </c>
      <c r="U457" t="b">
        <f>IF(COUNTBLANK(Master_Reference[[#This Row],[Lutron 3000K 3W Part Number]:[Lutron 4000K 3W Part Number]])=3,FALSE,TRUE)</f>
        <v>0</v>
      </c>
      <c r="V457" s="12" t="s">
        <v>298</v>
      </c>
      <c r="W457" s="12" t="s">
        <v>299</v>
      </c>
      <c r="X457" s="12" t="s">
        <v>300</v>
      </c>
      <c r="Y457" t="s">
        <v>1733</v>
      </c>
      <c r="Z457" s="12"/>
      <c r="AA457" s="12"/>
      <c r="AB457" s="12"/>
      <c r="AC457" t="s">
        <v>2125</v>
      </c>
      <c r="AD457" t="str">
        <f>SUBSTITUTE(Master_Reference[[#This Row],[C-Flex 4000K Eco Part Number]],"40-","xx-")</f>
        <v>RP-T5HO-4FT-1L-8xx-E1-M-G2</v>
      </c>
      <c r="AE457" t="str">
        <f>SUBSTITUTE(Master_Reference[[#This Row],[C-Flex 4000K 3W Part Number]],"40-","xx-")</f>
        <v/>
      </c>
      <c r="AF457" s="1" t="str">
        <f>_xlfn.IFNA(VLOOKUP(Master_Reference[[#This Row],[C-Flex 3000K Eco Part Number]],Lutron_CFlex_Lookup[],MATCH("Lutron Kit PN",Lutron_CFlex_Lookup[#Headers],0),FALSE),"")</f>
        <v>ELD4T5H-1M30-q</v>
      </c>
      <c r="AG457" s="1" t="str">
        <f>_xlfn.IFNA(VLOOKUP(Master_Reference[[#This Row],[C-Flex 3500K Eco Part Number]],Lutron_CFlex_Lookup[],MATCH("Lutron Kit PN",Lutron_CFlex_Lookup[#Headers],0),FALSE),"")</f>
        <v>ELD4T5H-1M35-q</v>
      </c>
      <c r="AH457" s="1" t="str">
        <f>_xlfn.IFNA(VLOOKUP(Master_Reference[[#This Row],[C-Flex 4000K Eco Part Number]],Lutron_CFlex_Lookup[],MATCH("Lutron Kit PN",Lutron_CFlex_Lookup[#Headers],0),FALSE),"")</f>
        <v>ELD4T5H-1M40-q</v>
      </c>
      <c r="AI457" s="1" t="str">
        <f>_xlfn.IFNA(VLOOKUP(Master_Reference[[#This Row],[C-Flex 5000K Eco Part Number]],Lutron_CFlex_Lookup[],MATCH("Lutron Kit PN",Lutron_CFlex_Lookup[#Headers],0),FALSE),"")</f>
        <v>ELD4T5H-1M50-q</v>
      </c>
      <c r="AJ457" s="1" t="str">
        <f>_xlfn.IFNA(VLOOKUP(Master_Reference[[#This Row],[C-Flex 3000K 3W Part Number]],Lutron_CFlex_Lookup[],MATCH("Lutron Kit PN",Lutron_CFlex_Lookup[#Headers],0),FALSE),"")</f>
        <v/>
      </c>
      <c r="AK457" s="1" t="str">
        <f>_xlfn.IFNA(VLOOKUP(Master_Reference[[#This Row],[C-Flex 3500K 3W Part Number]],Lutron_CFlex_Lookup[],MATCH("Lutron Kit PN",Lutron_CFlex_Lookup[#Headers],0),FALSE),"")</f>
        <v/>
      </c>
      <c r="AL457" s="1" t="str">
        <f>_xlfn.IFNA(VLOOKUP(Master_Reference[[#This Row],[C-Flex 4000K 3W Part Number]],Lutron_CFlex_Lookup[],MATCH("Lutron Kit PN",Lutron_CFlex_Lookup[#Headers],0),FALSE),"")</f>
        <v/>
      </c>
      <c r="AM457" s="1" t="str">
        <f>_xlfn.IFNA(VLOOKUP(Master_Reference[[#This Row],[C-Flex 5000K 3W Part Number]],Lutron_CFlex_Lookup[],MATCH("Lutron Kit PN",Lutron_CFlex_Lookup[#Headers],0),FALSE),"")</f>
        <v/>
      </c>
      <c r="AN457" s="1" t="b">
        <f>NOT(ISNA(VLOOKUP(Master_Reference[[#This Row],[Model Number]],ObsoleteModels[],1,FALSE)))</f>
        <v>1</v>
      </c>
      <c r="AO457" s="1" t="str">
        <f>IF(LEFT(Master_Reference[[#This Row],[Model Number]],1)="U",LEFT(Master_Reference[[#This Row],[Model Number]],4),LEFT(Master_Reference[[#This Row],[Model Number]],3))</f>
        <v>EHD</v>
      </c>
    </row>
    <row r="458" spans="1:41" x14ac:dyDescent="0.25">
      <c r="A458" s="2" t="s">
        <v>739</v>
      </c>
      <c r="B458" s="1" t="b">
        <v>1</v>
      </c>
      <c r="G458" s="1" t="str">
        <f>IF(OR(LEFT(RIGHT(Master_Reference[[#This Row],[Model Number]],3),1)="C",LEFT(RIGHT(Master_Reference[[#This Row],[Model Number]],4),1)="C"),TRUE,"")</f>
        <v/>
      </c>
      <c r="H458" s="1" t="str">
        <f>IF(LEFT(Master_Reference[[#This Row],[Model Number]],1)="U",TRUE,"")</f>
        <v/>
      </c>
      <c r="I458" s="1" t="str">
        <f>IF(Master_Reference[[#This Row],[Lamp Type]]="T4","",IF(Master_Reference[[#This Row],[Case Type]]="M","",TRUE))</f>
        <v/>
      </c>
      <c r="J458" s="1" t="s">
        <v>297</v>
      </c>
      <c r="K458" s="1">
        <v>54</v>
      </c>
      <c r="L458" s="1" t="s">
        <v>118</v>
      </c>
      <c r="M458" s="1">
        <v>1</v>
      </c>
      <c r="N458" s="1" t="s">
        <v>149</v>
      </c>
      <c r="O458" s="1" t="s">
        <v>632</v>
      </c>
      <c r="Q458" s="1" t="s">
        <v>91</v>
      </c>
      <c r="R458" t="b">
        <f>IF(COUNTBLANK(Master_Reference[[#This Row],[C-Flex 3000K Eco Part Number]:[C-Flex 4000K Eco Part Number]])=3,FALSE,TRUE)</f>
        <v>0</v>
      </c>
      <c r="S458" t="b">
        <f>IF(COUNTBLANK(Master_Reference[[#This Row],[C-Flex 3000K 3W Part Number]:[C-Flex 4000K 3W Part Number]])=3,FALSE,TRUE)</f>
        <v>0</v>
      </c>
      <c r="T458" t="b">
        <f>IF(COUNTBLANK(Master_Reference[[#This Row],[Lutron 3000K Eco Part Number]:[Lutron 4000K Eco Part Number]])=3,FALSE,TRUE)</f>
        <v>0</v>
      </c>
      <c r="U458" t="b">
        <f>IF(COUNTBLANK(Master_Reference[[#This Row],[Lutron 3000K 3W Part Number]:[Lutron 4000K 3W Part Number]])=3,FALSE,TRUE)</f>
        <v>0</v>
      </c>
      <c r="V458" s="12"/>
      <c r="W458" s="12"/>
      <c r="X458" s="12"/>
      <c r="Y458" t="s">
        <v>2125</v>
      </c>
      <c r="Z458" s="12"/>
      <c r="AA458" s="12"/>
      <c r="AB458" s="12"/>
      <c r="AC458" t="s">
        <v>2125</v>
      </c>
      <c r="AD458" t="str">
        <f>SUBSTITUTE(Master_Reference[[#This Row],[C-Flex 4000K Eco Part Number]],"40-","xx-")</f>
        <v/>
      </c>
      <c r="AE458" t="str">
        <f>SUBSTITUTE(Master_Reference[[#This Row],[C-Flex 4000K 3W Part Number]],"40-","xx-")</f>
        <v/>
      </c>
      <c r="AF458" s="1" t="str">
        <f>_xlfn.IFNA(VLOOKUP(Master_Reference[[#This Row],[C-Flex 3000K Eco Part Number]],Lutron_CFlex_Lookup[],MATCH("Lutron Kit PN",Lutron_CFlex_Lookup[#Headers],0),FALSE),"")</f>
        <v/>
      </c>
      <c r="AG458" s="1" t="str">
        <f>_xlfn.IFNA(VLOOKUP(Master_Reference[[#This Row],[C-Flex 3500K Eco Part Number]],Lutron_CFlex_Lookup[],MATCH("Lutron Kit PN",Lutron_CFlex_Lookup[#Headers],0),FALSE),"")</f>
        <v/>
      </c>
      <c r="AH458" s="1" t="str">
        <f>_xlfn.IFNA(VLOOKUP(Master_Reference[[#This Row],[C-Flex 4000K Eco Part Number]],Lutron_CFlex_Lookup[],MATCH("Lutron Kit PN",Lutron_CFlex_Lookup[#Headers],0),FALSE),"")</f>
        <v/>
      </c>
      <c r="AI458" s="1" t="str">
        <f>_xlfn.IFNA(VLOOKUP(Master_Reference[[#This Row],[C-Flex 5000K Eco Part Number]],Lutron_CFlex_Lookup[],MATCH("Lutron Kit PN",Lutron_CFlex_Lookup[#Headers],0),FALSE),"")</f>
        <v/>
      </c>
      <c r="AJ458" s="1" t="str">
        <f>_xlfn.IFNA(VLOOKUP(Master_Reference[[#This Row],[C-Flex 3000K 3W Part Number]],Lutron_CFlex_Lookup[],MATCH("Lutron Kit PN",Lutron_CFlex_Lookup[#Headers],0),FALSE),"")</f>
        <v/>
      </c>
      <c r="AK458" s="1" t="str">
        <f>_xlfn.IFNA(VLOOKUP(Master_Reference[[#This Row],[C-Flex 3500K 3W Part Number]],Lutron_CFlex_Lookup[],MATCH("Lutron Kit PN",Lutron_CFlex_Lookup[#Headers],0),FALSE),"")</f>
        <v/>
      </c>
      <c r="AL458" s="1" t="str">
        <f>_xlfn.IFNA(VLOOKUP(Master_Reference[[#This Row],[C-Flex 4000K 3W Part Number]],Lutron_CFlex_Lookup[],MATCH("Lutron Kit PN",Lutron_CFlex_Lookup[#Headers],0),FALSE),"")</f>
        <v/>
      </c>
      <c r="AM458" s="1" t="str">
        <f>_xlfn.IFNA(VLOOKUP(Master_Reference[[#This Row],[C-Flex 5000K 3W Part Number]],Lutron_CFlex_Lookup[],MATCH("Lutron Kit PN",Lutron_CFlex_Lookup[#Headers],0),FALSE),"")</f>
        <v/>
      </c>
      <c r="AN458" s="1" t="b">
        <f>NOT(ISNA(VLOOKUP(Master_Reference[[#This Row],[Model Number]],ObsoleteModels[],1,FALSE)))</f>
        <v>1</v>
      </c>
      <c r="AO458" s="1" t="str">
        <f>IF(LEFT(Master_Reference[[#This Row],[Model Number]],1)="U",LEFT(Master_Reference[[#This Row],[Model Number]],4),LEFT(Master_Reference[[#This Row],[Model Number]],3))</f>
        <v>EHD</v>
      </c>
    </row>
    <row r="459" spans="1:41" x14ac:dyDescent="0.25">
      <c r="A459" s="2" t="s">
        <v>740</v>
      </c>
      <c r="B459" s="1" t="b">
        <v>1</v>
      </c>
      <c r="G459" s="1" t="b">
        <f>IF(OR(LEFT(RIGHT(Master_Reference[[#This Row],[Model Number]],3),1)="C",LEFT(RIGHT(Master_Reference[[#This Row],[Model Number]],4),1)="C"),TRUE,"")</f>
        <v>1</v>
      </c>
      <c r="H459" s="1" t="str">
        <f>IF(LEFT(Master_Reference[[#This Row],[Model Number]],1)="U",TRUE,"")</f>
        <v/>
      </c>
      <c r="I459" s="1" t="str">
        <f>IF(Master_Reference[[#This Row],[Lamp Type]]="T4","",IF(Master_Reference[[#This Row],[Case Type]]="M","",TRUE))</f>
        <v/>
      </c>
      <c r="J459" s="1" t="s">
        <v>297</v>
      </c>
      <c r="K459" s="1">
        <v>54</v>
      </c>
      <c r="L459" s="1" t="s">
        <v>118</v>
      </c>
      <c r="M459" s="1">
        <v>1</v>
      </c>
      <c r="N459" s="1" t="s">
        <v>149</v>
      </c>
      <c r="O459" s="1" t="s">
        <v>632</v>
      </c>
      <c r="R459" t="b">
        <f>IF(COUNTBLANK(Master_Reference[[#This Row],[C-Flex 3000K Eco Part Number]:[C-Flex 4000K Eco Part Number]])=3,FALSE,TRUE)</f>
        <v>1</v>
      </c>
      <c r="S459" t="b">
        <f>IF(COUNTBLANK(Master_Reference[[#This Row],[C-Flex 3000K 3W Part Number]:[C-Flex 4000K 3W Part Number]])=3,FALSE,TRUE)</f>
        <v>0</v>
      </c>
      <c r="T459" t="b">
        <f>IF(COUNTBLANK(Master_Reference[[#This Row],[Lutron 3000K Eco Part Number]:[Lutron 4000K Eco Part Number]])=3,FALSE,TRUE)</f>
        <v>1</v>
      </c>
      <c r="U459" t="b">
        <f>IF(COUNTBLANK(Master_Reference[[#This Row],[Lutron 3000K 3W Part Number]:[Lutron 4000K 3W Part Number]])=3,FALSE,TRUE)</f>
        <v>0</v>
      </c>
      <c r="V459" s="12" t="s">
        <v>298</v>
      </c>
      <c r="W459" s="12" t="s">
        <v>299</v>
      </c>
      <c r="X459" s="12" t="s">
        <v>300</v>
      </c>
      <c r="Y459" t="s">
        <v>1733</v>
      </c>
      <c r="Z459" s="12"/>
      <c r="AA459" s="12"/>
      <c r="AB459" s="12"/>
      <c r="AC459" t="s">
        <v>2125</v>
      </c>
      <c r="AD459" t="str">
        <f>SUBSTITUTE(Master_Reference[[#This Row],[C-Flex 4000K Eco Part Number]],"40-","xx-")</f>
        <v>RP-T5HO-4FT-1L-8xx-E1-M-G2</v>
      </c>
      <c r="AE459" t="str">
        <f>SUBSTITUTE(Master_Reference[[#This Row],[C-Flex 4000K 3W Part Number]],"40-","xx-")</f>
        <v/>
      </c>
      <c r="AF459" s="1" t="str">
        <f>_xlfn.IFNA(VLOOKUP(Master_Reference[[#This Row],[C-Flex 3000K Eco Part Number]],Lutron_CFlex_Lookup[],MATCH("Lutron Kit PN",Lutron_CFlex_Lookup[#Headers],0),FALSE),"")</f>
        <v>ELD4T5H-1M30-q</v>
      </c>
      <c r="AG459" s="1" t="str">
        <f>_xlfn.IFNA(VLOOKUP(Master_Reference[[#This Row],[C-Flex 3500K Eco Part Number]],Lutron_CFlex_Lookup[],MATCH("Lutron Kit PN",Lutron_CFlex_Lookup[#Headers],0),FALSE),"")</f>
        <v>ELD4T5H-1M35-q</v>
      </c>
      <c r="AH459" s="1" t="str">
        <f>_xlfn.IFNA(VLOOKUP(Master_Reference[[#This Row],[C-Flex 4000K Eco Part Number]],Lutron_CFlex_Lookup[],MATCH("Lutron Kit PN",Lutron_CFlex_Lookup[#Headers],0),FALSE),"")</f>
        <v>ELD4T5H-1M40-q</v>
      </c>
      <c r="AI459" s="1" t="str">
        <f>_xlfn.IFNA(VLOOKUP(Master_Reference[[#This Row],[C-Flex 5000K Eco Part Number]],Lutron_CFlex_Lookup[],MATCH("Lutron Kit PN",Lutron_CFlex_Lookup[#Headers],0),FALSE),"")</f>
        <v>ELD4T5H-1M50-q</v>
      </c>
      <c r="AJ459" s="1" t="str">
        <f>_xlfn.IFNA(VLOOKUP(Master_Reference[[#This Row],[C-Flex 3000K 3W Part Number]],Lutron_CFlex_Lookup[],MATCH("Lutron Kit PN",Lutron_CFlex_Lookup[#Headers],0),FALSE),"")</f>
        <v/>
      </c>
      <c r="AK459" s="1" t="str">
        <f>_xlfn.IFNA(VLOOKUP(Master_Reference[[#This Row],[C-Flex 3500K 3W Part Number]],Lutron_CFlex_Lookup[],MATCH("Lutron Kit PN",Lutron_CFlex_Lookup[#Headers],0),FALSE),"")</f>
        <v/>
      </c>
      <c r="AL459" s="1" t="str">
        <f>_xlfn.IFNA(VLOOKUP(Master_Reference[[#This Row],[C-Flex 4000K 3W Part Number]],Lutron_CFlex_Lookup[],MATCH("Lutron Kit PN",Lutron_CFlex_Lookup[#Headers],0),FALSE),"")</f>
        <v/>
      </c>
      <c r="AM459" s="1" t="str">
        <f>_xlfn.IFNA(VLOOKUP(Master_Reference[[#This Row],[C-Flex 5000K 3W Part Number]],Lutron_CFlex_Lookup[],MATCH("Lutron Kit PN",Lutron_CFlex_Lookup[#Headers],0),FALSE),"")</f>
        <v/>
      </c>
      <c r="AN459" s="1" t="b">
        <f>NOT(ISNA(VLOOKUP(Master_Reference[[#This Row],[Model Number]],ObsoleteModels[],1,FALSE)))</f>
        <v>1</v>
      </c>
      <c r="AO459" s="1" t="str">
        <f>IF(LEFT(Master_Reference[[#This Row],[Model Number]],1)="U",LEFT(Master_Reference[[#This Row],[Model Number]],4),LEFT(Master_Reference[[#This Row],[Model Number]],3))</f>
        <v>EHD</v>
      </c>
    </row>
    <row r="460" spans="1:41" x14ac:dyDescent="0.25">
      <c r="A460" s="2" t="s">
        <v>741</v>
      </c>
      <c r="B460" s="1" t="b">
        <v>1</v>
      </c>
      <c r="G460" s="1" t="b">
        <f>IF(OR(LEFT(RIGHT(Master_Reference[[#This Row],[Model Number]],3),1)="C",LEFT(RIGHT(Master_Reference[[#This Row],[Model Number]],4),1)="C"),TRUE,"")</f>
        <v>1</v>
      </c>
      <c r="H460" s="1" t="str">
        <f>IF(LEFT(Master_Reference[[#This Row],[Model Number]],1)="U",TRUE,"")</f>
        <v/>
      </c>
      <c r="I460" s="1" t="str">
        <f>IF(Master_Reference[[#This Row],[Lamp Type]]="T4","",IF(Master_Reference[[#This Row],[Case Type]]="M","",TRUE))</f>
        <v/>
      </c>
      <c r="J460" s="1" t="s">
        <v>297</v>
      </c>
      <c r="K460" s="1">
        <v>54</v>
      </c>
      <c r="L460" s="1" t="s">
        <v>118</v>
      </c>
      <c r="M460" s="1">
        <v>1</v>
      </c>
      <c r="N460" s="1" t="s">
        <v>149</v>
      </c>
      <c r="O460" s="1" t="s">
        <v>632</v>
      </c>
      <c r="R460" t="b">
        <f>IF(COUNTBLANK(Master_Reference[[#This Row],[C-Flex 3000K Eco Part Number]:[C-Flex 4000K Eco Part Number]])=3,FALSE,TRUE)</f>
        <v>1</v>
      </c>
      <c r="S460" t="b">
        <f>IF(COUNTBLANK(Master_Reference[[#This Row],[C-Flex 3000K 3W Part Number]:[C-Flex 4000K 3W Part Number]])=3,FALSE,TRUE)</f>
        <v>0</v>
      </c>
      <c r="T460" t="b">
        <f>IF(COUNTBLANK(Master_Reference[[#This Row],[Lutron 3000K Eco Part Number]:[Lutron 4000K Eco Part Number]])=3,FALSE,TRUE)</f>
        <v>1</v>
      </c>
      <c r="U460" t="b">
        <f>IF(COUNTBLANK(Master_Reference[[#This Row],[Lutron 3000K 3W Part Number]:[Lutron 4000K 3W Part Number]])=3,FALSE,TRUE)</f>
        <v>0</v>
      </c>
      <c r="V460" s="12" t="s">
        <v>298</v>
      </c>
      <c r="W460" s="12" t="s">
        <v>299</v>
      </c>
      <c r="X460" s="12" t="s">
        <v>300</v>
      </c>
      <c r="Y460" t="s">
        <v>1733</v>
      </c>
      <c r="Z460" s="12"/>
      <c r="AA460" s="12"/>
      <c r="AB460" s="12"/>
      <c r="AC460" t="s">
        <v>2125</v>
      </c>
      <c r="AD460" t="str">
        <f>SUBSTITUTE(Master_Reference[[#This Row],[C-Flex 4000K Eco Part Number]],"40-","xx-")</f>
        <v>RP-T5HO-4FT-1L-8xx-E1-M-G2</v>
      </c>
      <c r="AE460" t="str">
        <f>SUBSTITUTE(Master_Reference[[#This Row],[C-Flex 4000K 3W Part Number]],"40-","xx-")</f>
        <v/>
      </c>
      <c r="AF460" s="1" t="str">
        <f>_xlfn.IFNA(VLOOKUP(Master_Reference[[#This Row],[C-Flex 3000K Eco Part Number]],Lutron_CFlex_Lookup[],MATCH("Lutron Kit PN",Lutron_CFlex_Lookup[#Headers],0),FALSE),"")</f>
        <v>ELD4T5H-1M30-q</v>
      </c>
      <c r="AG460" s="1" t="str">
        <f>_xlfn.IFNA(VLOOKUP(Master_Reference[[#This Row],[C-Flex 3500K Eco Part Number]],Lutron_CFlex_Lookup[],MATCH("Lutron Kit PN",Lutron_CFlex_Lookup[#Headers],0),FALSE),"")</f>
        <v>ELD4T5H-1M35-q</v>
      </c>
      <c r="AH460" s="1" t="str">
        <f>_xlfn.IFNA(VLOOKUP(Master_Reference[[#This Row],[C-Flex 4000K Eco Part Number]],Lutron_CFlex_Lookup[],MATCH("Lutron Kit PN",Lutron_CFlex_Lookup[#Headers],0),FALSE),"")</f>
        <v>ELD4T5H-1M40-q</v>
      </c>
      <c r="AI460" s="1" t="str">
        <f>_xlfn.IFNA(VLOOKUP(Master_Reference[[#This Row],[C-Flex 5000K Eco Part Number]],Lutron_CFlex_Lookup[],MATCH("Lutron Kit PN",Lutron_CFlex_Lookup[#Headers],0),FALSE),"")</f>
        <v>ELD4T5H-1M50-q</v>
      </c>
      <c r="AJ460" s="1" t="str">
        <f>_xlfn.IFNA(VLOOKUP(Master_Reference[[#This Row],[C-Flex 3000K 3W Part Number]],Lutron_CFlex_Lookup[],MATCH("Lutron Kit PN",Lutron_CFlex_Lookup[#Headers],0),FALSE),"")</f>
        <v/>
      </c>
      <c r="AK460" s="1" t="str">
        <f>_xlfn.IFNA(VLOOKUP(Master_Reference[[#This Row],[C-Flex 3500K 3W Part Number]],Lutron_CFlex_Lookup[],MATCH("Lutron Kit PN",Lutron_CFlex_Lookup[#Headers],0),FALSE),"")</f>
        <v/>
      </c>
      <c r="AL460" s="1" t="str">
        <f>_xlfn.IFNA(VLOOKUP(Master_Reference[[#This Row],[C-Flex 4000K 3W Part Number]],Lutron_CFlex_Lookup[],MATCH("Lutron Kit PN",Lutron_CFlex_Lookup[#Headers],0),FALSE),"")</f>
        <v/>
      </c>
      <c r="AM460" s="1" t="str">
        <f>_xlfn.IFNA(VLOOKUP(Master_Reference[[#This Row],[C-Flex 5000K 3W Part Number]],Lutron_CFlex_Lookup[],MATCH("Lutron Kit PN",Lutron_CFlex_Lookup[#Headers],0),FALSE),"")</f>
        <v/>
      </c>
      <c r="AN460" s="1" t="b">
        <f>NOT(ISNA(VLOOKUP(Master_Reference[[#This Row],[Model Number]],ObsoleteModels[],1,FALSE)))</f>
        <v>1</v>
      </c>
      <c r="AO460" s="1" t="str">
        <f>IF(LEFT(Master_Reference[[#This Row],[Model Number]],1)="U",LEFT(Master_Reference[[#This Row],[Model Number]],4),LEFT(Master_Reference[[#This Row],[Model Number]],3))</f>
        <v>EHD</v>
      </c>
    </row>
    <row r="461" spans="1:41" x14ac:dyDescent="0.25">
      <c r="A461" s="2" t="s">
        <v>742</v>
      </c>
      <c r="B461" s="1" t="b">
        <v>1</v>
      </c>
      <c r="G461" s="1" t="b">
        <f>IF(OR(LEFT(RIGHT(Master_Reference[[#This Row],[Model Number]],3),1)="C",LEFT(RIGHT(Master_Reference[[#This Row],[Model Number]],4),1)="C"),TRUE,"")</f>
        <v>1</v>
      </c>
      <c r="H461" s="1" t="str">
        <f>IF(LEFT(Master_Reference[[#This Row],[Model Number]],1)="U",TRUE,"")</f>
        <v/>
      </c>
      <c r="I461" s="1" t="str">
        <f>IF(Master_Reference[[#This Row],[Lamp Type]]="T4","",IF(Master_Reference[[#This Row],[Case Type]]="M","",TRUE))</f>
        <v/>
      </c>
      <c r="J461" s="1" t="s">
        <v>297</v>
      </c>
      <c r="K461" s="1">
        <v>54</v>
      </c>
      <c r="L461" s="1" t="s">
        <v>118</v>
      </c>
      <c r="M461" s="1">
        <v>1</v>
      </c>
      <c r="N461" s="1" t="s">
        <v>149</v>
      </c>
      <c r="O461" s="1" t="s">
        <v>632</v>
      </c>
      <c r="R461" t="b">
        <f>IF(COUNTBLANK(Master_Reference[[#This Row],[C-Flex 3000K Eco Part Number]:[C-Flex 4000K Eco Part Number]])=3,FALSE,TRUE)</f>
        <v>1</v>
      </c>
      <c r="S461" t="b">
        <f>IF(COUNTBLANK(Master_Reference[[#This Row],[C-Flex 3000K 3W Part Number]:[C-Flex 4000K 3W Part Number]])=3,FALSE,TRUE)</f>
        <v>0</v>
      </c>
      <c r="T461" t="b">
        <f>IF(COUNTBLANK(Master_Reference[[#This Row],[Lutron 3000K Eco Part Number]:[Lutron 4000K Eco Part Number]])=3,FALSE,TRUE)</f>
        <v>1</v>
      </c>
      <c r="U461" t="b">
        <f>IF(COUNTBLANK(Master_Reference[[#This Row],[Lutron 3000K 3W Part Number]:[Lutron 4000K 3W Part Number]])=3,FALSE,TRUE)</f>
        <v>0</v>
      </c>
      <c r="V461" s="12" t="s">
        <v>298</v>
      </c>
      <c r="W461" s="12" t="s">
        <v>299</v>
      </c>
      <c r="X461" s="12" t="s">
        <v>300</v>
      </c>
      <c r="Y461" t="s">
        <v>1733</v>
      </c>
      <c r="Z461" s="12"/>
      <c r="AA461" s="12"/>
      <c r="AB461" s="12"/>
      <c r="AC461" t="s">
        <v>2125</v>
      </c>
      <c r="AD461" t="str">
        <f>SUBSTITUTE(Master_Reference[[#This Row],[C-Flex 4000K Eco Part Number]],"40-","xx-")</f>
        <v>RP-T5HO-4FT-1L-8xx-E1-M-G2</v>
      </c>
      <c r="AE461" t="str">
        <f>SUBSTITUTE(Master_Reference[[#This Row],[C-Flex 4000K 3W Part Number]],"40-","xx-")</f>
        <v/>
      </c>
      <c r="AF461" s="1" t="str">
        <f>_xlfn.IFNA(VLOOKUP(Master_Reference[[#This Row],[C-Flex 3000K Eco Part Number]],Lutron_CFlex_Lookup[],MATCH("Lutron Kit PN",Lutron_CFlex_Lookup[#Headers],0),FALSE),"")</f>
        <v>ELD4T5H-1M30-q</v>
      </c>
      <c r="AG461" s="1" t="str">
        <f>_xlfn.IFNA(VLOOKUP(Master_Reference[[#This Row],[C-Flex 3500K Eco Part Number]],Lutron_CFlex_Lookup[],MATCH("Lutron Kit PN",Lutron_CFlex_Lookup[#Headers],0),FALSE),"")</f>
        <v>ELD4T5H-1M35-q</v>
      </c>
      <c r="AH461" s="1" t="str">
        <f>_xlfn.IFNA(VLOOKUP(Master_Reference[[#This Row],[C-Flex 4000K Eco Part Number]],Lutron_CFlex_Lookup[],MATCH("Lutron Kit PN",Lutron_CFlex_Lookup[#Headers],0),FALSE),"")</f>
        <v>ELD4T5H-1M40-q</v>
      </c>
      <c r="AI461" s="1" t="str">
        <f>_xlfn.IFNA(VLOOKUP(Master_Reference[[#This Row],[C-Flex 5000K Eco Part Number]],Lutron_CFlex_Lookup[],MATCH("Lutron Kit PN",Lutron_CFlex_Lookup[#Headers],0),FALSE),"")</f>
        <v>ELD4T5H-1M50-q</v>
      </c>
      <c r="AJ461" s="1" t="str">
        <f>_xlfn.IFNA(VLOOKUP(Master_Reference[[#This Row],[C-Flex 3000K 3W Part Number]],Lutron_CFlex_Lookup[],MATCH("Lutron Kit PN",Lutron_CFlex_Lookup[#Headers],0),FALSE),"")</f>
        <v/>
      </c>
      <c r="AK461" s="1" t="str">
        <f>_xlfn.IFNA(VLOOKUP(Master_Reference[[#This Row],[C-Flex 3500K 3W Part Number]],Lutron_CFlex_Lookup[],MATCH("Lutron Kit PN",Lutron_CFlex_Lookup[#Headers],0),FALSE),"")</f>
        <v/>
      </c>
      <c r="AL461" s="1" t="str">
        <f>_xlfn.IFNA(VLOOKUP(Master_Reference[[#This Row],[C-Flex 4000K 3W Part Number]],Lutron_CFlex_Lookup[],MATCH("Lutron Kit PN",Lutron_CFlex_Lookup[#Headers],0),FALSE),"")</f>
        <v/>
      </c>
      <c r="AM461" s="1" t="str">
        <f>_xlfn.IFNA(VLOOKUP(Master_Reference[[#This Row],[C-Flex 5000K 3W Part Number]],Lutron_CFlex_Lookup[],MATCH("Lutron Kit PN",Lutron_CFlex_Lookup[#Headers],0),FALSE),"")</f>
        <v/>
      </c>
      <c r="AN461" s="1" t="b">
        <f>NOT(ISNA(VLOOKUP(Master_Reference[[#This Row],[Model Number]],ObsoleteModels[],1,FALSE)))</f>
        <v>1</v>
      </c>
      <c r="AO461" s="1" t="str">
        <f>IF(LEFT(Master_Reference[[#This Row],[Model Number]],1)="U",LEFT(Master_Reference[[#This Row],[Model Number]],4),LEFT(Master_Reference[[#This Row],[Model Number]],3))</f>
        <v>EHD</v>
      </c>
    </row>
    <row r="462" spans="1:41" x14ac:dyDescent="0.25">
      <c r="A462" s="2" t="s">
        <v>743</v>
      </c>
      <c r="B462" s="1" t="b">
        <v>1</v>
      </c>
      <c r="G462" s="1" t="b">
        <f>IF(OR(LEFT(RIGHT(Master_Reference[[#This Row],[Model Number]],3),1)="C",LEFT(RIGHT(Master_Reference[[#This Row],[Model Number]],4),1)="C"),TRUE,"")</f>
        <v>1</v>
      </c>
      <c r="H462" s="1" t="str">
        <f>IF(LEFT(Master_Reference[[#This Row],[Model Number]],1)="U",TRUE,"")</f>
        <v/>
      </c>
      <c r="I462" s="1" t="str">
        <f>IF(Master_Reference[[#This Row],[Lamp Type]]="T4","",IF(Master_Reference[[#This Row],[Case Type]]="M","",TRUE))</f>
        <v/>
      </c>
      <c r="J462" s="1" t="s">
        <v>297</v>
      </c>
      <c r="K462" s="1">
        <v>54</v>
      </c>
      <c r="L462" s="1" t="s">
        <v>118</v>
      </c>
      <c r="M462" s="1">
        <v>1</v>
      </c>
      <c r="N462" s="1" t="s">
        <v>149</v>
      </c>
      <c r="O462" s="1" t="s">
        <v>632</v>
      </c>
      <c r="R462" t="b">
        <f>IF(COUNTBLANK(Master_Reference[[#This Row],[C-Flex 3000K Eco Part Number]:[C-Flex 4000K Eco Part Number]])=3,FALSE,TRUE)</f>
        <v>1</v>
      </c>
      <c r="S462" t="b">
        <f>IF(COUNTBLANK(Master_Reference[[#This Row],[C-Flex 3000K 3W Part Number]:[C-Flex 4000K 3W Part Number]])=3,FALSE,TRUE)</f>
        <v>0</v>
      </c>
      <c r="T462" t="b">
        <f>IF(COUNTBLANK(Master_Reference[[#This Row],[Lutron 3000K Eco Part Number]:[Lutron 4000K Eco Part Number]])=3,FALSE,TRUE)</f>
        <v>1</v>
      </c>
      <c r="U462" t="b">
        <f>IF(COUNTBLANK(Master_Reference[[#This Row],[Lutron 3000K 3W Part Number]:[Lutron 4000K 3W Part Number]])=3,FALSE,TRUE)</f>
        <v>0</v>
      </c>
      <c r="V462" s="12" t="s">
        <v>298</v>
      </c>
      <c r="W462" s="12" t="s">
        <v>299</v>
      </c>
      <c r="X462" s="12" t="s">
        <v>300</v>
      </c>
      <c r="Y462" t="s">
        <v>1733</v>
      </c>
      <c r="Z462" s="12"/>
      <c r="AA462" s="12"/>
      <c r="AB462" s="12"/>
      <c r="AC462" t="s">
        <v>2125</v>
      </c>
      <c r="AD462" t="str">
        <f>SUBSTITUTE(Master_Reference[[#This Row],[C-Flex 4000K Eco Part Number]],"40-","xx-")</f>
        <v>RP-T5HO-4FT-1L-8xx-E1-M-G2</v>
      </c>
      <c r="AE462" t="str">
        <f>SUBSTITUTE(Master_Reference[[#This Row],[C-Flex 4000K 3W Part Number]],"40-","xx-")</f>
        <v/>
      </c>
      <c r="AF462" s="1" t="str">
        <f>_xlfn.IFNA(VLOOKUP(Master_Reference[[#This Row],[C-Flex 3000K Eco Part Number]],Lutron_CFlex_Lookup[],MATCH("Lutron Kit PN",Lutron_CFlex_Lookup[#Headers],0),FALSE),"")</f>
        <v>ELD4T5H-1M30-q</v>
      </c>
      <c r="AG462" s="1" t="str">
        <f>_xlfn.IFNA(VLOOKUP(Master_Reference[[#This Row],[C-Flex 3500K Eco Part Number]],Lutron_CFlex_Lookup[],MATCH("Lutron Kit PN",Lutron_CFlex_Lookup[#Headers],0),FALSE),"")</f>
        <v>ELD4T5H-1M35-q</v>
      </c>
      <c r="AH462" s="1" t="str">
        <f>_xlfn.IFNA(VLOOKUP(Master_Reference[[#This Row],[C-Flex 4000K Eco Part Number]],Lutron_CFlex_Lookup[],MATCH("Lutron Kit PN",Lutron_CFlex_Lookup[#Headers],0),FALSE),"")</f>
        <v>ELD4T5H-1M40-q</v>
      </c>
      <c r="AI462" s="1" t="str">
        <f>_xlfn.IFNA(VLOOKUP(Master_Reference[[#This Row],[C-Flex 5000K Eco Part Number]],Lutron_CFlex_Lookup[],MATCH("Lutron Kit PN",Lutron_CFlex_Lookup[#Headers],0),FALSE),"")</f>
        <v>ELD4T5H-1M50-q</v>
      </c>
      <c r="AJ462" s="1" t="str">
        <f>_xlfn.IFNA(VLOOKUP(Master_Reference[[#This Row],[C-Flex 3000K 3W Part Number]],Lutron_CFlex_Lookup[],MATCH("Lutron Kit PN",Lutron_CFlex_Lookup[#Headers],0),FALSE),"")</f>
        <v/>
      </c>
      <c r="AK462" s="1" t="str">
        <f>_xlfn.IFNA(VLOOKUP(Master_Reference[[#This Row],[C-Flex 3500K 3W Part Number]],Lutron_CFlex_Lookup[],MATCH("Lutron Kit PN",Lutron_CFlex_Lookup[#Headers],0),FALSE),"")</f>
        <v/>
      </c>
      <c r="AL462" s="1" t="str">
        <f>_xlfn.IFNA(VLOOKUP(Master_Reference[[#This Row],[C-Flex 4000K 3W Part Number]],Lutron_CFlex_Lookup[],MATCH("Lutron Kit PN",Lutron_CFlex_Lookup[#Headers],0),FALSE),"")</f>
        <v/>
      </c>
      <c r="AM462" s="1" t="str">
        <f>_xlfn.IFNA(VLOOKUP(Master_Reference[[#This Row],[C-Flex 5000K 3W Part Number]],Lutron_CFlex_Lookup[],MATCH("Lutron Kit PN",Lutron_CFlex_Lookup[#Headers],0),FALSE),"")</f>
        <v/>
      </c>
      <c r="AN462" s="1" t="b">
        <f>NOT(ISNA(VLOOKUP(Master_Reference[[#This Row],[Model Number]],ObsoleteModels[],1,FALSE)))</f>
        <v>1</v>
      </c>
      <c r="AO462" s="1" t="str">
        <f>IF(LEFT(Master_Reference[[#This Row],[Model Number]],1)="U",LEFT(Master_Reference[[#This Row],[Model Number]],4),LEFT(Master_Reference[[#This Row],[Model Number]],3))</f>
        <v>EHD</v>
      </c>
    </row>
    <row r="463" spans="1:41" x14ac:dyDescent="0.25">
      <c r="A463" s="2" t="s">
        <v>744</v>
      </c>
      <c r="B463" s="1" t="b">
        <v>1</v>
      </c>
      <c r="G463" s="1" t="str">
        <f>IF(OR(LEFT(RIGHT(Master_Reference[[#This Row],[Model Number]],3),1)="C",LEFT(RIGHT(Master_Reference[[#This Row],[Model Number]],4),1)="C"),TRUE,"")</f>
        <v/>
      </c>
      <c r="H463" s="1" t="str">
        <f>IF(LEFT(Master_Reference[[#This Row],[Model Number]],1)="U",TRUE,"")</f>
        <v/>
      </c>
      <c r="I463" s="1" t="str">
        <f>IF(Master_Reference[[#This Row],[Lamp Type]]="T4","",IF(Master_Reference[[#This Row],[Case Type]]="M","",TRUE))</f>
        <v/>
      </c>
      <c r="J463" s="1" t="s">
        <v>297</v>
      </c>
      <c r="K463" s="1">
        <v>54</v>
      </c>
      <c r="L463" s="1" t="s">
        <v>118</v>
      </c>
      <c r="M463" s="1">
        <v>2</v>
      </c>
      <c r="N463" s="1" t="s">
        <v>149</v>
      </c>
      <c r="O463" s="1" t="s">
        <v>632</v>
      </c>
      <c r="R463" t="b">
        <f>IF(COUNTBLANK(Master_Reference[[#This Row],[C-Flex 3000K Eco Part Number]:[C-Flex 4000K Eco Part Number]])=3,FALSE,TRUE)</f>
        <v>1</v>
      </c>
      <c r="S463" t="b">
        <f>IF(COUNTBLANK(Master_Reference[[#This Row],[C-Flex 3000K 3W Part Number]:[C-Flex 4000K 3W Part Number]])=3,FALSE,TRUE)</f>
        <v>0</v>
      </c>
      <c r="T463" t="b">
        <f>IF(COUNTBLANK(Master_Reference[[#This Row],[Lutron 3000K Eco Part Number]:[Lutron 4000K Eco Part Number]])=3,FALSE,TRUE)</f>
        <v>1</v>
      </c>
      <c r="U463" t="b">
        <f>IF(COUNTBLANK(Master_Reference[[#This Row],[Lutron 3000K 3W Part Number]:[Lutron 4000K 3W Part Number]])=3,FALSE,TRUE)</f>
        <v>0</v>
      </c>
      <c r="V463" s="12" t="s">
        <v>305</v>
      </c>
      <c r="W463" s="12" t="s">
        <v>306</v>
      </c>
      <c r="X463" s="12" t="s">
        <v>307</v>
      </c>
      <c r="Y463" t="s">
        <v>1734</v>
      </c>
      <c r="Z463" s="12"/>
      <c r="AA463" s="12"/>
      <c r="AB463" s="12"/>
      <c r="AC463" t="s">
        <v>2125</v>
      </c>
      <c r="AD463" t="str">
        <f>SUBSTITUTE(Master_Reference[[#This Row],[C-Flex 4000K Eco Part Number]],"40-","xx-")</f>
        <v>RP-T5HO-4FT-2L-8xx-E1-M-G2</v>
      </c>
      <c r="AE463" t="str">
        <f>SUBSTITUTE(Master_Reference[[#This Row],[C-Flex 4000K 3W Part Number]],"40-","xx-")</f>
        <v/>
      </c>
      <c r="AF463" s="1" t="str">
        <f>_xlfn.IFNA(VLOOKUP(Master_Reference[[#This Row],[C-Flex 3000K Eco Part Number]],Lutron_CFlex_Lookup[],MATCH("Lutron Kit PN",Lutron_CFlex_Lookup[#Headers],0),FALSE),"")</f>
        <v>ELD4T5H-2M30-q</v>
      </c>
      <c r="AG463" s="1" t="str">
        <f>_xlfn.IFNA(VLOOKUP(Master_Reference[[#This Row],[C-Flex 3500K Eco Part Number]],Lutron_CFlex_Lookup[],MATCH("Lutron Kit PN",Lutron_CFlex_Lookup[#Headers],0),FALSE),"")</f>
        <v>ELD4T5H-2M35-q</v>
      </c>
      <c r="AH463" s="1" t="str">
        <f>_xlfn.IFNA(VLOOKUP(Master_Reference[[#This Row],[C-Flex 4000K Eco Part Number]],Lutron_CFlex_Lookup[],MATCH("Lutron Kit PN",Lutron_CFlex_Lookup[#Headers],0),FALSE),"")</f>
        <v>ELD4T5H-2M40-q</v>
      </c>
      <c r="AI463" s="1" t="str">
        <f>_xlfn.IFNA(VLOOKUP(Master_Reference[[#This Row],[C-Flex 5000K Eco Part Number]],Lutron_CFlex_Lookup[],MATCH("Lutron Kit PN",Lutron_CFlex_Lookup[#Headers],0),FALSE),"")</f>
        <v>ELD4T5H-2M50-q</v>
      </c>
      <c r="AJ463" s="1" t="str">
        <f>_xlfn.IFNA(VLOOKUP(Master_Reference[[#This Row],[C-Flex 3000K 3W Part Number]],Lutron_CFlex_Lookup[],MATCH("Lutron Kit PN",Lutron_CFlex_Lookup[#Headers],0),FALSE),"")</f>
        <v/>
      </c>
      <c r="AK463" s="1" t="str">
        <f>_xlfn.IFNA(VLOOKUP(Master_Reference[[#This Row],[C-Flex 3500K 3W Part Number]],Lutron_CFlex_Lookup[],MATCH("Lutron Kit PN",Lutron_CFlex_Lookup[#Headers],0),FALSE),"")</f>
        <v/>
      </c>
      <c r="AL463" s="1" t="str">
        <f>_xlfn.IFNA(VLOOKUP(Master_Reference[[#This Row],[C-Flex 4000K 3W Part Number]],Lutron_CFlex_Lookup[],MATCH("Lutron Kit PN",Lutron_CFlex_Lookup[#Headers],0),FALSE),"")</f>
        <v/>
      </c>
      <c r="AM463" s="1" t="str">
        <f>_xlfn.IFNA(VLOOKUP(Master_Reference[[#This Row],[C-Flex 5000K 3W Part Number]],Lutron_CFlex_Lookup[],MATCH("Lutron Kit PN",Lutron_CFlex_Lookup[#Headers],0),FALSE),"")</f>
        <v/>
      </c>
      <c r="AN463" s="1" t="b">
        <f>NOT(ISNA(VLOOKUP(Master_Reference[[#This Row],[Model Number]],ObsoleteModels[],1,FALSE)))</f>
        <v>1</v>
      </c>
      <c r="AO463" s="1" t="str">
        <f>IF(LEFT(Master_Reference[[#This Row],[Model Number]],1)="U",LEFT(Master_Reference[[#This Row],[Model Number]],4),LEFT(Master_Reference[[#This Row],[Model Number]],3))</f>
        <v>EHD</v>
      </c>
    </row>
    <row r="464" spans="1:41" x14ac:dyDescent="0.25">
      <c r="A464" s="2" t="s">
        <v>745</v>
      </c>
      <c r="B464" s="1" t="b">
        <v>1</v>
      </c>
      <c r="G464" s="1" t="str">
        <f>IF(OR(LEFT(RIGHT(Master_Reference[[#This Row],[Model Number]],3),1)="C",LEFT(RIGHT(Master_Reference[[#This Row],[Model Number]],4),1)="C"),TRUE,"")</f>
        <v/>
      </c>
      <c r="H464" s="1" t="str">
        <f>IF(LEFT(Master_Reference[[#This Row],[Model Number]],1)="U",TRUE,"")</f>
        <v/>
      </c>
      <c r="I464" s="1" t="str">
        <f>IF(Master_Reference[[#This Row],[Lamp Type]]="T4","",IF(Master_Reference[[#This Row],[Case Type]]="M","",TRUE))</f>
        <v/>
      </c>
      <c r="J464" s="1" t="s">
        <v>297</v>
      </c>
      <c r="K464" s="1">
        <v>54</v>
      </c>
      <c r="L464" s="1" t="s">
        <v>118</v>
      </c>
      <c r="M464" s="1">
        <v>2</v>
      </c>
      <c r="N464" s="1" t="s">
        <v>149</v>
      </c>
      <c r="O464" s="1" t="s">
        <v>632</v>
      </c>
      <c r="Q464" s="1" t="s">
        <v>91</v>
      </c>
      <c r="R464" t="b">
        <f>IF(COUNTBLANK(Master_Reference[[#This Row],[C-Flex 3000K Eco Part Number]:[C-Flex 4000K Eco Part Number]])=3,FALSE,TRUE)</f>
        <v>0</v>
      </c>
      <c r="S464" t="b">
        <f>IF(COUNTBLANK(Master_Reference[[#This Row],[C-Flex 3000K 3W Part Number]:[C-Flex 4000K 3W Part Number]])=3,FALSE,TRUE)</f>
        <v>0</v>
      </c>
      <c r="T464" t="b">
        <f>IF(COUNTBLANK(Master_Reference[[#This Row],[Lutron 3000K Eco Part Number]:[Lutron 4000K Eco Part Number]])=3,FALSE,TRUE)</f>
        <v>0</v>
      </c>
      <c r="U464" t="b">
        <f>IF(COUNTBLANK(Master_Reference[[#This Row],[Lutron 3000K 3W Part Number]:[Lutron 4000K 3W Part Number]])=3,FALSE,TRUE)</f>
        <v>0</v>
      </c>
      <c r="V464" s="12"/>
      <c r="W464" s="12"/>
      <c r="X464" s="12"/>
      <c r="Y464" t="s">
        <v>2125</v>
      </c>
      <c r="Z464" s="12"/>
      <c r="AA464" s="12"/>
      <c r="AB464" s="12"/>
      <c r="AC464" t="s">
        <v>2125</v>
      </c>
      <c r="AD464" t="str">
        <f>SUBSTITUTE(Master_Reference[[#This Row],[C-Flex 4000K Eco Part Number]],"40-","xx-")</f>
        <v/>
      </c>
      <c r="AE464" t="str">
        <f>SUBSTITUTE(Master_Reference[[#This Row],[C-Flex 4000K 3W Part Number]],"40-","xx-")</f>
        <v/>
      </c>
      <c r="AF464" s="1" t="str">
        <f>_xlfn.IFNA(VLOOKUP(Master_Reference[[#This Row],[C-Flex 3000K Eco Part Number]],Lutron_CFlex_Lookup[],MATCH("Lutron Kit PN",Lutron_CFlex_Lookup[#Headers],0),FALSE),"")</f>
        <v/>
      </c>
      <c r="AG464" s="1" t="str">
        <f>_xlfn.IFNA(VLOOKUP(Master_Reference[[#This Row],[C-Flex 3500K Eco Part Number]],Lutron_CFlex_Lookup[],MATCH("Lutron Kit PN",Lutron_CFlex_Lookup[#Headers],0),FALSE),"")</f>
        <v/>
      </c>
      <c r="AH464" s="1" t="str">
        <f>_xlfn.IFNA(VLOOKUP(Master_Reference[[#This Row],[C-Flex 4000K Eco Part Number]],Lutron_CFlex_Lookup[],MATCH("Lutron Kit PN",Lutron_CFlex_Lookup[#Headers],0),FALSE),"")</f>
        <v/>
      </c>
      <c r="AI464" s="1" t="str">
        <f>_xlfn.IFNA(VLOOKUP(Master_Reference[[#This Row],[C-Flex 5000K Eco Part Number]],Lutron_CFlex_Lookup[],MATCH("Lutron Kit PN",Lutron_CFlex_Lookup[#Headers],0),FALSE),"")</f>
        <v/>
      </c>
      <c r="AJ464" s="1" t="str">
        <f>_xlfn.IFNA(VLOOKUP(Master_Reference[[#This Row],[C-Flex 3000K 3W Part Number]],Lutron_CFlex_Lookup[],MATCH("Lutron Kit PN",Lutron_CFlex_Lookup[#Headers],0),FALSE),"")</f>
        <v/>
      </c>
      <c r="AK464" s="1" t="str">
        <f>_xlfn.IFNA(VLOOKUP(Master_Reference[[#This Row],[C-Flex 3500K 3W Part Number]],Lutron_CFlex_Lookup[],MATCH("Lutron Kit PN",Lutron_CFlex_Lookup[#Headers],0),FALSE),"")</f>
        <v/>
      </c>
      <c r="AL464" s="1" t="str">
        <f>_xlfn.IFNA(VLOOKUP(Master_Reference[[#This Row],[C-Flex 4000K 3W Part Number]],Lutron_CFlex_Lookup[],MATCH("Lutron Kit PN",Lutron_CFlex_Lookup[#Headers],0),FALSE),"")</f>
        <v/>
      </c>
      <c r="AM464" s="1" t="str">
        <f>_xlfn.IFNA(VLOOKUP(Master_Reference[[#This Row],[C-Flex 5000K 3W Part Number]],Lutron_CFlex_Lookup[],MATCH("Lutron Kit PN",Lutron_CFlex_Lookup[#Headers],0),FALSE),"")</f>
        <v/>
      </c>
      <c r="AN464" s="1" t="b">
        <f>NOT(ISNA(VLOOKUP(Master_Reference[[#This Row],[Model Number]],ObsoleteModels[],1,FALSE)))</f>
        <v>1</v>
      </c>
      <c r="AO464" s="1" t="str">
        <f>IF(LEFT(Master_Reference[[#This Row],[Model Number]],1)="U",LEFT(Master_Reference[[#This Row],[Model Number]],4),LEFT(Master_Reference[[#This Row],[Model Number]],3))</f>
        <v>EHD</v>
      </c>
    </row>
    <row r="465" spans="1:41" x14ac:dyDescent="0.25">
      <c r="A465" s="2" t="s">
        <v>746</v>
      </c>
      <c r="B465" s="1" t="b">
        <v>1</v>
      </c>
      <c r="G465" s="1" t="b">
        <f>IF(OR(LEFT(RIGHT(Master_Reference[[#This Row],[Model Number]],3),1)="C",LEFT(RIGHT(Master_Reference[[#This Row],[Model Number]],4),1)="C"),TRUE,"")</f>
        <v>1</v>
      </c>
      <c r="H465" s="1" t="str">
        <f>IF(LEFT(Master_Reference[[#This Row],[Model Number]],1)="U",TRUE,"")</f>
        <v/>
      </c>
      <c r="I465" s="1" t="str">
        <f>IF(Master_Reference[[#This Row],[Lamp Type]]="T4","",IF(Master_Reference[[#This Row],[Case Type]]="M","",TRUE))</f>
        <v/>
      </c>
      <c r="J465" s="1" t="s">
        <v>297</v>
      </c>
      <c r="K465" s="1">
        <v>54</v>
      </c>
      <c r="L465" s="1" t="s">
        <v>118</v>
      </c>
      <c r="M465" s="1">
        <v>2</v>
      </c>
      <c r="N465" s="1" t="s">
        <v>149</v>
      </c>
      <c r="O465" s="1" t="s">
        <v>632</v>
      </c>
      <c r="R465" t="b">
        <f>IF(COUNTBLANK(Master_Reference[[#This Row],[C-Flex 3000K Eco Part Number]:[C-Flex 4000K Eco Part Number]])=3,FALSE,TRUE)</f>
        <v>1</v>
      </c>
      <c r="S465" t="b">
        <f>IF(COUNTBLANK(Master_Reference[[#This Row],[C-Flex 3000K 3W Part Number]:[C-Flex 4000K 3W Part Number]])=3,FALSE,TRUE)</f>
        <v>0</v>
      </c>
      <c r="T465" t="b">
        <f>IF(COUNTBLANK(Master_Reference[[#This Row],[Lutron 3000K Eco Part Number]:[Lutron 4000K Eco Part Number]])=3,FALSE,TRUE)</f>
        <v>1</v>
      </c>
      <c r="U465" t="b">
        <f>IF(COUNTBLANK(Master_Reference[[#This Row],[Lutron 3000K 3W Part Number]:[Lutron 4000K 3W Part Number]])=3,FALSE,TRUE)</f>
        <v>0</v>
      </c>
      <c r="V465" s="12" t="s">
        <v>305</v>
      </c>
      <c r="W465" s="12" t="s">
        <v>306</v>
      </c>
      <c r="X465" s="12" t="s">
        <v>307</v>
      </c>
      <c r="Y465" t="s">
        <v>1734</v>
      </c>
      <c r="Z465" s="12"/>
      <c r="AA465" s="12"/>
      <c r="AB465" s="12"/>
      <c r="AC465" t="s">
        <v>2125</v>
      </c>
      <c r="AD465" t="str">
        <f>SUBSTITUTE(Master_Reference[[#This Row],[C-Flex 4000K Eco Part Number]],"40-","xx-")</f>
        <v>RP-T5HO-4FT-2L-8xx-E1-M-G2</v>
      </c>
      <c r="AE465" t="str">
        <f>SUBSTITUTE(Master_Reference[[#This Row],[C-Flex 4000K 3W Part Number]],"40-","xx-")</f>
        <v/>
      </c>
      <c r="AF465" s="1" t="str">
        <f>_xlfn.IFNA(VLOOKUP(Master_Reference[[#This Row],[C-Flex 3000K Eco Part Number]],Lutron_CFlex_Lookup[],MATCH("Lutron Kit PN",Lutron_CFlex_Lookup[#Headers],0),FALSE),"")</f>
        <v>ELD4T5H-2M30-q</v>
      </c>
      <c r="AG465" s="1" t="str">
        <f>_xlfn.IFNA(VLOOKUP(Master_Reference[[#This Row],[C-Flex 3500K Eco Part Number]],Lutron_CFlex_Lookup[],MATCH("Lutron Kit PN",Lutron_CFlex_Lookup[#Headers],0),FALSE),"")</f>
        <v>ELD4T5H-2M35-q</v>
      </c>
      <c r="AH465" s="1" t="str">
        <f>_xlfn.IFNA(VLOOKUP(Master_Reference[[#This Row],[C-Flex 4000K Eco Part Number]],Lutron_CFlex_Lookup[],MATCH("Lutron Kit PN",Lutron_CFlex_Lookup[#Headers],0),FALSE),"")</f>
        <v>ELD4T5H-2M40-q</v>
      </c>
      <c r="AI465" s="1" t="str">
        <f>_xlfn.IFNA(VLOOKUP(Master_Reference[[#This Row],[C-Flex 5000K Eco Part Number]],Lutron_CFlex_Lookup[],MATCH("Lutron Kit PN",Lutron_CFlex_Lookup[#Headers],0),FALSE),"")</f>
        <v>ELD4T5H-2M50-q</v>
      </c>
      <c r="AJ465" s="1" t="str">
        <f>_xlfn.IFNA(VLOOKUP(Master_Reference[[#This Row],[C-Flex 3000K 3W Part Number]],Lutron_CFlex_Lookup[],MATCH("Lutron Kit PN",Lutron_CFlex_Lookup[#Headers],0),FALSE),"")</f>
        <v/>
      </c>
      <c r="AK465" s="1" t="str">
        <f>_xlfn.IFNA(VLOOKUP(Master_Reference[[#This Row],[C-Flex 3500K 3W Part Number]],Lutron_CFlex_Lookup[],MATCH("Lutron Kit PN",Lutron_CFlex_Lookup[#Headers],0),FALSE),"")</f>
        <v/>
      </c>
      <c r="AL465" s="1" t="str">
        <f>_xlfn.IFNA(VLOOKUP(Master_Reference[[#This Row],[C-Flex 4000K 3W Part Number]],Lutron_CFlex_Lookup[],MATCH("Lutron Kit PN",Lutron_CFlex_Lookup[#Headers],0),FALSE),"")</f>
        <v/>
      </c>
      <c r="AM465" s="1" t="str">
        <f>_xlfn.IFNA(VLOOKUP(Master_Reference[[#This Row],[C-Flex 5000K 3W Part Number]],Lutron_CFlex_Lookup[],MATCH("Lutron Kit PN",Lutron_CFlex_Lookup[#Headers],0),FALSE),"")</f>
        <v/>
      </c>
      <c r="AN465" s="1" t="b">
        <f>NOT(ISNA(VLOOKUP(Master_Reference[[#This Row],[Model Number]],ObsoleteModels[],1,FALSE)))</f>
        <v>1</v>
      </c>
      <c r="AO465" s="1" t="str">
        <f>IF(LEFT(Master_Reference[[#This Row],[Model Number]],1)="U",LEFT(Master_Reference[[#This Row],[Model Number]],4),LEFT(Master_Reference[[#This Row],[Model Number]],3))</f>
        <v>EHD</v>
      </c>
    </row>
    <row r="466" spans="1:41" x14ac:dyDescent="0.25">
      <c r="A466" s="2" t="s">
        <v>747</v>
      </c>
      <c r="B466" s="1" t="b">
        <v>1</v>
      </c>
      <c r="G466" s="1" t="b">
        <f>IF(OR(LEFT(RIGHT(Master_Reference[[#This Row],[Model Number]],3),1)="C",LEFT(RIGHT(Master_Reference[[#This Row],[Model Number]],4),1)="C"),TRUE,"")</f>
        <v>1</v>
      </c>
      <c r="H466" s="1" t="str">
        <f>IF(LEFT(Master_Reference[[#This Row],[Model Number]],1)="U",TRUE,"")</f>
        <v/>
      </c>
      <c r="I466" s="1" t="str">
        <f>IF(Master_Reference[[#This Row],[Lamp Type]]="T4","",IF(Master_Reference[[#This Row],[Case Type]]="M","",TRUE))</f>
        <v/>
      </c>
      <c r="J466" s="1" t="s">
        <v>297</v>
      </c>
      <c r="K466" s="1">
        <v>54</v>
      </c>
      <c r="L466" s="1" t="s">
        <v>118</v>
      </c>
      <c r="M466" s="1">
        <v>2</v>
      </c>
      <c r="N466" s="1" t="s">
        <v>149</v>
      </c>
      <c r="O466" s="1" t="s">
        <v>632</v>
      </c>
      <c r="R466" t="b">
        <f>IF(COUNTBLANK(Master_Reference[[#This Row],[C-Flex 3000K Eco Part Number]:[C-Flex 4000K Eco Part Number]])=3,FALSE,TRUE)</f>
        <v>1</v>
      </c>
      <c r="S466" t="b">
        <f>IF(COUNTBLANK(Master_Reference[[#This Row],[C-Flex 3000K 3W Part Number]:[C-Flex 4000K 3W Part Number]])=3,FALSE,TRUE)</f>
        <v>0</v>
      </c>
      <c r="T466" t="b">
        <f>IF(COUNTBLANK(Master_Reference[[#This Row],[Lutron 3000K Eco Part Number]:[Lutron 4000K Eco Part Number]])=3,FALSE,TRUE)</f>
        <v>1</v>
      </c>
      <c r="U466" t="b">
        <f>IF(COUNTBLANK(Master_Reference[[#This Row],[Lutron 3000K 3W Part Number]:[Lutron 4000K 3W Part Number]])=3,FALSE,TRUE)</f>
        <v>0</v>
      </c>
      <c r="V466" s="12" t="s">
        <v>305</v>
      </c>
      <c r="W466" s="12" t="s">
        <v>306</v>
      </c>
      <c r="X466" s="12" t="s">
        <v>307</v>
      </c>
      <c r="Y466" t="s">
        <v>1734</v>
      </c>
      <c r="Z466" s="12"/>
      <c r="AA466" s="12"/>
      <c r="AB466" s="12"/>
      <c r="AC466" t="s">
        <v>2125</v>
      </c>
      <c r="AD466" t="str">
        <f>SUBSTITUTE(Master_Reference[[#This Row],[C-Flex 4000K Eco Part Number]],"40-","xx-")</f>
        <v>RP-T5HO-4FT-2L-8xx-E1-M-G2</v>
      </c>
      <c r="AE466" t="str">
        <f>SUBSTITUTE(Master_Reference[[#This Row],[C-Flex 4000K 3W Part Number]],"40-","xx-")</f>
        <v/>
      </c>
      <c r="AF466" s="1" t="str">
        <f>_xlfn.IFNA(VLOOKUP(Master_Reference[[#This Row],[C-Flex 3000K Eco Part Number]],Lutron_CFlex_Lookup[],MATCH("Lutron Kit PN",Lutron_CFlex_Lookup[#Headers],0),FALSE),"")</f>
        <v>ELD4T5H-2M30-q</v>
      </c>
      <c r="AG466" s="1" t="str">
        <f>_xlfn.IFNA(VLOOKUP(Master_Reference[[#This Row],[C-Flex 3500K Eco Part Number]],Lutron_CFlex_Lookup[],MATCH("Lutron Kit PN",Lutron_CFlex_Lookup[#Headers],0),FALSE),"")</f>
        <v>ELD4T5H-2M35-q</v>
      </c>
      <c r="AH466" s="1" t="str">
        <f>_xlfn.IFNA(VLOOKUP(Master_Reference[[#This Row],[C-Flex 4000K Eco Part Number]],Lutron_CFlex_Lookup[],MATCH("Lutron Kit PN",Lutron_CFlex_Lookup[#Headers],0),FALSE),"")</f>
        <v>ELD4T5H-2M40-q</v>
      </c>
      <c r="AI466" s="1" t="str">
        <f>_xlfn.IFNA(VLOOKUP(Master_Reference[[#This Row],[C-Flex 5000K Eco Part Number]],Lutron_CFlex_Lookup[],MATCH("Lutron Kit PN",Lutron_CFlex_Lookup[#Headers],0),FALSE),"")</f>
        <v>ELD4T5H-2M50-q</v>
      </c>
      <c r="AJ466" s="1" t="str">
        <f>_xlfn.IFNA(VLOOKUP(Master_Reference[[#This Row],[C-Flex 3000K 3W Part Number]],Lutron_CFlex_Lookup[],MATCH("Lutron Kit PN",Lutron_CFlex_Lookup[#Headers],0),FALSE),"")</f>
        <v/>
      </c>
      <c r="AK466" s="1" t="str">
        <f>_xlfn.IFNA(VLOOKUP(Master_Reference[[#This Row],[C-Flex 3500K 3W Part Number]],Lutron_CFlex_Lookup[],MATCH("Lutron Kit PN",Lutron_CFlex_Lookup[#Headers],0),FALSE),"")</f>
        <v/>
      </c>
      <c r="AL466" s="1" t="str">
        <f>_xlfn.IFNA(VLOOKUP(Master_Reference[[#This Row],[C-Flex 4000K 3W Part Number]],Lutron_CFlex_Lookup[],MATCH("Lutron Kit PN",Lutron_CFlex_Lookup[#Headers],0),FALSE),"")</f>
        <v/>
      </c>
      <c r="AM466" s="1" t="str">
        <f>_xlfn.IFNA(VLOOKUP(Master_Reference[[#This Row],[C-Flex 5000K 3W Part Number]],Lutron_CFlex_Lookup[],MATCH("Lutron Kit PN",Lutron_CFlex_Lookup[#Headers],0),FALSE),"")</f>
        <v/>
      </c>
      <c r="AN466" s="1" t="b">
        <f>NOT(ISNA(VLOOKUP(Master_Reference[[#This Row],[Model Number]],ObsoleteModels[],1,FALSE)))</f>
        <v>1</v>
      </c>
      <c r="AO466" s="1" t="str">
        <f>IF(LEFT(Master_Reference[[#This Row],[Model Number]],1)="U",LEFT(Master_Reference[[#This Row],[Model Number]],4),LEFT(Master_Reference[[#This Row],[Model Number]],3))</f>
        <v>EHD</v>
      </c>
    </row>
    <row r="467" spans="1:41" x14ac:dyDescent="0.25">
      <c r="A467" s="2" t="s">
        <v>748</v>
      </c>
      <c r="B467" s="1" t="b">
        <v>1</v>
      </c>
      <c r="G467" s="1" t="b">
        <f>IF(OR(LEFT(RIGHT(Master_Reference[[#This Row],[Model Number]],3),1)="C",LEFT(RIGHT(Master_Reference[[#This Row],[Model Number]],4),1)="C"),TRUE,"")</f>
        <v>1</v>
      </c>
      <c r="H467" s="1" t="str">
        <f>IF(LEFT(Master_Reference[[#This Row],[Model Number]],1)="U",TRUE,"")</f>
        <v/>
      </c>
      <c r="I467" s="1" t="str">
        <f>IF(Master_Reference[[#This Row],[Lamp Type]]="T4","",IF(Master_Reference[[#This Row],[Case Type]]="M","",TRUE))</f>
        <v/>
      </c>
      <c r="J467" s="1" t="s">
        <v>297</v>
      </c>
      <c r="K467" s="1">
        <v>54</v>
      </c>
      <c r="L467" s="1" t="s">
        <v>118</v>
      </c>
      <c r="M467" s="1">
        <v>2</v>
      </c>
      <c r="N467" s="1" t="s">
        <v>149</v>
      </c>
      <c r="O467" s="1" t="s">
        <v>632</v>
      </c>
      <c r="R467" t="b">
        <f>IF(COUNTBLANK(Master_Reference[[#This Row],[C-Flex 3000K Eco Part Number]:[C-Flex 4000K Eco Part Number]])=3,FALSE,TRUE)</f>
        <v>1</v>
      </c>
      <c r="S467" t="b">
        <f>IF(COUNTBLANK(Master_Reference[[#This Row],[C-Flex 3000K 3W Part Number]:[C-Flex 4000K 3W Part Number]])=3,FALSE,TRUE)</f>
        <v>0</v>
      </c>
      <c r="T467" t="b">
        <f>IF(COUNTBLANK(Master_Reference[[#This Row],[Lutron 3000K Eco Part Number]:[Lutron 4000K Eco Part Number]])=3,FALSE,TRUE)</f>
        <v>1</v>
      </c>
      <c r="U467" t="b">
        <f>IF(COUNTBLANK(Master_Reference[[#This Row],[Lutron 3000K 3W Part Number]:[Lutron 4000K 3W Part Number]])=3,FALSE,TRUE)</f>
        <v>0</v>
      </c>
      <c r="V467" s="12" t="s">
        <v>305</v>
      </c>
      <c r="W467" s="12" t="s">
        <v>306</v>
      </c>
      <c r="X467" s="12" t="s">
        <v>307</v>
      </c>
      <c r="Y467" t="s">
        <v>1734</v>
      </c>
      <c r="Z467" s="12"/>
      <c r="AA467" s="12"/>
      <c r="AB467" s="12"/>
      <c r="AC467" t="s">
        <v>2125</v>
      </c>
      <c r="AD467" t="str">
        <f>SUBSTITUTE(Master_Reference[[#This Row],[C-Flex 4000K Eco Part Number]],"40-","xx-")</f>
        <v>RP-T5HO-4FT-2L-8xx-E1-M-G2</v>
      </c>
      <c r="AE467" t="str">
        <f>SUBSTITUTE(Master_Reference[[#This Row],[C-Flex 4000K 3W Part Number]],"40-","xx-")</f>
        <v/>
      </c>
      <c r="AF467" s="1" t="str">
        <f>_xlfn.IFNA(VLOOKUP(Master_Reference[[#This Row],[C-Flex 3000K Eco Part Number]],Lutron_CFlex_Lookup[],MATCH("Lutron Kit PN",Lutron_CFlex_Lookup[#Headers],0),FALSE),"")</f>
        <v>ELD4T5H-2M30-q</v>
      </c>
      <c r="AG467" s="1" t="str">
        <f>_xlfn.IFNA(VLOOKUP(Master_Reference[[#This Row],[C-Flex 3500K Eco Part Number]],Lutron_CFlex_Lookup[],MATCH("Lutron Kit PN",Lutron_CFlex_Lookup[#Headers],0),FALSE),"")</f>
        <v>ELD4T5H-2M35-q</v>
      </c>
      <c r="AH467" s="1" t="str">
        <f>_xlfn.IFNA(VLOOKUP(Master_Reference[[#This Row],[C-Flex 4000K Eco Part Number]],Lutron_CFlex_Lookup[],MATCH("Lutron Kit PN",Lutron_CFlex_Lookup[#Headers],0),FALSE),"")</f>
        <v>ELD4T5H-2M40-q</v>
      </c>
      <c r="AI467" s="1" t="str">
        <f>_xlfn.IFNA(VLOOKUP(Master_Reference[[#This Row],[C-Flex 5000K Eco Part Number]],Lutron_CFlex_Lookup[],MATCH("Lutron Kit PN",Lutron_CFlex_Lookup[#Headers],0),FALSE),"")</f>
        <v>ELD4T5H-2M50-q</v>
      </c>
      <c r="AJ467" s="1" t="str">
        <f>_xlfn.IFNA(VLOOKUP(Master_Reference[[#This Row],[C-Flex 3000K 3W Part Number]],Lutron_CFlex_Lookup[],MATCH("Lutron Kit PN",Lutron_CFlex_Lookup[#Headers],0),FALSE),"")</f>
        <v/>
      </c>
      <c r="AK467" s="1" t="str">
        <f>_xlfn.IFNA(VLOOKUP(Master_Reference[[#This Row],[C-Flex 3500K 3W Part Number]],Lutron_CFlex_Lookup[],MATCH("Lutron Kit PN",Lutron_CFlex_Lookup[#Headers],0),FALSE),"")</f>
        <v/>
      </c>
      <c r="AL467" s="1" t="str">
        <f>_xlfn.IFNA(VLOOKUP(Master_Reference[[#This Row],[C-Flex 4000K 3W Part Number]],Lutron_CFlex_Lookup[],MATCH("Lutron Kit PN",Lutron_CFlex_Lookup[#Headers],0),FALSE),"")</f>
        <v/>
      </c>
      <c r="AM467" s="1" t="str">
        <f>_xlfn.IFNA(VLOOKUP(Master_Reference[[#This Row],[C-Flex 5000K 3W Part Number]],Lutron_CFlex_Lookup[],MATCH("Lutron Kit PN",Lutron_CFlex_Lookup[#Headers],0),FALSE),"")</f>
        <v/>
      </c>
      <c r="AN467" s="1" t="b">
        <f>NOT(ISNA(VLOOKUP(Master_Reference[[#This Row],[Model Number]],ObsoleteModels[],1,FALSE)))</f>
        <v>1</v>
      </c>
      <c r="AO467" s="1" t="str">
        <f>IF(LEFT(Master_Reference[[#This Row],[Model Number]],1)="U",LEFT(Master_Reference[[#This Row],[Model Number]],4),LEFT(Master_Reference[[#This Row],[Model Number]],3))</f>
        <v>EHD</v>
      </c>
    </row>
    <row r="468" spans="1:41" x14ac:dyDescent="0.25">
      <c r="A468" s="2" t="s">
        <v>749</v>
      </c>
      <c r="B468" s="1" t="b">
        <v>1</v>
      </c>
      <c r="G468" s="1" t="b">
        <f>IF(OR(LEFT(RIGHT(Master_Reference[[#This Row],[Model Number]],3),1)="C",LEFT(RIGHT(Master_Reference[[#This Row],[Model Number]],4),1)="C"),TRUE,"")</f>
        <v>1</v>
      </c>
      <c r="H468" s="1" t="str">
        <f>IF(LEFT(Master_Reference[[#This Row],[Model Number]],1)="U",TRUE,"")</f>
        <v/>
      </c>
      <c r="I468" s="1" t="str">
        <f>IF(Master_Reference[[#This Row],[Lamp Type]]="T4","",IF(Master_Reference[[#This Row],[Case Type]]="M","",TRUE))</f>
        <v/>
      </c>
      <c r="J468" s="1" t="s">
        <v>297</v>
      </c>
      <c r="K468" s="1">
        <v>54</v>
      </c>
      <c r="L468" s="1" t="s">
        <v>118</v>
      </c>
      <c r="M468" s="1">
        <v>2</v>
      </c>
      <c r="N468" s="1" t="s">
        <v>149</v>
      </c>
      <c r="O468" s="1" t="s">
        <v>632</v>
      </c>
      <c r="R468" t="b">
        <f>IF(COUNTBLANK(Master_Reference[[#This Row],[C-Flex 3000K Eco Part Number]:[C-Flex 4000K Eco Part Number]])=3,FALSE,TRUE)</f>
        <v>1</v>
      </c>
      <c r="S468" t="b">
        <f>IF(COUNTBLANK(Master_Reference[[#This Row],[C-Flex 3000K 3W Part Number]:[C-Flex 4000K 3W Part Number]])=3,FALSE,TRUE)</f>
        <v>0</v>
      </c>
      <c r="T468" t="b">
        <f>IF(COUNTBLANK(Master_Reference[[#This Row],[Lutron 3000K Eco Part Number]:[Lutron 4000K Eco Part Number]])=3,FALSE,TRUE)</f>
        <v>1</v>
      </c>
      <c r="U468" t="b">
        <f>IF(COUNTBLANK(Master_Reference[[#This Row],[Lutron 3000K 3W Part Number]:[Lutron 4000K 3W Part Number]])=3,FALSE,TRUE)</f>
        <v>0</v>
      </c>
      <c r="V468" s="12" t="s">
        <v>305</v>
      </c>
      <c r="W468" s="12" t="s">
        <v>306</v>
      </c>
      <c r="X468" s="12" t="s">
        <v>307</v>
      </c>
      <c r="Y468" t="s">
        <v>1734</v>
      </c>
      <c r="Z468" s="12"/>
      <c r="AA468" s="12"/>
      <c r="AB468" s="12"/>
      <c r="AC468" t="s">
        <v>2125</v>
      </c>
      <c r="AD468" t="str">
        <f>SUBSTITUTE(Master_Reference[[#This Row],[C-Flex 4000K Eco Part Number]],"40-","xx-")</f>
        <v>RP-T5HO-4FT-2L-8xx-E1-M-G2</v>
      </c>
      <c r="AE468" t="str">
        <f>SUBSTITUTE(Master_Reference[[#This Row],[C-Flex 4000K 3W Part Number]],"40-","xx-")</f>
        <v/>
      </c>
      <c r="AF468" s="1" t="str">
        <f>_xlfn.IFNA(VLOOKUP(Master_Reference[[#This Row],[C-Flex 3000K Eco Part Number]],Lutron_CFlex_Lookup[],MATCH("Lutron Kit PN",Lutron_CFlex_Lookup[#Headers],0),FALSE),"")</f>
        <v>ELD4T5H-2M30-q</v>
      </c>
      <c r="AG468" s="1" t="str">
        <f>_xlfn.IFNA(VLOOKUP(Master_Reference[[#This Row],[C-Flex 3500K Eco Part Number]],Lutron_CFlex_Lookup[],MATCH("Lutron Kit PN",Lutron_CFlex_Lookup[#Headers],0),FALSE),"")</f>
        <v>ELD4T5H-2M35-q</v>
      </c>
      <c r="AH468" s="1" t="str">
        <f>_xlfn.IFNA(VLOOKUP(Master_Reference[[#This Row],[C-Flex 4000K Eco Part Number]],Lutron_CFlex_Lookup[],MATCH("Lutron Kit PN",Lutron_CFlex_Lookup[#Headers],0),FALSE),"")</f>
        <v>ELD4T5H-2M40-q</v>
      </c>
      <c r="AI468" s="1" t="str">
        <f>_xlfn.IFNA(VLOOKUP(Master_Reference[[#This Row],[C-Flex 5000K Eco Part Number]],Lutron_CFlex_Lookup[],MATCH("Lutron Kit PN",Lutron_CFlex_Lookup[#Headers],0),FALSE),"")</f>
        <v>ELD4T5H-2M50-q</v>
      </c>
      <c r="AJ468" s="1" t="str">
        <f>_xlfn.IFNA(VLOOKUP(Master_Reference[[#This Row],[C-Flex 3000K 3W Part Number]],Lutron_CFlex_Lookup[],MATCH("Lutron Kit PN",Lutron_CFlex_Lookup[#Headers],0),FALSE),"")</f>
        <v/>
      </c>
      <c r="AK468" s="1" t="str">
        <f>_xlfn.IFNA(VLOOKUP(Master_Reference[[#This Row],[C-Flex 3500K 3W Part Number]],Lutron_CFlex_Lookup[],MATCH("Lutron Kit PN",Lutron_CFlex_Lookup[#Headers],0),FALSE),"")</f>
        <v/>
      </c>
      <c r="AL468" s="1" t="str">
        <f>_xlfn.IFNA(VLOOKUP(Master_Reference[[#This Row],[C-Flex 4000K 3W Part Number]],Lutron_CFlex_Lookup[],MATCH("Lutron Kit PN",Lutron_CFlex_Lookup[#Headers],0),FALSE),"")</f>
        <v/>
      </c>
      <c r="AM468" s="1" t="str">
        <f>_xlfn.IFNA(VLOOKUP(Master_Reference[[#This Row],[C-Flex 5000K 3W Part Number]],Lutron_CFlex_Lookup[],MATCH("Lutron Kit PN",Lutron_CFlex_Lookup[#Headers],0),FALSE),"")</f>
        <v/>
      </c>
      <c r="AN468" s="1" t="b">
        <f>NOT(ISNA(VLOOKUP(Master_Reference[[#This Row],[Model Number]],ObsoleteModels[],1,FALSE)))</f>
        <v>1</v>
      </c>
      <c r="AO468" s="1" t="str">
        <f>IF(LEFT(Master_Reference[[#This Row],[Model Number]],1)="U",LEFT(Master_Reference[[#This Row],[Model Number]],4),LEFT(Master_Reference[[#This Row],[Model Number]],3))</f>
        <v>EHD</v>
      </c>
    </row>
    <row r="469" spans="1:41" x14ac:dyDescent="0.25">
      <c r="A469" s="2" t="s">
        <v>750</v>
      </c>
      <c r="B469" s="1" t="b">
        <v>1</v>
      </c>
      <c r="G469" s="1" t="str">
        <f>IF(OR(LEFT(RIGHT(Master_Reference[[#This Row],[Model Number]],3),1)="C",LEFT(RIGHT(Master_Reference[[#This Row],[Model Number]],4),1)="C"),TRUE,"")</f>
        <v/>
      </c>
      <c r="H469" s="1" t="str">
        <f>IF(LEFT(Master_Reference[[#This Row],[Model Number]],1)="U",TRUE,"")</f>
        <v/>
      </c>
      <c r="I469" s="1" t="str">
        <f>IF(Master_Reference[[#This Row],[Lamp Type]]="T4","",IF(Master_Reference[[#This Row],[Case Type]]="M","",TRUE))</f>
        <v/>
      </c>
      <c r="J469" s="1" t="str">
        <f t="shared" ref="J469:J492" si="7">RIGHT(LEFT(A469,5),2)</f>
        <v>T8</v>
      </c>
      <c r="K469" s="1">
        <v>17</v>
      </c>
      <c r="L469" s="1" t="s">
        <v>112</v>
      </c>
      <c r="M469" s="1">
        <v>1</v>
      </c>
      <c r="N469" s="1" t="s">
        <v>149</v>
      </c>
      <c r="O469" s="1" t="s">
        <v>632</v>
      </c>
      <c r="R469" t="b">
        <f>IF(COUNTBLANK(Master_Reference[[#This Row],[C-Flex 3000K Eco Part Number]:[C-Flex 4000K Eco Part Number]])=3,FALSE,TRUE)</f>
        <v>1</v>
      </c>
      <c r="S469" t="b">
        <f>IF(COUNTBLANK(Master_Reference[[#This Row],[C-Flex 3000K 3W Part Number]:[C-Flex 4000K 3W Part Number]])=3,FALSE,TRUE)</f>
        <v>0</v>
      </c>
      <c r="T469" t="b">
        <f>IF(COUNTBLANK(Master_Reference[[#This Row],[Lutron 3000K Eco Part Number]:[Lutron 4000K Eco Part Number]])=3,FALSE,TRUE)</f>
        <v>1</v>
      </c>
      <c r="U469" t="b">
        <f>IF(COUNTBLANK(Master_Reference[[#This Row],[Lutron 3000K 3W Part Number]:[Lutron 4000K 3W Part Number]])=3,FALSE,TRUE)</f>
        <v>0</v>
      </c>
      <c r="V469" s="12" t="s">
        <v>462</v>
      </c>
      <c r="W469" s="12" t="s">
        <v>463</v>
      </c>
      <c r="X469" s="12" t="s">
        <v>464</v>
      </c>
      <c r="Y469" t="s">
        <v>1735</v>
      </c>
      <c r="Z469" s="12"/>
      <c r="AA469" s="12"/>
      <c r="AB469" s="12"/>
      <c r="AC469" t="s">
        <v>2125</v>
      </c>
      <c r="AD469" t="str">
        <f>SUBSTITUTE(Master_Reference[[#This Row],[C-Flex 4000K Eco Part Number]],"40-","xx-")</f>
        <v>RP-T8-2FT-1L-8xx-E1-M-G2</v>
      </c>
      <c r="AE469" t="str">
        <f>SUBSTITUTE(Master_Reference[[#This Row],[C-Flex 4000K 3W Part Number]],"40-","xx-")</f>
        <v/>
      </c>
      <c r="AF469" s="1" t="str">
        <f>_xlfn.IFNA(VLOOKUP(Master_Reference[[#This Row],[C-Flex 3000K Eco Part Number]],Lutron_CFlex_Lookup[],MATCH("Lutron Kit PN",Lutron_CFlex_Lookup[#Headers],0),FALSE),"")</f>
        <v>ELD2T8-1M30-q</v>
      </c>
      <c r="AG469" s="1" t="str">
        <f>_xlfn.IFNA(VLOOKUP(Master_Reference[[#This Row],[C-Flex 3500K Eco Part Number]],Lutron_CFlex_Lookup[],MATCH("Lutron Kit PN",Lutron_CFlex_Lookup[#Headers],0),FALSE),"")</f>
        <v>ELD2T8-1M35-q</v>
      </c>
      <c r="AH469" s="1" t="str">
        <f>_xlfn.IFNA(VLOOKUP(Master_Reference[[#This Row],[C-Flex 4000K Eco Part Number]],Lutron_CFlex_Lookup[],MATCH("Lutron Kit PN",Lutron_CFlex_Lookup[#Headers],0),FALSE),"")</f>
        <v>ELD2T8-1M40-q</v>
      </c>
      <c r="AI469" s="1" t="str">
        <f>_xlfn.IFNA(VLOOKUP(Master_Reference[[#This Row],[C-Flex 5000K Eco Part Number]],Lutron_CFlex_Lookup[],MATCH("Lutron Kit PN",Lutron_CFlex_Lookup[#Headers],0),FALSE),"")</f>
        <v>ELD2T8-1M50-q</v>
      </c>
      <c r="AJ469" s="1" t="str">
        <f>_xlfn.IFNA(VLOOKUP(Master_Reference[[#This Row],[C-Flex 3000K 3W Part Number]],Lutron_CFlex_Lookup[],MATCH("Lutron Kit PN",Lutron_CFlex_Lookup[#Headers],0),FALSE),"")</f>
        <v/>
      </c>
      <c r="AK469" s="1" t="str">
        <f>_xlfn.IFNA(VLOOKUP(Master_Reference[[#This Row],[C-Flex 3500K 3W Part Number]],Lutron_CFlex_Lookup[],MATCH("Lutron Kit PN",Lutron_CFlex_Lookup[#Headers],0),FALSE),"")</f>
        <v/>
      </c>
      <c r="AL469" s="1" t="str">
        <f>_xlfn.IFNA(VLOOKUP(Master_Reference[[#This Row],[C-Flex 4000K 3W Part Number]],Lutron_CFlex_Lookup[],MATCH("Lutron Kit PN",Lutron_CFlex_Lookup[#Headers],0),FALSE),"")</f>
        <v/>
      </c>
      <c r="AM469" s="1" t="str">
        <f>_xlfn.IFNA(VLOOKUP(Master_Reference[[#This Row],[C-Flex 5000K 3W Part Number]],Lutron_CFlex_Lookup[],MATCH("Lutron Kit PN",Lutron_CFlex_Lookup[#Headers],0),FALSE),"")</f>
        <v/>
      </c>
      <c r="AN469" s="1" t="b">
        <f>NOT(ISNA(VLOOKUP(Master_Reference[[#This Row],[Model Number]],ObsoleteModels[],1,FALSE)))</f>
        <v>1</v>
      </c>
      <c r="AO469" s="1" t="str">
        <f>IF(LEFT(Master_Reference[[#This Row],[Model Number]],1)="U",LEFT(Master_Reference[[#This Row],[Model Number]],4),LEFT(Master_Reference[[#This Row],[Model Number]],3))</f>
        <v>EHD</v>
      </c>
    </row>
    <row r="470" spans="1:41" x14ac:dyDescent="0.25">
      <c r="A470" s="2" t="s">
        <v>751</v>
      </c>
      <c r="B470" s="1" t="b">
        <v>1</v>
      </c>
      <c r="G470" s="1" t="str">
        <f>IF(OR(LEFT(RIGHT(Master_Reference[[#This Row],[Model Number]],3),1)="C",LEFT(RIGHT(Master_Reference[[#This Row],[Model Number]],4),1)="C"),TRUE,"")</f>
        <v/>
      </c>
      <c r="H470" s="1" t="str">
        <f>IF(LEFT(Master_Reference[[#This Row],[Model Number]],1)="U",TRUE,"")</f>
        <v/>
      </c>
      <c r="I470" s="1" t="str">
        <f>IF(Master_Reference[[#This Row],[Lamp Type]]="T4","",IF(Master_Reference[[#This Row],[Case Type]]="M","",TRUE))</f>
        <v/>
      </c>
      <c r="J470" s="1" t="str">
        <f t="shared" si="7"/>
        <v>T8</v>
      </c>
      <c r="K470" s="1">
        <v>17</v>
      </c>
      <c r="L470" s="1" t="s">
        <v>112</v>
      </c>
      <c r="M470" s="1">
        <v>1</v>
      </c>
      <c r="N470" s="1" t="s">
        <v>149</v>
      </c>
      <c r="O470" s="1" t="s">
        <v>632</v>
      </c>
      <c r="Q470" s="1" t="s">
        <v>91</v>
      </c>
      <c r="R470" t="b">
        <f>IF(COUNTBLANK(Master_Reference[[#This Row],[C-Flex 3000K Eco Part Number]:[C-Flex 4000K Eco Part Number]])=3,FALSE,TRUE)</f>
        <v>0</v>
      </c>
      <c r="S470" t="b">
        <f>IF(COUNTBLANK(Master_Reference[[#This Row],[C-Flex 3000K 3W Part Number]:[C-Flex 4000K 3W Part Number]])=3,FALSE,TRUE)</f>
        <v>0</v>
      </c>
      <c r="T470" t="b">
        <f>IF(COUNTBLANK(Master_Reference[[#This Row],[Lutron 3000K Eco Part Number]:[Lutron 4000K Eco Part Number]])=3,FALSE,TRUE)</f>
        <v>0</v>
      </c>
      <c r="U470" t="b">
        <f>IF(COUNTBLANK(Master_Reference[[#This Row],[Lutron 3000K 3W Part Number]:[Lutron 4000K 3W Part Number]])=3,FALSE,TRUE)</f>
        <v>0</v>
      </c>
      <c r="V470" s="12"/>
      <c r="W470" s="12"/>
      <c r="X470" s="12"/>
      <c r="Y470" t="s">
        <v>2125</v>
      </c>
      <c r="Z470" s="12"/>
      <c r="AA470" s="12"/>
      <c r="AB470" s="12"/>
      <c r="AC470" t="s">
        <v>2125</v>
      </c>
      <c r="AD470" t="str">
        <f>SUBSTITUTE(Master_Reference[[#This Row],[C-Flex 4000K Eco Part Number]],"40-","xx-")</f>
        <v/>
      </c>
      <c r="AE470" t="str">
        <f>SUBSTITUTE(Master_Reference[[#This Row],[C-Flex 4000K 3W Part Number]],"40-","xx-")</f>
        <v/>
      </c>
      <c r="AF470" s="1" t="str">
        <f>_xlfn.IFNA(VLOOKUP(Master_Reference[[#This Row],[C-Flex 3000K Eco Part Number]],Lutron_CFlex_Lookup[],MATCH("Lutron Kit PN",Lutron_CFlex_Lookup[#Headers],0),FALSE),"")</f>
        <v/>
      </c>
      <c r="AG470" s="1" t="str">
        <f>_xlfn.IFNA(VLOOKUP(Master_Reference[[#This Row],[C-Flex 3500K Eco Part Number]],Lutron_CFlex_Lookup[],MATCH("Lutron Kit PN",Lutron_CFlex_Lookup[#Headers],0),FALSE),"")</f>
        <v/>
      </c>
      <c r="AH470" s="1" t="str">
        <f>_xlfn.IFNA(VLOOKUP(Master_Reference[[#This Row],[C-Flex 4000K Eco Part Number]],Lutron_CFlex_Lookup[],MATCH("Lutron Kit PN",Lutron_CFlex_Lookup[#Headers],0),FALSE),"")</f>
        <v/>
      </c>
      <c r="AI470" s="1" t="str">
        <f>_xlfn.IFNA(VLOOKUP(Master_Reference[[#This Row],[C-Flex 5000K Eco Part Number]],Lutron_CFlex_Lookup[],MATCH("Lutron Kit PN",Lutron_CFlex_Lookup[#Headers],0),FALSE),"")</f>
        <v/>
      </c>
      <c r="AJ470" s="1" t="str">
        <f>_xlfn.IFNA(VLOOKUP(Master_Reference[[#This Row],[C-Flex 3000K 3W Part Number]],Lutron_CFlex_Lookup[],MATCH("Lutron Kit PN",Lutron_CFlex_Lookup[#Headers],0),FALSE),"")</f>
        <v/>
      </c>
      <c r="AK470" s="1" t="str">
        <f>_xlfn.IFNA(VLOOKUP(Master_Reference[[#This Row],[C-Flex 3500K 3W Part Number]],Lutron_CFlex_Lookup[],MATCH("Lutron Kit PN",Lutron_CFlex_Lookup[#Headers],0),FALSE),"")</f>
        <v/>
      </c>
      <c r="AL470" s="1" t="str">
        <f>_xlfn.IFNA(VLOOKUP(Master_Reference[[#This Row],[C-Flex 4000K 3W Part Number]],Lutron_CFlex_Lookup[],MATCH("Lutron Kit PN",Lutron_CFlex_Lookup[#Headers],0),FALSE),"")</f>
        <v/>
      </c>
      <c r="AM470" s="1" t="str">
        <f>_xlfn.IFNA(VLOOKUP(Master_Reference[[#This Row],[C-Flex 5000K 3W Part Number]],Lutron_CFlex_Lookup[],MATCH("Lutron Kit PN",Lutron_CFlex_Lookup[#Headers],0),FALSE),"")</f>
        <v/>
      </c>
      <c r="AN470" s="1" t="b">
        <f>NOT(ISNA(VLOOKUP(Master_Reference[[#This Row],[Model Number]],ObsoleteModels[],1,FALSE)))</f>
        <v>1</v>
      </c>
      <c r="AO470" s="1" t="str">
        <f>IF(LEFT(Master_Reference[[#This Row],[Model Number]],1)="U",LEFT(Master_Reference[[#This Row],[Model Number]],4),LEFT(Master_Reference[[#This Row],[Model Number]],3))</f>
        <v>EHD</v>
      </c>
    </row>
    <row r="471" spans="1:41" x14ac:dyDescent="0.25">
      <c r="A471" s="2" t="s">
        <v>752</v>
      </c>
      <c r="B471" s="1" t="b">
        <v>1</v>
      </c>
      <c r="G471" s="1" t="b">
        <f>IF(OR(LEFT(RIGHT(Master_Reference[[#This Row],[Model Number]],3),1)="C",LEFT(RIGHT(Master_Reference[[#This Row],[Model Number]],4),1)="C"),TRUE,"")</f>
        <v>1</v>
      </c>
      <c r="H471" s="1" t="str">
        <f>IF(LEFT(Master_Reference[[#This Row],[Model Number]],1)="U",TRUE,"")</f>
        <v/>
      </c>
      <c r="I471" s="1" t="str">
        <f>IF(Master_Reference[[#This Row],[Lamp Type]]="T4","",IF(Master_Reference[[#This Row],[Case Type]]="M","",TRUE))</f>
        <v/>
      </c>
      <c r="J471" s="1" t="str">
        <f t="shared" si="7"/>
        <v>T8</v>
      </c>
      <c r="K471" s="1">
        <v>17</v>
      </c>
      <c r="L471" s="1" t="s">
        <v>112</v>
      </c>
      <c r="M471" s="1">
        <v>1</v>
      </c>
      <c r="N471" s="1" t="s">
        <v>149</v>
      </c>
      <c r="O471" s="1" t="s">
        <v>632</v>
      </c>
      <c r="R471" t="b">
        <f>IF(COUNTBLANK(Master_Reference[[#This Row],[C-Flex 3000K Eco Part Number]:[C-Flex 4000K Eco Part Number]])=3,FALSE,TRUE)</f>
        <v>1</v>
      </c>
      <c r="S471" t="b">
        <f>IF(COUNTBLANK(Master_Reference[[#This Row],[C-Flex 3000K 3W Part Number]:[C-Flex 4000K 3W Part Number]])=3,FALSE,TRUE)</f>
        <v>0</v>
      </c>
      <c r="T471" t="b">
        <f>IF(COUNTBLANK(Master_Reference[[#This Row],[Lutron 3000K Eco Part Number]:[Lutron 4000K Eco Part Number]])=3,FALSE,TRUE)</f>
        <v>1</v>
      </c>
      <c r="U471" t="b">
        <f>IF(COUNTBLANK(Master_Reference[[#This Row],[Lutron 3000K 3W Part Number]:[Lutron 4000K 3W Part Number]])=3,FALSE,TRUE)</f>
        <v>0</v>
      </c>
      <c r="V471" s="12" t="s">
        <v>462</v>
      </c>
      <c r="W471" s="12" t="s">
        <v>463</v>
      </c>
      <c r="X471" s="12" t="s">
        <v>464</v>
      </c>
      <c r="Y471" t="s">
        <v>1735</v>
      </c>
      <c r="Z471" s="12"/>
      <c r="AA471" s="12"/>
      <c r="AB471" s="12"/>
      <c r="AC471" t="s">
        <v>2125</v>
      </c>
      <c r="AD471" t="str">
        <f>SUBSTITUTE(Master_Reference[[#This Row],[C-Flex 4000K Eco Part Number]],"40-","xx-")</f>
        <v>RP-T8-2FT-1L-8xx-E1-M-G2</v>
      </c>
      <c r="AE471" t="str">
        <f>SUBSTITUTE(Master_Reference[[#This Row],[C-Flex 4000K 3W Part Number]],"40-","xx-")</f>
        <v/>
      </c>
      <c r="AF471" s="1" t="str">
        <f>_xlfn.IFNA(VLOOKUP(Master_Reference[[#This Row],[C-Flex 3000K Eco Part Number]],Lutron_CFlex_Lookup[],MATCH("Lutron Kit PN",Lutron_CFlex_Lookup[#Headers],0),FALSE),"")</f>
        <v>ELD2T8-1M30-q</v>
      </c>
      <c r="AG471" s="1" t="str">
        <f>_xlfn.IFNA(VLOOKUP(Master_Reference[[#This Row],[C-Flex 3500K Eco Part Number]],Lutron_CFlex_Lookup[],MATCH("Lutron Kit PN",Lutron_CFlex_Lookup[#Headers],0),FALSE),"")</f>
        <v>ELD2T8-1M35-q</v>
      </c>
      <c r="AH471" s="1" t="str">
        <f>_xlfn.IFNA(VLOOKUP(Master_Reference[[#This Row],[C-Flex 4000K Eco Part Number]],Lutron_CFlex_Lookup[],MATCH("Lutron Kit PN",Lutron_CFlex_Lookup[#Headers],0),FALSE),"")</f>
        <v>ELD2T8-1M40-q</v>
      </c>
      <c r="AI471" s="1" t="str">
        <f>_xlfn.IFNA(VLOOKUP(Master_Reference[[#This Row],[C-Flex 5000K Eco Part Number]],Lutron_CFlex_Lookup[],MATCH("Lutron Kit PN",Lutron_CFlex_Lookup[#Headers],0),FALSE),"")</f>
        <v>ELD2T8-1M50-q</v>
      </c>
      <c r="AJ471" s="1" t="str">
        <f>_xlfn.IFNA(VLOOKUP(Master_Reference[[#This Row],[C-Flex 3000K 3W Part Number]],Lutron_CFlex_Lookup[],MATCH("Lutron Kit PN",Lutron_CFlex_Lookup[#Headers],0),FALSE),"")</f>
        <v/>
      </c>
      <c r="AK471" s="1" t="str">
        <f>_xlfn.IFNA(VLOOKUP(Master_Reference[[#This Row],[C-Flex 3500K 3W Part Number]],Lutron_CFlex_Lookup[],MATCH("Lutron Kit PN",Lutron_CFlex_Lookup[#Headers],0),FALSE),"")</f>
        <v/>
      </c>
      <c r="AL471" s="1" t="str">
        <f>_xlfn.IFNA(VLOOKUP(Master_Reference[[#This Row],[C-Flex 4000K 3W Part Number]],Lutron_CFlex_Lookup[],MATCH("Lutron Kit PN",Lutron_CFlex_Lookup[#Headers],0),FALSE),"")</f>
        <v/>
      </c>
      <c r="AM471" s="1" t="str">
        <f>_xlfn.IFNA(VLOOKUP(Master_Reference[[#This Row],[C-Flex 5000K 3W Part Number]],Lutron_CFlex_Lookup[],MATCH("Lutron Kit PN",Lutron_CFlex_Lookup[#Headers],0),FALSE),"")</f>
        <v/>
      </c>
      <c r="AN471" s="1" t="b">
        <f>NOT(ISNA(VLOOKUP(Master_Reference[[#This Row],[Model Number]],ObsoleteModels[],1,FALSE)))</f>
        <v>1</v>
      </c>
      <c r="AO471" s="1" t="str">
        <f>IF(LEFT(Master_Reference[[#This Row],[Model Number]],1)="U",LEFT(Master_Reference[[#This Row],[Model Number]],4),LEFT(Master_Reference[[#This Row],[Model Number]],3))</f>
        <v>EHD</v>
      </c>
    </row>
    <row r="472" spans="1:41" x14ac:dyDescent="0.25">
      <c r="A472" s="2" t="s">
        <v>753</v>
      </c>
      <c r="B472" s="1" t="b">
        <v>1</v>
      </c>
      <c r="G472" s="1" t="b">
        <f>IF(OR(LEFT(RIGHT(Master_Reference[[#This Row],[Model Number]],3),1)="C",LEFT(RIGHT(Master_Reference[[#This Row],[Model Number]],4),1)="C"),TRUE,"")</f>
        <v>1</v>
      </c>
      <c r="H472" s="1" t="str">
        <f>IF(LEFT(Master_Reference[[#This Row],[Model Number]],1)="U",TRUE,"")</f>
        <v/>
      </c>
      <c r="I472" s="1" t="str">
        <f>IF(Master_Reference[[#This Row],[Lamp Type]]="T4","",IF(Master_Reference[[#This Row],[Case Type]]="M","",TRUE))</f>
        <v/>
      </c>
      <c r="J472" s="1" t="str">
        <f t="shared" si="7"/>
        <v>T8</v>
      </c>
      <c r="K472" s="1">
        <v>17</v>
      </c>
      <c r="L472" s="1" t="s">
        <v>112</v>
      </c>
      <c r="M472" s="1">
        <v>1</v>
      </c>
      <c r="N472" s="1" t="s">
        <v>149</v>
      </c>
      <c r="O472" s="1" t="s">
        <v>632</v>
      </c>
      <c r="R472" t="b">
        <f>IF(COUNTBLANK(Master_Reference[[#This Row],[C-Flex 3000K Eco Part Number]:[C-Flex 4000K Eco Part Number]])=3,FALSE,TRUE)</f>
        <v>1</v>
      </c>
      <c r="S472" t="b">
        <f>IF(COUNTBLANK(Master_Reference[[#This Row],[C-Flex 3000K 3W Part Number]:[C-Flex 4000K 3W Part Number]])=3,FALSE,TRUE)</f>
        <v>0</v>
      </c>
      <c r="T472" t="b">
        <f>IF(COUNTBLANK(Master_Reference[[#This Row],[Lutron 3000K Eco Part Number]:[Lutron 4000K Eco Part Number]])=3,FALSE,TRUE)</f>
        <v>1</v>
      </c>
      <c r="U472" t="b">
        <f>IF(COUNTBLANK(Master_Reference[[#This Row],[Lutron 3000K 3W Part Number]:[Lutron 4000K 3W Part Number]])=3,FALSE,TRUE)</f>
        <v>0</v>
      </c>
      <c r="V472" s="12" t="s">
        <v>462</v>
      </c>
      <c r="W472" s="12" t="s">
        <v>463</v>
      </c>
      <c r="X472" s="12" t="s">
        <v>464</v>
      </c>
      <c r="Y472" t="s">
        <v>1735</v>
      </c>
      <c r="Z472" s="12"/>
      <c r="AA472" s="12"/>
      <c r="AB472" s="12"/>
      <c r="AC472" t="s">
        <v>2125</v>
      </c>
      <c r="AD472" t="str">
        <f>SUBSTITUTE(Master_Reference[[#This Row],[C-Flex 4000K Eco Part Number]],"40-","xx-")</f>
        <v>RP-T8-2FT-1L-8xx-E1-M-G2</v>
      </c>
      <c r="AE472" t="str">
        <f>SUBSTITUTE(Master_Reference[[#This Row],[C-Flex 4000K 3W Part Number]],"40-","xx-")</f>
        <v/>
      </c>
      <c r="AF472" s="1" t="str">
        <f>_xlfn.IFNA(VLOOKUP(Master_Reference[[#This Row],[C-Flex 3000K Eco Part Number]],Lutron_CFlex_Lookup[],MATCH("Lutron Kit PN",Lutron_CFlex_Lookup[#Headers],0),FALSE),"")</f>
        <v>ELD2T8-1M30-q</v>
      </c>
      <c r="AG472" s="1" t="str">
        <f>_xlfn.IFNA(VLOOKUP(Master_Reference[[#This Row],[C-Flex 3500K Eco Part Number]],Lutron_CFlex_Lookup[],MATCH("Lutron Kit PN",Lutron_CFlex_Lookup[#Headers],0),FALSE),"")</f>
        <v>ELD2T8-1M35-q</v>
      </c>
      <c r="AH472" s="1" t="str">
        <f>_xlfn.IFNA(VLOOKUP(Master_Reference[[#This Row],[C-Flex 4000K Eco Part Number]],Lutron_CFlex_Lookup[],MATCH("Lutron Kit PN",Lutron_CFlex_Lookup[#Headers],0),FALSE),"")</f>
        <v>ELD2T8-1M40-q</v>
      </c>
      <c r="AI472" s="1" t="str">
        <f>_xlfn.IFNA(VLOOKUP(Master_Reference[[#This Row],[C-Flex 5000K Eco Part Number]],Lutron_CFlex_Lookup[],MATCH("Lutron Kit PN",Lutron_CFlex_Lookup[#Headers],0),FALSE),"")</f>
        <v>ELD2T8-1M50-q</v>
      </c>
      <c r="AJ472" s="1" t="str">
        <f>_xlfn.IFNA(VLOOKUP(Master_Reference[[#This Row],[C-Flex 3000K 3W Part Number]],Lutron_CFlex_Lookup[],MATCH("Lutron Kit PN",Lutron_CFlex_Lookup[#Headers],0),FALSE),"")</f>
        <v/>
      </c>
      <c r="AK472" s="1" t="str">
        <f>_xlfn.IFNA(VLOOKUP(Master_Reference[[#This Row],[C-Flex 3500K 3W Part Number]],Lutron_CFlex_Lookup[],MATCH("Lutron Kit PN",Lutron_CFlex_Lookup[#Headers],0),FALSE),"")</f>
        <v/>
      </c>
      <c r="AL472" s="1" t="str">
        <f>_xlfn.IFNA(VLOOKUP(Master_Reference[[#This Row],[C-Flex 4000K 3W Part Number]],Lutron_CFlex_Lookup[],MATCH("Lutron Kit PN",Lutron_CFlex_Lookup[#Headers],0),FALSE),"")</f>
        <v/>
      </c>
      <c r="AM472" s="1" t="str">
        <f>_xlfn.IFNA(VLOOKUP(Master_Reference[[#This Row],[C-Flex 5000K 3W Part Number]],Lutron_CFlex_Lookup[],MATCH("Lutron Kit PN",Lutron_CFlex_Lookup[#Headers],0),FALSE),"")</f>
        <v/>
      </c>
      <c r="AN472" s="1" t="b">
        <f>NOT(ISNA(VLOOKUP(Master_Reference[[#This Row],[Model Number]],ObsoleteModels[],1,FALSE)))</f>
        <v>1</v>
      </c>
      <c r="AO472" s="1" t="str">
        <f>IF(LEFT(Master_Reference[[#This Row],[Model Number]],1)="U",LEFT(Master_Reference[[#This Row],[Model Number]],4),LEFT(Master_Reference[[#This Row],[Model Number]],3))</f>
        <v>EHD</v>
      </c>
    </row>
    <row r="473" spans="1:41" x14ac:dyDescent="0.25">
      <c r="A473" s="2" t="s">
        <v>754</v>
      </c>
      <c r="B473" s="1" t="b">
        <v>1</v>
      </c>
      <c r="G473" s="1" t="str">
        <f>IF(OR(LEFT(RIGHT(Master_Reference[[#This Row],[Model Number]],3),1)="C",LEFT(RIGHT(Master_Reference[[#This Row],[Model Number]],4),1)="C"),TRUE,"")</f>
        <v/>
      </c>
      <c r="H473" s="1" t="str">
        <f>IF(LEFT(Master_Reference[[#This Row],[Model Number]],1)="U",TRUE,"")</f>
        <v/>
      </c>
      <c r="I473" s="1" t="str">
        <f>IF(Master_Reference[[#This Row],[Lamp Type]]="T4","",IF(Master_Reference[[#This Row],[Case Type]]="M","",TRUE))</f>
        <v/>
      </c>
      <c r="J473" s="1" t="str">
        <f t="shared" si="7"/>
        <v>T8</v>
      </c>
      <c r="K473" s="1">
        <v>17</v>
      </c>
      <c r="L473" s="1" t="s">
        <v>112</v>
      </c>
      <c r="M473" s="1">
        <v>2</v>
      </c>
      <c r="N473" s="1" t="s">
        <v>149</v>
      </c>
      <c r="O473" s="1" t="s">
        <v>632</v>
      </c>
      <c r="R473" t="b">
        <f>IF(COUNTBLANK(Master_Reference[[#This Row],[C-Flex 3000K Eco Part Number]:[C-Flex 4000K Eco Part Number]])=3,FALSE,TRUE)</f>
        <v>1</v>
      </c>
      <c r="S473" t="b">
        <f>IF(COUNTBLANK(Master_Reference[[#This Row],[C-Flex 3000K 3W Part Number]:[C-Flex 4000K 3W Part Number]])=3,FALSE,TRUE)</f>
        <v>0</v>
      </c>
      <c r="T473" t="b">
        <f>IF(COUNTBLANK(Master_Reference[[#This Row],[Lutron 3000K Eco Part Number]:[Lutron 4000K Eco Part Number]])=3,FALSE,TRUE)</f>
        <v>1</v>
      </c>
      <c r="U473" t="b">
        <f>IF(COUNTBLANK(Master_Reference[[#This Row],[Lutron 3000K 3W Part Number]:[Lutron 4000K 3W Part Number]])=3,FALSE,TRUE)</f>
        <v>0</v>
      </c>
      <c r="V473" s="12" t="s">
        <v>466</v>
      </c>
      <c r="W473" s="12" t="s">
        <v>467</v>
      </c>
      <c r="X473" s="12" t="s">
        <v>468</v>
      </c>
      <c r="Y473" t="s">
        <v>1736</v>
      </c>
      <c r="Z473" s="12"/>
      <c r="AA473" s="12"/>
      <c r="AB473" s="12"/>
      <c r="AC473" t="s">
        <v>2125</v>
      </c>
      <c r="AD473" t="str">
        <f>SUBSTITUTE(Master_Reference[[#This Row],[C-Flex 4000K Eco Part Number]],"40-","xx-")</f>
        <v>RP-T8-2FT-2L-8xx-E1-M-G2</v>
      </c>
      <c r="AE473" t="str">
        <f>SUBSTITUTE(Master_Reference[[#This Row],[C-Flex 4000K 3W Part Number]],"40-","xx-")</f>
        <v/>
      </c>
      <c r="AF473" s="1" t="str">
        <f>_xlfn.IFNA(VLOOKUP(Master_Reference[[#This Row],[C-Flex 3000K Eco Part Number]],Lutron_CFlex_Lookup[],MATCH("Lutron Kit PN",Lutron_CFlex_Lookup[#Headers],0),FALSE),"")</f>
        <v>ELD2T8-2M30-q</v>
      </c>
      <c r="AG473" s="1" t="str">
        <f>_xlfn.IFNA(VLOOKUP(Master_Reference[[#This Row],[C-Flex 3500K Eco Part Number]],Lutron_CFlex_Lookup[],MATCH("Lutron Kit PN",Lutron_CFlex_Lookup[#Headers],0),FALSE),"")</f>
        <v>ELD2T8-2M35-q</v>
      </c>
      <c r="AH473" s="1" t="str">
        <f>_xlfn.IFNA(VLOOKUP(Master_Reference[[#This Row],[C-Flex 4000K Eco Part Number]],Lutron_CFlex_Lookup[],MATCH("Lutron Kit PN",Lutron_CFlex_Lookup[#Headers],0),FALSE),"")</f>
        <v>ELD2T8-2M40-q</v>
      </c>
      <c r="AI473" s="1" t="str">
        <f>_xlfn.IFNA(VLOOKUP(Master_Reference[[#This Row],[C-Flex 5000K Eco Part Number]],Lutron_CFlex_Lookup[],MATCH("Lutron Kit PN",Lutron_CFlex_Lookup[#Headers],0),FALSE),"")</f>
        <v>ELD2T8-2M50-q</v>
      </c>
      <c r="AJ473" s="1" t="str">
        <f>_xlfn.IFNA(VLOOKUP(Master_Reference[[#This Row],[C-Flex 3000K 3W Part Number]],Lutron_CFlex_Lookup[],MATCH("Lutron Kit PN",Lutron_CFlex_Lookup[#Headers],0),FALSE),"")</f>
        <v/>
      </c>
      <c r="AK473" s="1" t="str">
        <f>_xlfn.IFNA(VLOOKUP(Master_Reference[[#This Row],[C-Flex 3500K 3W Part Number]],Lutron_CFlex_Lookup[],MATCH("Lutron Kit PN",Lutron_CFlex_Lookup[#Headers],0),FALSE),"")</f>
        <v/>
      </c>
      <c r="AL473" s="1" t="str">
        <f>_xlfn.IFNA(VLOOKUP(Master_Reference[[#This Row],[C-Flex 4000K 3W Part Number]],Lutron_CFlex_Lookup[],MATCH("Lutron Kit PN",Lutron_CFlex_Lookup[#Headers],0),FALSE),"")</f>
        <v/>
      </c>
      <c r="AM473" s="1" t="str">
        <f>_xlfn.IFNA(VLOOKUP(Master_Reference[[#This Row],[C-Flex 5000K 3W Part Number]],Lutron_CFlex_Lookup[],MATCH("Lutron Kit PN",Lutron_CFlex_Lookup[#Headers],0),FALSE),"")</f>
        <v/>
      </c>
      <c r="AN473" s="1" t="b">
        <f>NOT(ISNA(VLOOKUP(Master_Reference[[#This Row],[Model Number]],ObsoleteModels[],1,FALSE)))</f>
        <v>1</v>
      </c>
      <c r="AO473" s="1" t="str">
        <f>IF(LEFT(Master_Reference[[#This Row],[Model Number]],1)="U",LEFT(Master_Reference[[#This Row],[Model Number]],4),LEFT(Master_Reference[[#This Row],[Model Number]],3))</f>
        <v>EHD</v>
      </c>
    </row>
    <row r="474" spans="1:41" x14ac:dyDescent="0.25">
      <c r="A474" s="2" t="s">
        <v>755</v>
      </c>
      <c r="B474" s="1" t="b">
        <v>1</v>
      </c>
      <c r="G474" s="1" t="str">
        <f>IF(OR(LEFT(RIGHT(Master_Reference[[#This Row],[Model Number]],3),1)="C",LEFT(RIGHT(Master_Reference[[#This Row],[Model Number]],4),1)="C"),TRUE,"")</f>
        <v/>
      </c>
      <c r="H474" s="1" t="str">
        <f>IF(LEFT(Master_Reference[[#This Row],[Model Number]],1)="U",TRUE,"")</f>
        <v/>
      </c>
      <c r="I474" s="1" t="str">
        <f>IF(Master_Reference[[#This Row],[Lamp Type]]="T4","",IF(Master_Reference[[#This Row],[Case Type]]="M","",TRUE))</f>
        <v/>
      </c>
      <c r="J474" s="1" t="str">
        <f t="shared" si="7"/>
        <v>T8</v>
      </c>
      <c r="K474" s="1">
        <v>17</v>
      </c>
      <c r="L474" s="1" t="s">
        <v>112</v>
      </c>
      <c r="M474" s="1">
        <v>2</v>
      </c>
      <c r="N474" s="1" t="s">
        <v>149</v>
      </c>
      <c r="O474" s="1" t="s">
        <v>632</v>
      </c>
      <c r="Q474" s="1" t="s">
        <v>91</v>
      </c>
      <c r="R474" t="b">
        <f>IF(COUNTBLANK(Master_Reference[[#This Row],[C-Flex 3000K Eco Part Number]:[C-Flex 4000K Eco Part Number]])=3,FALSE,TRUE)</f>
        <v>0</v>
      </c>
      <c r="S474" t="b">
        <f>IF(COUNTBLANK(Master_Reference[[#This Row],[C-Flex 3000K 3W Part Number]:[C-Flex 4000K 3W Part Number]])=3,FALSE,TRUE)</f>
        <v>0</v>
      </c>
      <c r="T474" t="b">
        <f>IF(COUNTBLANK(Master_Reference[[#This Row],[Lutron 3000K Eco Part Number]:[Lutron 4000K Eco Part Number]])=3,FALSE,TRUE)</f>
        <v>0</v>
      </c>
      <c r="U474" t="b">
        <f>IF(COUNTBLANK(Master_Reference[[#This Row],[Lutron 3000K 3W Part Number]:[Lutron 4000K 3W Part Number]])=3,FALSE,TRUE)</f>
        <v>0</v>
      </c>
      <c r="V474" s="12"/>
      <c r="W474" s="12"/>
      <c r="X474" s="12"/>
      <c r="Y474" t="s">
        <v>2125</v>
      </c>
      <c r="Z474" s="12"/>
      <c r="AA474" s="12"/>
      <c r="AB474" s="12"/>
      <c r="AC474" t="s">
        <v>2125</v>
      </c>
      <c r="AD474" t="str">
        <f>SUBSTITUTE(Master_Reference[[#This Row],[C-Flex 4000K Eco Part Number]],"40-","xx-")</f>
        <v/>
      </c>
      <c r="AE474" t="str">
        <f>SUBSTITUTE(Master_Reference[[#This Row],[C-Flex 4000K 3W Part Number]],"40-","xx-")</f>
        <v/>
      </c>
      <c r="AF474" s="1" t="str">
        <f>_xlfn.IFNA(VLOOKUP(Master_Reference[[#This Row],[C-Flex 3000K Eco Part Number]],Lutron_CFlex_Lookup[],MATCH("Lutron Kit PN",Lutron_CFlex_Lookup[#Headers],0),FALSE),"")</f>
        <v/>
      </c>
      <c r="AG474" s="1" t="str">
        <f>_xlfn.IFNA(VLOOKUP(Master_Reference[[#This Row],[C-Flex 3500K Eco Part Number]],Lutron_CFlex_Lookup[],MATCH("Lutron Kit PN",Lutron_CFlex_Lookup[#Headers],0),FALSE),"")</f>
        <v/>
      </c>
      <c r="AH474" s="1" t="str">
        <f>_xlfn.IFNA(VLOOKUP(Master_Reference[[#This Row],[C-Flex 4000K Eco Part Number]],Lutron_CFlex_Lookup[],MATCH("Lutron Kit PN",Lutron_CFlex_Lookup[#Headers],0),FALSE),"")</f>
        <v/>
      </c>
      <c r="AI474" s="1" t="str">
        <f>_xlfn.IFNA(VLOOKUP(Master_Reference[[#This Row],[C-Flex 5000K Eco Part Number]],Lutron_CFlex_Lookup[],MATCH("Lutron Kit PN",Lutron_CFlex_Lookup[#Headers],0),FALSE),"")</f>
        <v/>
      </c>
      <c r="AJ474" s="1" t="str">
        <f>_xlfn.IFNA(VLOOKUP(Master_Reference[[#This Row],[C-Flex 3000K 3W Part Number]],Lutron_CFlex_Lookup[],MATCH("Lutron Kit PN",Lutron_CFlex_Lookup[#Headers],0),FALSE),"")</f>
        <v/>
      </c>
      <c r="AK474" s="1" t="str">
        <f>_xlfn.IFNA(VLOOKUP(Master_Reference[[#This Row],[C-Flex 3500K 3W Part Number]],Lutron_CFlex_Lookup[],MATCH("Lutron Kit PN",Lutron_CFlex_Lookup[#Headers],0),FALSE),"")</f>
        <v/>
      </c>
      <c r="AL474" s="1" t="str">
        <f>_xlfn.IFNA(VLOOKUP(Master_Reference[[#This Row],[C-Flex 4000K 3W Part Number]],Lutron_CFlex_Lookup[],MATCH("Lutron Kit PN",Lutron_CFlex_Lookup[#Headers],0),FALSE),"")</f>
        <v/>
      </c>
      <c r="AM474" s="1" t="str">
        <f>_xlfn.IFNA(VLOOKUP(Master_Reference[[#This Row],[C-Flex 5000K 3W Part Number]],Lutron_CFlex_Lookup[],MATCH("Lutron Kit PN",Lutron_CFlex_Lookup[#Headers],0),FALSE),"")</f>
        <v/>
      </c>
      <c r="AN474" s="1" t="b">
        <f>NOT(ISNA(VLOOKUP(Master_Reference[[#This Row],[Model Number]],ObsoleteModels[],1,FALSE)))</f>
        <v>1</v>
      </c>
      <c r="AO474" s="1" t="str">
        <f>IF(LEFT(Master_Reference[[#This Row],[Model Number]],1)="U",LEFT(Master_Reference[[#This Row],[Model Number]],4),LEFT(Master_Reference[[#This Row],[Model Number]],3))</f>
        <v>EHD</v>
      </c>
    </row>
    <row r="475" spans="1:41" x14ac:dyDescent="0.25">
      <c r="A475" s="2" t="s">
        <v>756</v>
      </c>
      <c r="B475" s="1" t="b">
        <v>1</v>
      </c>
      <c r="G475" s="1" t="b">
        <f>IF(OR(LEFT(RIGHT(Master_Reference[[#This Row],[Model Number]],3),1)="C",LEFT(RIGHT(Master_Reference[[#This Row],[Model Number]],4),1)="C"),TRUE,"")</f>
        <v>1</v>
      </c>
      <c r="H475" s="1" t="str">
        <f>IF(LEFT(Master_Reference[[#This Row],[Model Number]],1)="U",TRUE,"")</f>
        <v/>
      </c>
      <c r="I475" s="1" t="str">
        <f>IF(Master_Reference[[#This Row],[Lamp Type]]="T4","",IF(Master_Reference[[#This Row],[Case Type]]="M","",TRUE))</f>
        <v/>
      </c>
      <c r="J475" s="1" t="str">
        <f t="shared" si="7"/>
        <v>T8</v>
      </c>
      <c r="K475" s="1">
        <v>17</v>
      </c>
      <c r="L475" s="1" t="s">
        <v>112</v>
      </c>
      <c r="M475" s="1">
        <v>2</v>
      </c>
      <c r="N475" s="1" t="s">
        <v>149</v>
      </c>
      <c r="O475" s="1" t="s">
        <v>632</v>
      </c>
      <c r="R475" t="b">
        <f>IF(COUNTBLANK(Master_Reference[[#This Row],[C-Flex 3000K Eco Part Number]:[C-Flex 4000K Eco Part Number]])=3,FALSE,TRUE)</f>
        <v>1</v>
      </c>
      <c r="S475" t="b">
        <f>IF(COUNTBLANK(Master_Reference[[#This Row],[C-Flex 3000K 3W Part Number]:[C-Flex 4000K 3W Part Number]])=3,FALSE,TRUE)</f>
        <v>0</v>
      </c>
      <c r="T475" t="b">
        <f>IF(COUNTBLANK(Master_Reference[[#This Row],[Lutron 3000K Eco Part Number]:[Lutron 4000K Eco Part Number]])=3,FALSE,TRUE)</f>
        <v>1</v>
      </c>
      <c r="U475" t="b">
        <f>IF(COUNTBLANK(Master_Reference[[#This Row],[Lutron 3000K 3W Part Number]:[Lutron 4000K 3W Part Number]])=3,FALSE,TRUE)</f>
        <v>0</v>
      </c>
      <c r="V475" s="12" t="s">
        <v>466</v>
      </c>
      <c r="W475" s="12" t="s">
        <v>467</v>
      </c>
      <c r="X475" s="12" t="s">
        <v>468</v>
      </c>
      <c r="Y475" t="s">
        <v>1736</v>
      </c>
      <c r="Z475" s="12"/>
      <c r="AA475" s="12"/>
      <c r="AB475" s="12"/>
      <c r="AC475" t="s">
        <v>2125</v>
      </c>
      <c r="AD475" t="str">
        <f>SUBSTITUTE(Master_Reference[[#This Row],[C-Flex 4000K Eco Part Number]],"40-","xx-")</f>
        <v>RP-T8-2FT-2L-8xx-E1-M-G2</v>
      </c>
      <c r="AE475" t="str">
        <f>SUBSTITUTE(Master_Reference[[#This Row],[C-Flex 4000K 3W Part Number]],"40-","xx-")</f>
        <v/>
      </c>
      <c r="AF475" s="1" t="str">
        <f>_xlfn.IFNA(VLOOKUP(Master_Reference[[#This Row],[C-Flex 3000K Eco Part Number]],Lutron_CFlex_Lookup[],MATCH("Lutron Kit PN",Lutron_CFlex_Lookup[#Headers],0),FALSE),"")</f>
        <v>ELD2T8-2M30-q</v>
      </c>
      <c r="AG475" s="1" t="str">
        <f>_xlfn.IFNA(VLOOKUP(Master_Reference[[#This Row],[C-Flex 3500K Eco Part Number]],Lutron_CFlex_Lookup[],MATCH("Lutron Kit PN",Lutron_CFlex_Lookup[#Headers],0),FALSE),"")</f>
        <v>ELD2T8-2M35-q</v>
      </c>
      <c r="AH475" s="1" t="str">
        <f>_xlfn.IFNA(VLOOKUP(Master_Reference[[#This Row],[C-Flex 4000K Eco Part Number]],Lutron_CFlex_Lookup[],MATCH("Lutron Kit PN",Lutron_CFlex_Lookup[#Headers],0),FALSE),"")</f>
        <v>ELD2T8-2M40-q</v>
      </c>
      <c r="AI475" s="1" t="str">
        <f>_xlfn.IFNA(VLOOKUP(Master_Reference[[#This Row],[C-Flex 5000K Eco Part Number]],Lutron_CFlex_Lookup[],MATCH("Lutron Kit PN",Lutron_CFlex_Lookup[#Headers],0),FALSE),"")</f>
        <v>ELD2T8-2M50-q</v>
      </c>
      <c r="AJ475" s="1" t="str">
        <f>_xlfn.IFNA(VLOOKUP(Master_Reference[[#This Row],[C-Flex 3000K 3W Part Number]],Lutron_CFlex_Lookup[],MATCH("Lutron Kit PN",Lutron_CFlex_Lookup[#Headers],0),FALSE),"")</f>
        <v/>
      </c>
      <c r="AK475" s="1" t="str">
        <f>_xlfn.IFNA(VLOOKUP(Master_Reference[[#This Row],[C-Flex 3500K 3W Part Number]],Lutron_CFlex_Lookup[],MATCH("Lutron Kit PN",Lutron_CFlex_Lookup[#Headers],0),FALSE),"")</f>
        <v/>
      </c>
      <c r="AL475" s="1" t="str">
        <f>_xlfn.IFNA(VLOOKUP(Master_Reference[[#This Row],[C-Flex 4000K 3W Part Number]],Lutron_CFlex_Lookup[],MATCH("Lutron Kit PN",Lutron_CFlex_Lookup[#Headers],0),FALSE),"")</f>
        <v/>
      </c>
      <c r="AM475" s="1" t="str">
        <f>_xlfn.IFNA(VLOOKUP(Master_Reference[[#This Row],[C-Flex 5000K 3W Part Number]],Lutron_CFlex_Lookup[],MATCH("Lutron Kit PN",Lutron_CFlex_Lookup[#Headers],0),FALSE),"")</f>
        <v/>
      </c>
      <c r="AN475" s="1" t="b">
        <f>NOT(ISNA(VLOOKUP(Master_Reference[[#This Row],[Model Number]],ObsoleteModels[],1,FALSE)))</f>
        <v>1</v>
      </c>
      <c r="AO475" s="1" t="str">
        <f>IF(LEFT(Master_Reference[[#This Row],[Model Number]],1)="U",LEFT(Master_Reference[[#This Row],[Model Number]],4),LEFT(Master_Reference[[#This Row],[Model Number]],3))</f>
        <v>EHD</v>
      </c>
    </row>
    <row r="476" spans="1:41" x14ac:dyDescent="0.25">
      <c r="A476" s="2" t="s">
        <v>757</v>
      </c>
      <c r="B476" s="1" t="b">
        <v>1</v>
      </c>
      <c r="G476" s="1" t="str">
        <f>IF(OR(LEFT(RIGHT(Master_Reference[[#This Row],[Model Number]],3),1)="C",LEFT(RIGHT(Master_Reference[[#This Row],[Model Number]],4),1)="C"),TRUE,"")</f>
        <v/>
      </c>
      <c r="H476" s="1" t="str">
        <f>IF(LEFT(Master_Reference[[#This Row],[Model Number]],1)="U",TRUE,"")</f>
        <v/>
      </c>
      <c r="I476" s="1" t="str">
        <f>IF(Master_Reference[[#This Row],[Lamp Type]]="T4","",IF(Master_Reference[[#This Row],[Case Type]]="M","",TRUE))</f>
        <v/>
      </c>
      <c r="J476" s="1" t="str">
        <f t="shared" si="7"/>
        <v>T8</v>
      </c>
      <c r="K476" s="1">
        <v>25</v>
      </c>
      <c r="L476" s="1" t="s">
        <v>115</v>
      </c>
      <c r="M476" s="1">
        <v>1</v>
      </c>
      <c r="N476" s="1" t="s">
        <v>149</v>
      </c>
      <c r="O476" s="1" t="s">
        <v>632</v>
      </c>
      <c r="R476" t="b">
        <f>IF(COUNTBLANK(Master_Reference[[#This Row],[C-Flex 3000K Eco Part Number]:[C-Flex 4000K Eco Part Number]])=3,FALSE,TRUE)</f>
        <v>1</v>
      </c>
      <c r="S476" t="b">
        <f>IF(COUNTBLANK(Master_Reference[[#This Row],[C-Flex 3000K 3W Part Number]:[C-Flex 4000K 3W Part Number]])=3,FALSE,TRUE)</f>
        <v>0</v>
      </c>
      <c r="T476" t="b">
        <f>IF(COUNTBLANK(Master_Reference[[#This Row],[Lutron 3000K Eco Part Number]:[Lutron 4000K Eco Part Number]])=3,FALSE,TRUE)</f>
        <v>1</v>
      </c>
      <c r="U476" t="b">
        <f>IF(COUNTBLANK(Master_Reference[[#This Row],[Lutron 3000K 3W Part Number]:[Lutron 4000K 3W Part Number]])=3,FALSE,TRUE)</f>
        <v>0</v>
      </c>
      <c r="V476" s="12" t="s">
        <v>478</v>
      </c>
      <c r="W476" s="12" t="s">
        <v>479</v>
      </c>
      <c r="X476" s="12" t="s">
        <v>480</v>
      </c>
      <c r="Y476" t="s">
        <v>1738</v>
      </c>
      <c r="Z476" s="12"/>
      <c r="AA476" s="12"/>
      <c r="AB476" s="12"/>
      <c r="AC476" t="s">
        <v>2125</v>
      </c>
      <c r="AD476" t="str">
        <f>SUBSTITUTE(Master_Reference[[#This Row],[C-Flex 4000K Eco Part Number]],"40-","xx-")</f>
        <v>RP-T8-3FT-1L-8xx-E1-M-G2</v>
      </c>
      <c r="AE476" t="str">
        <f>SUBSTITUTE(Master_Reference[[#This Row],[C-Flex 4000K 3W Part Number]],"40-","xx-")</f>
        <v/>
      </c>
      <c r="AF476" s="1" t="str">
        <f>_xlfn.IFNA(VLOOKUP(Master_Reference[[#This Row],[C-Flex 3000K Eco Part Number]],Lutron_CFlex_Lookup[],MATCH("Lutron Kit PN",Lutron_CFlex_Lookup[#Headers],0),FALSE),"")</f>
        <v>ELD3T8-1M30-q</v>
      </c>
      <c r="AG476" s="1" t="str">
        <f>_xlfn.IFNA(VLOOKUP(Master_Reference[[#This Row],[C-Flex 3500K Eco Part Number]],Lutron_CFlex_Lookup[],MATCH("Lutron Kit PN",Lutron_CFlex_Lookup[#Headers],0),FALSE),"")</f>
        <v>ELD3T8-1M35-q</v>
      </c>
      <c r="AH476" s="1" t="str">
        <f>_xlfn.IFNA(VLOOKUP(Master_Reference[[#This Row],[C-Flex 4000K Eco Part Number]],Lutron_CFlex_Lookup[],MATCH("Lutron Kit PN",Lutron_CFlex_Lookup[#Headers],0),FALSE),"")</f>
        <v>ELD3T8-1M40-q</v>
      </c>
      <c r="AI476" s="1" t="str">
        <f>_xlfn.IFNA(VLOOKUP(Master_Reference[[#This Row],[C-Flex 5000K Eco Part Number]],Lutron_CFlex_Lookup[],MATCH("Lutron Kit PN",Lutron_CFlex_Lookup[#Headers],0),FALSE),"")</f>
        <v>ELD3T8-1M50-q</v>
      </c>
      <c r="AJ476" s="1" t="str">
        <f>_xlfn.IFNA(VLOOKUP(Master_Reference[[#This Row],[C-Flex 3000K 3W Part Number]],Lutron_CFlex_Lookup[],MATCH("Lutron Kit PN",Lutron_CFlex_Lookup[#Headers],0),FALSE),"")</f>
        <v/>
      </c>
      <c r="AK476" s="1" t="str">
        <f>_xlfn.IFNA(VLOOKUP(Master_Reference[[#This Row],[C-Flex 3500K 3W Part Number]],Lutron_CFlex_Lookup[],MATCH("Lutron Kit PN",Lutron_CFlex_Lookup[#Headers],0),FALSE),"")</f>
        <v/>
      </c>
      <c r="AL476" s="1" t="str">
        <f>_xlfn.IFNA(VLOOKUP(Master_Reference[[#This Row],[C-Flex 4000K 3W Part Number]],Lutron_CFlex_Lookup[],MATCH("Lutron Kit PN",Lutron_CFlex_Lookup[#Headers],0),FALSE),"")</f>
        <v/>
      </c>
      <c r="AM476" s="1" t="str">
        <f>_xlfn.IFNA(VLOOKUP(Master_Reference[[#This Row],[C-Flex 5000K 3W Part Number]],Lutron_CFlex_Lookup[],MATCH("Lutron Kit PN",Lutron_CFlex_Lookup[#Headers],0),FALSE),"")</f>
        <v/>
      </c>
      <c r="AN476" s="1" t="b">
        <f>NOT(ISNA(VLOOKUP(Master_Reference[[#This Row],[Model Number]],ObsoleteModels[],1,FALSE)))</f>
        <v>1</v>
      </c>
      <c r="AO476" s="1" t="str">
        <f>IF(LEFT(Master_Reference[[#This Row],[Model Number]],1)="U",LEFT(Master_Reference[[#This Row],[Model Number]],4),LEFT(Master_Reference[[#This Row],[Model Number]],3))</f>
        <v>EHD</v>
      </c>
    </row>
    <row r="477" spans="1:41" x14ac:dyDescent="0.25">
      <c r="A477" s="2" t="s">
        <v>758</v>
      </c>
      <c r="B477" s="1" t="b">
        <v>1</v>
      </c>
      <c r="G477" s="1" t="b">
        <f>IF(OR(LEFT(RIGHT(Master_Reference[[#This Row],[Model Number]],3),1)="C",LEFT(RIGHT(Master_Reference[[#This Row],[Model Number]],4),1)="C"),TRUE,"")</f>
        <v>1</v>
      </c>
      <c r="H477" s="1" t="str">
        <f>IF(LEFT(Master_Reference[[#This Row],[Model Number]],1)="U",TRUE,"")</f>
        <v/>
      </c>
      <c r="I477" s="1" t="str">
        <f>IF(Master_Reference[[#This Row],[Lamp Type]]="T4","",IF(Master_Reference[[#This Row],[Case Type]]="M","",TRUE))</f>
        <v/>
      </c>
      <c r="J477" s="1" t="str">
        <f t="shared" si="7"/>
        <v>T8</v>
      </c>
      <c r="K477" s="1">
        <v>25</v>
      </c>
      <c r="L477" s="1" t="s">
        <v>115</v>
      </c>
      <c r="M477" s="1">
        <v>1</v>
      </c>
      <c r="N477" s="1" t="s">
        <v>149</v>
      </c>
      <c r="O477" s="1" t="s">
        <v>632</v>
      </c>
      <c r="R477" t="b">
        <f>IF(COUNTBLANK(Master_Reference[[#This Row],[C-Flex 3000K Eco Part Number]:[C-Flex 4000K Eco Part Number]])=3,FALSE,TRUE)</f>
        <v>1</v>
      </c>
      <c r="S477" t="b">
        <f>IF(COUNTBLANK(Master_Reference[[#This Row],[C-Flex 3000K 3W Part Number]:[C-Flex 4000K 3W Part Number]])=3,FALSE,TRUE)</f>
        <v>0</v>
      </c>
      <c r="T477" t="b">
        <f>IF(COUNTBLANK(Master_Reference[[#This Row],[Lutron 3000K Eco Part Number]:[Lutron 4000K Eco Part Number]])=3,FALSE,TRUE)</f>
        <v>1</v>
      </c>
      <c r="U477" t="b">
        <f>IF(COUNTBLANK(Master_Reference[[#This Row],[Lutron 3000K 3W Part Number]:[Lutron 4000K 3W Part Number]])=3,FALSE,TRUE)</f>
        <v>0</v>
      </c>
      <c r="V477" s="12" t="s">
        <v>478</v>
      </c>
      <c r="W477" s="12" t="s">
        <v>479</v>
      </c>
      <c r="X477" s="12" t="s">
        <v>480</v>
      </c>
      <c r="Y477" t="s">
        <v>1738</v>
      </c>
      <c r="Z477" s="12"/>
      <c r="AA477" s="12"/>
      <c r="AB477" s="12"/>
      <c r="AC477" t="s">
        <v>2125</v>
      </c>
      <c r="AD477" t="str">
        <f>SUBSTITUTE(Master_Reference[[#This Row],[C-Flex 4000K Eco Part Number]],"40-","xx-")</f>
        <v>RP-T8-3FT-1L-8xx-E1-M-G2</v>
      </c>
      <c r="AE477" t="str">
        <f>SUBSTITUTE(Master_Reference[[#This Row],[C-Flex 4000K 3W Part Number]],"40-","xx-")</f>
        <v/>
      </c>
      <c r="AF477" s="1" t="str">
        <f>_xlfn.IFNA(VLOOKUP(Master_Reference[[#This Row],[C-Flex 3000K Eco Part Number]],Lutron_CFlex_Lookup[],MATCH("Lutron Kit PN",Lutron_CFlex_Lookup[#Headers],0),FALSE),"")</f>
        <v>ELD3T8-1M30-q</v>
      </c>
      <c r="AG477" s="1" t="str">
        <f>_xlfn.IFNA(VLOOKUP(Master_Reference[[#This Row],[C-Flex 3500K Eco Part Number]],Lutron_CFlex_Lookup[],MATCH("Lutron Kit PN",Lutron_CFlex_Lookup[#Headers],0),FALSE),"")</f>
        <v>ELD3T8-1M35-q</v>
      </c>
      <c r="AH477" s="1" t="str">
        <f>_xlfn.IFNA(VLOOKUP(Master_Reference[[#This Row],[C-Flex 4000K Eco Part Number]],Lutron_CFlex_Lookup[],MATCH("Lutron Kit PN",Lutron_CFlex_Lookup[#Headers],0),FALSE),"")</f>
        <v>ELD3T8-1M40-q</v>
      </c>
      <c r="AI477" s="1" t="str">
        <f>_xlfn.IFNA(VLOOKUP(Master_Reference[[#This Row],[C-Flex 5000K Eco Part Number]],Lutron_CFlex_Lookup[],MATCH("Lutron Kit PN",Lutron_CFlex_Lookup[#Headers],0),FALSE),"")</f>
        <v>ELD3T8-1M50-q</v>
      </c>
      <c r="AJ477" s="1" t="str">
        <f>_xlfn.IFNA(VLOOKUP(Master_Reference[[#This Row],[C-Flex 3000K 3W Part Number]],Lutron_CFlex_Lookup[],MATCH("Lutron Kit PN",Lutron_CFlex_Lookup[#Headers],0),FALSE),"")</f>
        <v/>
      </c>
      <c r="AK477" s="1" t="str">
        <f>_xlfn.IFNA(VLOOKUP(Master_Reference[[#This Row],[C-Flex 3500K 3W Part Number]],Lutron_CFlex_Lookup[],MATCH("Lutron Kit PN",Lutron_CFlex_Lookup[#Headers],0),FALSE),"")</f>
        <v/>
      </c>
      <c r="AL477" s="1" t="str">
        <f>_xlfn.IFNA(VLOOKUP(Master_Reference[[#This Row],[C-Flex 4000K 3W Part Number]],Lutron_CFlex_Lookup[],MATCH("Lutron Kit PN",Lutron_CFlex_Lookup[#Headers],0),FALSE),"")</f>
        <v/>
      </c>
      <c r="AM477" s="1" t="str">
        <f>_xlfn.IFNA(VLOOKUP(Master_Reference[[#This Row],[C-Flex 5000K 3W Part Number]],Lutron_CFlex_Lookup[],MATCH("Lutron Kit PN",Lutron_CFlex_Lookup[#Headers],0),FALSE),"")</f>
        <v/>
      </c>
      <c r="AN477" s="1" t="b">
        <f>NOT(ISNA(VLOOKUP(Master_Reference[[#This Row],[Model Number]],ObsoleteModels[],1,FALSE)))</f>
        <v>1</v>
      </c>
      <c r="AO477" s="1" t="str">
        <f>IF(LEFT(Master_Reference[[#This Row],[Model Number]],1)="U",LEFT(Master_Reference[[#This Row],[Model Number]],4),LEFT(Master_Reference[[#This Row],[Model Number]],3))</f>
        <v>EHD</v>
      </c>
    </row>
    <row r="478" spans="1:41" x14ac:dyDescent="0.25">
      <c r="A478" s="2" t="s">
        <v>759</v>
      </c>
      <c r="B478" s="1" t="b">
        <v>1</v>
      </c>
      <c r="G478" s="1" t="b">
        <f>IF(OR(LEFT(RIGHT(Master_Reference[[#This Row],[Model Number]],3),1)="C",LEFT(RIGHT(Master_Reference[[#This Row],[Model Number]],4),1)="C"),TRUE,"")</f>
        <v>1</v>
      </c>
      <c r="H478" s="1" t="str">
        <f>IF(LEFT(Master_Reference[[#This Row],[Model Number]],1)="U",TRUE,"")</f>
        <v/>
      </c>
      <c r="I478" s="1" t="str">
        <f>IF(Master_Reference[[#This Row],[Lamp Type]]="T4","",IF(Master_Reference[[#This Row],[Case Type]]="M","",TRUE))</f>
        <v/>
      </c>
      <c r="J478" s="1" t="str">
        <f t="shared" si="7"/>
        <v>T8</v>
      </c>
      <c r="K478" s="1">
        <v>25</v>
      </c>
      <c r="L478" s="1" t="s">
        <v>115</v>
      </c>
      <c r="M478" s="1">
        <v>1</v>
      </c>
      <c r="N478" s="1" t="s">
        <v>149</v>
      </c>
      <c r="O478" s="1" t="s">
        <v>632</v>
      </c>
      <c r="R478" t="b">
        <f>IF(COUNTBLANK(Master_Reference[[#This Row],[C-Flex 3000K Eco Part Number]:[C-Flex 4000K Eco Part Number]])=3,FALSE,TRUE)</f>
        <v>1</v>
      </c>
      <c r="S478" t="b">
        <f>IF(COUNTBLANK(Master_Reference[[#This Row],[C-Flex 3000K 3W Part Number]:[C-Flex 4000K 3W Part Number]])=3,FALSE,TRUE)</f>
        <v>0</v>
      </c>
      <c r="T478" t="b">
        <f>IF(COUNTBLANK(Master_Reference[[#This Row],[Lutron 3000K Eco Part Number]:[Lutron 4000K Eco Part Number]])=3,FALSE,TRUE)</f>
        <v>1</v>
      </c>
      <c r="U478" t="b">
        <f>IF(COUNTBLANK(Master_Reference[[#This Row],[Lutron 3000K 3W Part Number]:[Lutron 4000K 3W Part Number]])=3,FALSE,TRUE)</f>
        <v>0</v>
      </c>
      <c r="V478" s="12" t="s">
        <v>478</v>
      </c>
      <c r="W478" s="12" t="s">
        <v>479</v>
      </c>
      <c r="X478" s="12" t="s">
        <v>480</v>
      </c>
      <c r="Y478" t="s">
        <v>1738</v>
      </c>
      <c r="Z478" s="12"/>
      <c r="AA478" s="12"/>
      <c r="AB478" s="12"/>
      <c r="AC478" t="s">
        <v>2125</v>
      </c>
      <c r="AD478" t="str">
        <f>SUBSTITUTE(Master_Reference[[#This Row],[C-Flex 4000K Eco Part Number]],"40-","xx-")</f>
        <v>RP-T8-3FT-1L-8xx-E1-M-G2</v>
      </c>
      <c r="AE478" t="str">
        <f>SUBSTITUTE(Master_Reference[[#This Row],[C-Flex 4000K 3W Part Number]],"40-","xx-")</f>
        <v/>
      </c>
      <c r="AF478" s="1" t="str">
        <f>_xlfn.IFNA(VLOOKUP(Master_Reference[[#This Row],[C-Flex 3000K Eco Part Number]],Lutron_CFlex_Lookup[],MATCH("Lutron Kit PN",Lutron_CFlex_Lookup[#Headers],0),FALSE),"")</f>
        <v>ELD3T8-1M30-q</v>
      </c>
      <c r="AG478" s="1" t="str">
        <f>_xlfn.IFNA(VLOOKUP(Master_Reference[[#This Row],[C-Flex 3500K Eco Part Number]],Lutron_CFlex_Lookup[],MATCH("Lutron Kit PN",Lutron_CFlex_Lookup[#Headers],0),FALSE),"")</f>
        <v>ELD3T8-1M35-q</v>
      </c>
      <c r="AH478" s="1" t="str">
        <f>_xlfn.IFNA(VLOOKUP(Master_Reference[[#This Row],[C-Flex 4000K Eco Part Number]],Lutron_CFlex_Lookup[],MATCH("Lutron Kit PN",Lutron_CFlex_Lookup[#Headers],0),FALSE),"")</f>
        <v>ELD3T8-1M40-q</v>
      </c>
      <c r="AI478" s="1" t="str">
        <f>_xlfn.IFNA(VLOOKUP(Master_Reference[[#This Row],[C-Flex 5000K Eco Part Number]],Lutron_CFlex_Lookup[],MATCH("Lutron Kit PN",Lutron_CFlex_Lookup[#Headers],0),FALSE),"")</f>
        <v>ELD3T8-1M50-q</v>
      </c>
      <c r="AJ478" s="1" t="str">
        <f>_xlfn.IFNA(VLOOKUP(Master_Reference[[#This Row],[C-Flex 3000K 3W Part Number]],Lutron_CFlex_Lookup[],MATCH("Lutron Kit PN",Lutron_CFlex_Lookup[#Headers],0),FALSE),"")</f>
        <v/>
      </c>
      <c r="AK478" s="1" t="str">
        <f>_xlfn.IFNA(VLOOKUP(Master_Reference[[#This Row],[C-Flex 3500K 3W Part Number]],Lutron_CFlex_Lookup[],MATCH("Lutron Kit PN",Lutron_CFlex_Lookup[#Headers],0),FALSE),"")</f>
        <v/>
      </c>
      <c r="AL478" s="1" t="str">
        <f>_xlfn.IFNA(VLOOKUP(Master_Reference[[#This Row],[C-Flex 4000K 3W Part Number]],Lutron_CFlex_Lookup[],MATCH("Lutron Kit PN",Lutron_CFlex_Lookup[#Headers],0),FALSE),"")</f>
        <v/>
      </c>
      <c r="AM478" s="1" t="str">
        <f>_xlfn.IFNA(VLOOKUP(Master_Reference[[#This Row],[C-Flex 5000K 3W Part Number]],Lutron_CFlex_Lookup[],MATCH("Lutron Kit PN",Lutron_CFlex_Lookup[#Headers],0),FALSE),"")</f>
        <v/>
      </c>
      <c r="AN478" s="1" t="b">
        <f>NOT(ISNA(VLOOKUP(Master_Reference[[#This Row],[Model Number]],ObsoleteModels[],1,FALSE)))</f>
        <v>1</v>
      </c>
      <c r="AO478" s="1" t="str">
        <f>IF(LEFT(Master_Reference[[#This Row],[Model Number]],1)="U",LEFT(Master_Reference[[#This Row],[Model Number]],4),LEFT(Master_Reference[[#This Row],[Model Number]],3))</f>
        <v>EHD</v>
      </c>
    </row>
    <row r="479" spans="1:41" x14ac:dyDescent="0.25">
      <c r="A479" s="2" t="s">
        <v>760</v>
      </c>
      <c r="B479" s="1" t="b">
        <v>1</v>
      </c>
      <c r="G479" s="1" t="b">
        <f>IF(OR(LEFT(RIGHT(Master_Reference[[#This Row],[Model Number]],3),1)="C",LEFT(RIGHT(Master_Reference[[#This Row],[Model Number]],4),1)="C"),TRUE,"")</f>
        <v>1</v>
      </c>
      <c r="H479" s="1" t="str">
        <f>IF(LEFT(Master_Reference[[#This Row],[Model Number]],1)="U",TRUE,"")</f>
        <v/>
      </c>
      <c r="I479" s="1" t="str">
        <f>IF(Master_Reference[[#This Row],[Lamp Type]]="T4","",IF(Master_Reference[[#This Row],[Case Type]]="M","",TRUE))</f>
        <v/>
      </c>
      <c r="J479" s="1" t="str">
        <f t="shared" si="7"/>
        <v>T8</v>
      </c>
      <c r="K479" s="1">
        <v>25</v>
      </c>
      <c r="L479" s="1" t="s">
        <v>115</v>
      </c>
      <c r="M479" s="1">
        <v>1</v>
      </c>
      <c r="N479" s="1" t="s">
        <v>149</v>
      </c>
      <c r="O479" s="1" t="s">
        <v>632</v>
      </c>
      <c r="R479" t="b">
        <f>IF(COUNTBLANK(Master_Reference[[#This Row],[C-Flex 3000K Eco Part Number]:[C-Flex 4000K Eco Part Number]])=3,FALSE,TRUE)</f>
        <v>1</v>
      </c>
      <c r="S479" t="b">
        <f>IF(COUNTBLANK(Master_Reference[[#This Row],[C-Flex 3000K 3W Part Number]:[C-Flex 4000K 3W Part Number]])=3,FALSE,TRUE)</f>
        <v>0</v>
      </c>
      <c r="T479" t="b">
        <f>IF(COUNTBLANK(Master_Reference[[#This Row],[Lutron 3000K Eco Part Number]:[Lutron 4000K Eco Part Number]])=3,FALSE,TRUE)</f>
        <v>1</v>
      </c>
      <c r="U479" t="b">
        <f>IF(COUNTBLANK(Master_Reference[[#This Row],[Lutron 3000K 3W Part Number]:[Lutron 4000K 3W Part Number]])=3,FALSE,TRUE)</f>
        <v>0</v>
      </c>
      <c r="V479" s="12" t="s">
        <v>478</v>
      </c>
      <c r="W479" s="12" t="s">
        <v>479</v>
      </c>
      <c r="X479" s="12" t="s">
        <v>480</v>
      </c>
      <c r="Y479" t="s">
        <v>1738</v>
      </c>
      <c r="Z479" s="12"/>
      <c r="AA479" s="12"/>
      <c r="AB479" s="12"/>
      <c r="AC479" t="s">
        <v>2125</v>
      </c>
      <c r="AD479" t="str">
        <f>SUBSTITUTE(Master_Reference[[#This Row],[C-Flex 4000K Eco Part Number]],"40-","xx-")</f>
        <v>RP-T8-3FT-1L-8xx-E1-M-G2</v>
      </c>
      <c r="AE479" t="str">
        <f>SUBSTITUTE(Master_Reference[[#This Row],[C-Flex 4000K 3W Part Number]],"40-","xx-")</f>
        <v/>
      </c>
      <c r="AF479" s="1" t="str">
        <f>_xlfn.IFNA(VLOOKUP(Master_Reference[[#This Row],[C-Flex 3000K Eco Part Number]],Lutron_CFlex_Lookup[],MATCH("Lutron Kit PN",Lutron_CFlex_Lookup[#Headers],0),FALSE),"")</f>
        <v>ELD3T8-1M30-q</v>
      </c>
      <c r="AG479" s="1" t="str">
        <f>_xlfn.IFNA(VLOOKUP(Master_Reference[[#This Row],[C-Flex 3500K Eco Part Number]],Lutron_CFlex_Lookup[],MATCH("Lutron Kit PN",Lutron_CFlex_Lookup[#Headers],0),FALSE),"")</f>
        <v>ELD3T8-1M35-q</v>
      </c>
      <c r="AH479" s="1" t="str">
        <f>_xlfn.IFNA(VLOOKUP(Master_Reference[[#This Row],[C-Flex 4000K Eco Part Number]],Lutron_CFlex_Lookup[],MATCH("Lutron Kit PN",Lutron_CFlex_Lookup[#Headers],0),FALSE),"")</f>
        <v>ELD3T8-1M40-q</v>
      </c>
      <c r="AI479" s="1" t="str">
        <f>_xlfn.IFNA(VLOOKUP(Master_Reference[[#This Row],[C-Flex 5000K Eco Part Number]],Lutron_CFlex_Lookup[],MATCH("Lutron Kit PN",Lutron_CFlex_Lookup[#Headers],0),FALSE),"")</f>
        <v>ELD3T8-1M50-q</v>
      </c>
      <c r="AJ479" s="1" t="str">
        <f>_xlfn.IFNA(VLOOKUP(Master_Reference[[#This Row],[C-Flex 3000K 3W Part Number]],Lutron_CFlex_Lookup[],MATCH("Lutron Kit PN",Lutron_CFlex_Lookup[#Headers],0),FALSE),"")</f>
        <v/>
      </c>
      <c r="AK479" s="1" t="str">
        <f>_xlfn.IFNA(VLOOKUP(Master_Reference[[#This Row],[C-Flex 3500K 3W Part Number]],Lutron_CFlex_Lookup[],MATCH("Lutron Kit PN",Lutron_CFlex_Lookup[#Headers],0),FALSE),"")</f>
        <v/>
      </c>
      <c r="AL479" s="1" t="str">
        <f>_xlfn.IFNA(VLOOKUP(Master_Reference[[#This Row],[C-Flex 4000K 3W Part Number]],Lutron_CFlex_Lookup[],MATCH("Lutron Kit PN",Lutron_CFlex_Lookup[#Headers],0),FALSE),"")</f>
        <v/>
      </c>
      <c r="AM479" s="1" t="str">
        <f>_xlfn.IFNA(VLOOKUP(Master_Reference[[#This Row],[C-Flex 5000K 3W Part Number]],Lutron_CFlex_Lookup[],MATCH("Lutron Kit PN",Lutron_CFlex_Lookup[#Headers],0),FALSE),"")</f>
        <v/>
      </c>
      <c r="AN479" s="1" t="b">
        <f>NOT(ISNA(VLOOKUP(Master_Reference[[#This Row],[Model Number]],ObsoleteModels[],1,FALSE)))</f>
        <v>1</v>
      </c>
      <c r="AO479" s="1" t="str">
        <f>IF(LEFT(Master_Reference[[#This Row],[Model Number]],1)="U",LEFT(Master_Reference[[#This Row],[Model Number]],4),LEFT(Master_Reference[[#This Row],[Model Number]],3))</f>
        <v>EHD</v>
      </c>
    </row>
    <row r="480" spans="1:41" x14ac:dyDescent="0.25">
      <c r="A480" s="2" t="s">
        <v>761</v>
      </c>
      <c r="B480" s="1" t="b">
        <v>1</v>
      </c>
      <c r="G480" s="1" t="b">
        <f>IF(OR(LEFT(RIGHT(Master_Reference[[#This Row],[Model Number]],3),1)="C",LEFT(RIGHT(Master_Reference[[#This Row],[Model Number]],4),1)="C"),TRUE,"")</f>
        <v>1</v>
      </c>
      <c r="H480" s="1" t="str">
        <f>IF(LEFT(Master_Reference[[#This Row],[Model Number]],1)="U",TRUE,"")</f>
        <v/>
      </c>
      <c r="I480" s="1" t="str">
        <f>IF(Master_Reference[[#This Row],[Lamp Type]]="T4","",IF(Master_Reference[[#This Row],[Case Type]]="M","",TRUE))</f>
        <v/>
      </c>
      <c r="J480" s="1" t="str">
        <f t="shared" si="7"/>
        <v>T8</v>
      </c>
      <c r="K480" s="1">
        <v>25</v>
      </c>
      <c r="L480" s="1" t="s">
        <v>115</v>
      </c>
      <c r="M480" s="1">
        <v>1</v>
      </c>
      <c r="N480" s="1" t="s">
        <v>149</v>
      </c>
      <c r="O480" s="1" t="s">
        <v>632</v>
      </c>
      <c r="R480" t="b">
        <f>IF(COUNTBLANK(Master_Reference[[#This Row],[C-Flex 3000K Eco Part Number]:[C-Flex 4000K Eco Part Number]])=3,FALSE,TRUE)</f>
        <v>1</v>
      </c>
      <c r="S480" t="b">
        <f>IF(COUNTBLANK(Master_Reference[[#This Row],[C-Flex 3000K 3W Part Number]:[C-Flex 4000K 3W Part Number]])=3,FALSE,TRUE)</f>
        <v>0</v>
      </c>
      <c r="T480" t="b">
        <f>IF(COUNTBLANK(Master_Reference[[#This Row],[Lutron 3000K Eco Part Number]:[Lutron 4000K Eco Part Number]])=3,FALSE,TRUE)</f>
        <v>1</v>
      </c>
      <c r="U480" t="b">
        <f>IF(COUNTBLANK(Master_Reference[[#This Row],[Lutron 3000K 3W Part Number]:[Lutron 4000K 3W Part Number]])=3,FALSE,TRUE)</f>
        <v>0</v>
      </c>
      <c r="V480" s="12" t="s">
        <v>478</v>
      </c>
      <c r="W480" s="12" t="s">
        <v>479</v>
      </c>
      <c r="X480" s="12" t="s">
        <v>480</v>
      </c>
      <c r="Y480" t="s">
        <v>1738</v>
      </c>
      <c r="Z480" s="12"/>
      <c r="AA480" s="12"/>
      <c r="AB480" s="12"/>
      <c r="AC480" t="s">
        <v>2125</v>
      </c>
      <c r="AD480" t="str">
        <f>SUBSTITUTE(Master_Reference[[#This Row],[C-Flex 4000K Eco Part Number]],"40-","xx-")</f>
        <v>RP-T8-3FT-1L-8xx-E1-M-G2</v>
      </c>
      <c r="AE480" t="str">
        <f>SUBSTITUTE(Master_Reference[[#This Row],[C-Flex 4000K 3W Part Number]],"40-","xx-")</f>
        <v/>
      </c>
      <c r="AF480" s="1" t="str">
        <f>_xlfn.IFNA(VLOOKUP(Master_Reference[[#This Row],[C-Flex 3000K Eco Part Number]],Lutron_CFlex_Lookup[],MATCH("Lutron Kit PN",Lutron_CFlex_Lookup[#Headers],0),FALSE),"")</f>
        <v>ELD3T8-1M30-q</v>
      </c>
      <c r="AG480" s="1" t="str">
        <f>_xlfn.IFNA(VLOOKUP(Master_Reference[[#This Row],[C-Flex 3500K Eco Part Number]],Lutron_CFlex_Lookup[],MATCH("Lutron Kit PN",Lutron_CFlex_Lookup[#Headers],0),FALSE),"")</f>
        <v>ELD3T8-1M35-q</v>
      </c>
      <c r="AH480" s="1" t="str">
        <f>_xlfn.IFNA(VLOOKUP(Master_Reference[[#This Row],[C-Flex 4000K Eco Part Number]],Lutron_CFlex_Lookup[],MATCH("Lutron Kit PN",Lutron_CFlex_Lookup[#Headers],0),FALSE),"")</f>
        <v>ELD3T8-1M40-q</v>
      </c>
      <c r="AI480" s="1" t="str">
        <f>_xlfn.IFNA(VLOOKUP(Master_Reference[[#This Row],[C-Flex 5000K Eco Part Number]],Lutron_CFlex_Lookup[],MATCH("Lutron Kit PN",Lutron_CFlex_Lookup[#Headers],0),FALSE),"")</f>
        <v>ELD3T8-1M50-q</v>
      </c>
      <c r="AJ480" s="1" t="str">
        <f>_xlfn.IFNA(VLOOKUP(Master_Reference[[#This Row],[C-Flex 3000K 3W Part Number]],Lutron_CFlex_Lookup[],MATCH("Lutron Kit PN",Lutron_CFlex_Lookup[#Headers],0),FALSE),"")</f>
        <v/>
      </c>
      <c r="AK480" s="1" t="str">
        <f>_xlfn.IFNA(VLOOKUP(Master_Reference[[#This Row],[C-Flex 3500K 3W Part Number]],Lutron_CFlex_Lookup[],MATCH("Lutron Kit PN",Lutron_CFlex_Lookup[#Headers],0),FALSE),"")</f>
        <v/>
      </c>
      <c r="AL480" s="1" t="str">
        <f>_xlfn.IFNA(VLOOKUP(Master_Reference[[#This Row],[C-Flex 4000K 3W Part Number]],Lutron_CFlex_Lookup[],MATCH("Lutron Kit PN",Lutron_CFlex_Lookup[#Headers],0),FALSE),"")</f>
        <v/>
      </c>
      <c r="AM480" s="1" t="str">
        <f>_xlfn.IFNA(VLOOKUP(Master_Reference[[#This Row],[C-Flex 5000K 3W Part Number]],Lutron_CFlex_Lookup[],MATCH("Lutron Kit PN",Lutron_CFlex_Lookup[#Headers],0),FALSE),"")</f>
        <v/>
      </c>
      <c r="AN480" s="1" t="b">
        <f>NOT(ISNA(VLOOKUP(Master_Reference[[#This Row],[Model Number]],ObsoleteModels[],1,FALSE)))</f>
        <v>1</v>
      </c>
      <c r="AO480" s="1" t="str">
        <f>IF(LEFT(Master_Reference[[#This Row],[Model Number]],1)="U",LEFT(Master_Reference[[#This Row],[Model Number]],4),LEFT(Master_Reference[[#This Row],[Model Number]],3))</f>
        <v>EHD</v>
      </c>
    </row>
    <row r="481" spans="1:41" x14ac:dyDescent="0.25">
      <c r="A481" s="2" t="s">
        <v>762</v>
      </c>
      <c r="B481" s="1" t="b">
        <v>1</v>
      </c>
      <c r="G481" s="1" t="b">
        <f>IF(OR(LEFT(RIGHT(Master_Reference[[#This Row],[Model Number]],3),1)="C",LEFT(RIGHT(Master_Reference[[#This Row],[Model Number]],4),1)="C"),TRUE,"")</f>
        <v>1</v>
      </c>
      <c r="H481" s="1" t="str">
        <f>IF(LEFT(Master_Reference[[#This Row],[Model Number]],1)="U",TRUE,"")</f>
        <v/>
      </c>
      <c r="I481" s="1" t="str">
        <f>IF(Master_Reference[[#This Row],[Lamp Type]]="T4","",IF(Master_Reference[[#This Row],[Case Type]]="M","",TRUE))</f>
        <v/>
      </c>
      <c r="J481" s="1" t="str">
        <f t="shared" si="7"/>
        <v>T8</v>
      </c>
      <c r="K481" s="1">
        <v>25</v>
      </c>
      <c r="L481" s="1" t="s">
        <v>115</v>
      </c>
      <c r="M481" s="1">
        <v>1</v>
      </c>
      <c r="N481" s="1" t="s">
        <v>149</v>
      </c>
      <c r="O481" s="1" t="s">
        <v>632</v>
      </c>
      <c r="R481" t="b">
        <f>IF(COUNTBLANK(Master_Reference[[#This Row],[C-Flex 3000K Eco Part Number]:[C-Flex 4000K Eco Part Number]])=3,FALSE,TRUE)</f>
        <v>1</v>
      </c>
      <c r="S481" t="b">
        <f>IF(COUNTBLANK(Master_Reference[[#This Row],[C-Flex 3000K 3W Part Number]:[C-Flex 4000K 3W Part Number]])=3,FALSE,TRUE)</f>
        <v>0</v>
      </c>
      <c r="T481" t="b">
        <f>IF(COUNTBLANK(Master_Reference[[#This Row],[Lutron 3000K Eco Part Number]:[Lutron 4000K Eco Part Number]])=3,FALSE,TRUE)</f>
        <v>1</v>
      </c>
      <c r="U481" t="b">
        <f>IF(COUNTBLANK(Master_Reference[[#This Row],[Lutron 3000K 3W Part Number]:[Lutron 4000K 3W Part Number]])=3,FALSE,TRUE)</f>
        <v>0</v>
      </c>
      <c r="V481" s="12" t="s">
        <v>478</v>
      </c>
      <c r="W481" s="12" t="s">
        <v>479</v>
      </c>
      <c r="X481" s="12" t="s">
        <v>480</v>
      </c>
      <c r="Y481" t="s">
        <v>1738</v>
      </c>
      <c r="Z481" s="12"/>
      <c r="AA481" s="12"/>
      <c r="AB481" s="12"/>
      <c r="AC481" t="s">
        <v>2125</v>
      </c>
      <c r="AD481" t="str">
        <f>SUBSTITUTE(Master_Reference[[#This Row],[C-Flex 4000K Eco Part Number]],"40-","xx-")</f>
        <v>RP-T8-3FT-1L-8xx-E1-M-G2</v>
      </c>
      <c r="AE481" t="str">
        <f>SUBSTITUTE(Master_Reference[[#This Row],[C-Flex 4000K 3W Part Number]],"40-","xx-")</f>
        <v/>
      </c>
      <c r="AF481" s="1" t="str">
        <f>_xlfn.IFNA(VLOOKUP(Master_Reference[[#This Row],[C-Flex 3000K Eco Part Number]],Lutron_CFlex_Lookup[],MATCH("Lutron Kit PN",Lutron_CFlex_Lookup[#Headers],0),FALSE),"")</f>
        <v>ELD3T8-1M30-q</v>
      </c>
      <c r="AG481" s="1" t="str">
        <f>_xlfn.IFNA(VLOOKUP(Master_Reference[[#This Row],[C-Flex 3500K Eco Part Number]],Lutron_CFlex_Lookup[],MATCH("Lutron Kit PN",Lutron_CFlex_Lookup[#Headers],0),FALSE),"")</f>
        <v>ELD3T8-1M35-q</v>
      </c>
      <c r="AH481" s="1" t="str">
        <f>_xlfn.IFNA(VLOOKUP(Master_Reference[[#This Row],[C-Flex 4000K Eco Part Number]],Lutron_CFlex_Lookup[],MATCH("Lutron Kit PN",Lutron_CFlex_Lookup[#Headers],0),FALSE),"")</f>
        <v>ELD3T8-1M40-q</v>
      </c>
      <c r="AI481" s="1" t="str">
        <f>_xlfn.IFNA(VLOOKUP(Master_Reference[[#This Row],[C-Flex 5000K Eco Part Number]],Lutron_CFlex_Lookup[],MATCH("Lutron Kit PN",Lutron_CFlex_Lookup[#Headers],0),FALSE),"")</f>
        <v>ELD3T8-1M50-q</v>
      </c>
      <c r="AJ481" s="1" t="str">
        <f>_xlfn.IFNA(VLOOKUP(Master_Reference[[#This Row],[C-Flex 3000K 3W Part Number]],Lutron_CFlex_Lookup[],MATCH("Lutron Kit PN",Lutron_CFlex_Lookup[#Headers],0),FALSE),"")</f>
        <v/>
      </c>
      <c r="AK481" s="1" t="str">
        <f>_xlfn.IFNA(VLOOKUP(Master_Reference[[#This Row],[C-Flex 3500K 3W Part Number]],Lutron_CFlex_Lookup[],MATCH("Lutron Kit PN",Lutron_CFlex_Lookup[#Headers],0),FALSE),"")</f>
        <v/>
      </c>
      <c r="AL481" s="1" t="str">
        <f>_xlfn.IFNA(VLOOKUP(Master_Reference[[#This Row],[C-Flex 4000K 3W Part Number]],Lutron_CFlex_Lookup[],MATCH("Lutron Kit PN",Lutron_CFlex_Lookup[#Headers],0),FALSE),"")</f>
        <v/>
      </c>
      <c r="AM481" s="1" t="str">
        <f>_xlfn.IFNA(VLOOKUP(Master_Reference[[#This Row],[C-Flex 5000K 3W Part Number]],Lutron_CFlex_Lookup[],MATCH("Lutron Kit PN",Lutron_CFlex_Lookup[#Headers],0),FALSE),"")</f>
        <v/>
      </c>
      <c r="AN481" s="1" t="b">
        <f>NOT(ISNA(VLOOKUP(Master_Reference[[#This Row],[Model Number]],ObsoleteModels[],1,FALSE)))</f>
        <v>1</v>
      </c>
      <c r="AO481" s="1" t="str">
        <f>IF(LEFT(Master_Reference[[#This Row],[Model Number]],1)="U",LEFT(Master_Reference[[#This Row],[Model Number]],4),LEFT(Master_Reference[[#This Row],[Model Number]],3))</f>
        <v>EHD</v>
      </c>
    </row>
    <row r="482" spans="1:41" x14ac:dyDescent="0.25">
      <c r="A482" s="2" t="s">
        <v>763</v>
      </c>
      <c r="B482" s="1" t="b">
        <v>1</v>
      </c>
      <c r="G482" s="1" t="b">
        <f>IF(OR(LEFT(RIGHT(Master_Reference[[#This Row],[Model Number]],3),1)="C",LEFT(RIGHT(Master_Reference[[#This Row],[Model Number]],4),1)="C"),TRUE,"")</f>
        <v>1</v>
      </c>
      <c r="H482" s="1" t="str">
        <f>IF(LEFT(Master_Reference[[#This Row],[Model Number]],1)="U",TRUE,"")</f>
        <v/>
      </c>
      <c r="I482" s="1" t="str">
        <f>IF(Master_Reference[[#This Row],[Lamp Type]]="T4","",IF(Master_Reference[[#This Row],[Case Type]]="M","",TRUE))</f>
        <v/>
      </c>
      <c r="J482" s="1" t="str">
        <f t="shared" si="7"/>
        <v>T8</v>
      </c>
      <c r="K482" s="1">
        <v>25</v>
      </c>
      <c r="L482" s="1" t="s">
        <v>115</v>
      </c>
      <c r="M482" s="1">
        <v>1</v>
      </c>
      <c r="N482" s="1" t="s">
        <v>149</v>
      </c>
      <c r="O482" s="1" t="s">
        <v>632</v>
      </c>
      <c r="R482" t="b">
        <f>IF(COUNTBLANK(Master_Reference[[#This Row],[C-Flex 3000K Eco Part Number]:[C-Flex 4000K Eco Part Number]])=3,FALSE,TRUE)</f>
        <v>1</v>
      </c>
      <c r="S482" t="b">
        <f>IF(COUNTBLANK(Master_Reference[[#This Row],[C-Flex 3000K 3W Part Number]:[C-Flex 4000K 3W Part Number]])=3,FALSE,TRUE)</f>
        <v>0</v>
      </c>
      <c r="T482" t="b">
        <f>IF(COUNTBLANK(Master_Reference[[#This Row],[Lutron 3000K Eco Part Number]:[Lutron 4000K Eco Part Number]])=3,FALSE,TRUE)</f>
        <v>1</v>
      </c>
      <c r="U482" t="b">
        <f>IF(COUNTBLANK(Master_Reference[[#This Row],[Lutron 3000K 3W Part Number]:[Lutron 4000K 3W Part Number]])=3,FALSE,TRUE)</f>
        <v>0</v>
      </c>
      <c r="V482" s="12" t="s">
        <v>478</v>
      </c>
      <c r="W482" s="12" t="s">
        <v>479</v>
      </c>
      <c r="X482" s="12" t="s">
        <v>480</v>
      </c>
      <c r="Y482" t="s">
        <v>1738</v>
      </c>
      <c r="Z482" s="12"/>
      <c r="AA482" s="12"/>
      <c r="AB482" s="12"/>
      <c r="AC482" t="s">
        <v>2125</v>
      </c>
      <c r="AD482" t="str">
        <f>SUBSTITUTE(Master_Reference[[#This Row],[C-Flex 4000K Eco Part Number]],"40-","xx-")</f>
        <v>RP-T8-3FT-1L-8xx-E1-M-G2</v>
      </c>
      <c r="AE482" t="str">
        <f>SUBSTITUTE(Master_Reference[[#This Row],[C-Flex 4000K 3W Part Number]],"40-","xx-")</f>
        <v/>
      </c>
      <c r="AF482" s="1" t="str">
        <f>_xlfn.IFNA(VLOOKUP(Master_Reference[[#This Row],[C-Flex 3000K Eco Part Number]],Lutron_CFlex_Lookup[],MATCH("Lutron Kit PN",Lutron_CFlex_Lookup[#Headers],0),FALSE),"")</f>
        <v>ELD3T8-1M30-q</v>
      </c>
      <c r="AG482" s="1" t="str">
        <f>_xlfn.IFNA(VLOOKUP(Master_Reference[[#This Row],[C-Flex 3500K Eco Part Number]],Lutron_CFlex_Lookup[],MATCH("Lutron Kit PN",Lutron_CFlex_Lookup[#Headers],0),FALSE),"")</f>
        <v>ELD3T8-1M35-q</v>
      </c>
      <c r="AH482" s="1" t="str">
        <f>_xlfn.IFNA(VLOOKUP(Master_Reference[[#This Row],[C-Flex 4000K Eco Part Number]],Lutron_CFlex_Lookup[],MATCH("Lutron Kit PN",Lutron_CFlex_Lookup[#Headers],0),FALSE),"")</f>
        <v>ELD3T8-1M40-q</v>
      </c>
      <c r="AI482" s="1" t="str">
        <f>_xlfn.IFNA(VLOOKUP(Master_Reference[[#This Row],[C-Flex 5000K Eco Part Number]],Lutron_CFlex_Lookup[],MATCH("Lutron Kit PN",Lutron_CFlex_Lookup[#Headers],0),FALSE),"")</f>
        <v>ELD3T8-1M50-q</v>
      </c>
      <c r="AJ482" s="1" t="str">
        <f>_xlfn.IFNA(VLOOKUP(Master_Reference[[#This Row],[C-Flex 3000K 3W Part Number]],Lutron_CFlex_Lookup[],MATCH("Lutron Kit PN",Lutron_CFlex_Lookup[#Headers],0),FALSE),"")</f>
        <v/>
      </c>
      <c r="AK482" s="1" t="str">
        <f>_xlfn.IFNA(VLOOKUP(Master_Reference[[#This Row],[C-Flex 3500K 3W Part Number]],Lutron_CFlex_Lookup[],MATCH("Lutron Kit PN",Lutron_CFlex_Lookup[#Headers],0),FALSE),"")</f>
        <v/>
      </c>
      <c r="AL482" s="1" t="str">
        <f>_xlfn.IFNA(VLOOKUP(Master_Reference[[#This Row],[C-Flex 4000K 3W Part Number]],Lutron_CFlex_Lookup[],MATCH("Lutron Kit PN",Lutron_CFlex_Lookup[#Headers],0),FALSE),"")</f>
        <v/>
      </c>
      <c r="AM482" s="1" t="str">
        <f>_xlfn.IFNA(VLOOKUP(Master_Reference[[#This Row],[C-Flex 5000K 3W Part Number]],Lutron_CFlex_Lookup[],MATCH("Lutron Kit PN",Lutron_CFlex_Lookup[#Headers],0),FALSE),"")</f>
        <v/>
      </c>
      <c r="AN482" s="1" t="b">
        <f>NOT(ISNA(VLOOKUP(Master_Reference[[#This Row],[Model Number]],ObsoleteModels[],1,FALSE)))</f>
        <v>1</v>
      </c>
      <c r="AO482" s="1" t="str">
        <f>IF(LEFT(Master_Reference[[#This Row],[Model Number]],1)="U",LEFT(Master_Reference[[#This Row],[Model Number]],4),LEFT(Master_Reference[[#This Row],[Model Number]],3))</f>
        <v>EHD</v>
      </c>
    </row>
    <row r="483" spans="1:41" x14ac:dyDescent="0.25">
      <c r="A483" s="2" t="s">
        <v>764</v>
      </c>
      <c r="B483" s="1" t="b">
        <v>1</v>
      </c>
      <c r="G483" s="1" t="b">
        <f>IF(OR(LEFT(RIGHT(Master_Reference[[#This Row],[Model Number]],3),1)="C",LEFT(RIGHT(Master_Reference[[#This Row],[Model Number]],4),1)="C"),TRUE,"")</f>
        <v>1</v>
      </c>
      <c r="H483" s="1" t="str">
        <f>IF(LEFT(Master_Reference[[#This Row],[Model Number]],1)="U",TRUE,"")</f>
        <v/>
      </c>
      <c r="I483" s="1" t="str">
        <f>IF(Master_Reference[[#This Row],[Lamp Type]]="T4","",IF(Master_Reference[[#This Row],[Case Type]]="M","",TRUE))</f>
        <v/>
      </c>
      <c r="J483" s="1" t="str">
        <f t="shared" si="7"/>
        <v>T8</v>
      </c>
      <c r="K483" s="1">
        <v>25</v>
      </c>
      <c r="L483" s="1" t="s">
        <v>115</v>
      </c>
      <c r="M483" s="1">
        <v>1</v>
      </c>
      <c r="N483" s="1" t="s">
        <v>149</v>
      </c>
      <c r="O483" s="1" t="s">
        <v>632</v>
      </c>
      <c r="R483" t="b">
        <f>IF(COUNTBLANK(Master_Reference[[#This Row],[C-Flex 3000K Eco Part Number]:[C-Flex 4000K Eco Part Number]])=3,FALSE,TRUE)</f>
        <v>1</v>
      </c>
      <c r="S483" t="b">
        <f>IF(COUNTBLANK(Master_Reference[[#This Row],[C-Flex 3000K 3W Part Number]:[C-Flex 4000K 3W Part Number]])=3,FALSE,TRUE)</f>
        <v>0</v>
      </c>
      <c r="T483" t="b">
        <f>IF(COUNTBLANK(Master_Reference[[#This Row],[Lutron 3000K Eco Part Number]:[Lutron 4000K Eco Part Number]])=3,FALSE,TRUE)</f>
        <v>1</v>
      </c>
      <c r="U483" t="b">
        <f>IF(COUNTBLANK(Master_Reference[[#This Row],[Lutron 3000K 3W Part Number]:[Lutron 4000K 3W Part Number]])=3,FALSE,TRUE)</f>
        <v>0</v>
      </c>
      <c r="V483" s="12" t="s">
        <v>478</v>
      </c>
      <c r="W483" s="12" t="s">
        <v>479</v>
      </c>
      <c r="X483" s="12" t="s">
        <v>480</v>
      </c>
      <c r="Y483" t="s">
        <v>1738</v>
      </c>
      <c r="Z483" s="12"/>
      <c r="AA483" s="12"/>
      <c r="AB483" s="12"/>
      <c r="AC483" t="s">
        <v>2125</v>
      </c>
      <c r="AD483" t="str">
        <f>SUBSTITUTE(Master_Reference[[#This Row],[C-Flex 4000K Eco Part Number]],"40-","xx-")</f>
        <v>RP-T8-3FT-1L-8xx-E1-M-G2</v>
      </c>
      <c r="AE483" t="str">
        <f>SUBSTITUTE(Master_Reference[[#This Row],[C-Flex 4000K 3W Part Number]],"40-","xx-")</f>
        <v/>
      </c>
      <c r="AF483" s="1" t="str">
        <f>_xlfn.IFNA(VLOOKUP(Master_Reference[[#This Row],[C-Flex 3000K Eco Part Number]],Lutron_CFlex_Lookup[],MATCH("Lutron Kit PN",Lutron_CFlex_Lookup[#Headers],0),FALSE),"")</f>
        <v>ELD3T8-1M30-q</v>
      </c>
      <c r="AG483" s="1" t="str">
        <f>_xlfn.IFNA(VLOOKUP(Master_Reference[[#This Row],[C-Flex 3500K Eco Part Number]],Lutron_CFlex_Lookup[],MATCH("Lutron Kit PN",Lutron_CFlex_Lookup[#Headers],0),FALSE),"")</f>
        <v>ELD3T8-1M35-q</v>
      </c>
      <c r="AH483" s="1" t="str">
        <f>_xlfn.IFNA(VLOOKUP(Master_Reference[[#This Row],[C-Flex 4000K Eco Part Number]],Lutron_CFlex_Lookup[],MATCH("Lutron Kit PN",Lutron_CFlex_Lookup[#Headers],0),FALSE),"")</f>
        <v>ELD3T8-1M40-q</v>
      </c>
      <c r="AI483" s="1" t="str">
        <f>_xlfn.IFNA(VLOOKUP(Master_Reference[[#This Row],[C-Flex 5000K Eco Part Number]],Lutron_CFlex_Lookup[],MATCH("Lutron Kit PN",Lutron_CFlex_Lookup[#Headers],0),FALSE),"")</f>
        <v>ELD3T8-1M50-q</v>
      </c>
      <c r="AJ483" s="1" t="str">
        <f>_xlfn.IFNA(VLOOKUP(Master_Reference[[#This Row],[C-Flex 3000K 3W Part Number]],Lutron_CFlex_Lookup[],MATCH("Lutron Kit PN",Lutron_CFlex_Lookup[#Headers],0),FALSE),"")</f>
        <v/>
      </c>
      <c r="AK483" s="1" t="str">
        <f>_xlfn.IFNA(VLOOKUP(Master_Reference[[#This Row],[C-Flex 3500K 3W Part Number]],Lutron_CFlex_Lookup[],MATCH("Lutron Kit PN",Lutron_CFlex_Lookup[#Headers],0),FALSE),"")</f>
        <v/>
      </c>
      <c r="AL483" s="1" t="str">
        <f>_xlfn.IFNA(VLOOKUP(Master_Reference[[#This Row],[C-Flex 4000K 3W Part Number]],Lutron_CFlex_Lookup[],MATCH("Lutron Kit PN",Lutron_CFlex_Lookup[#Headers],0),FALSE),"")</f>
        <v/>
      </c>
      <c r="AM483" s="1" t="str">
        <f>_xlfn.IFNA(VLOOKUP(Master_Reference[[#This Row],[C-Flex 5000K 3W Part Number]],Lutron_CFlex_Lookup[],MATCH("Lutron Kit PN",Lutron_CFlex_Lookup[#Headers],0),FALSE),"")</f>
        <v/>
      </c>
      <c r="AN483" s="1" t="b">
        <f>NOT(ISNA(VLOOKUP(Master_Reference[[#This Row],[Model Number]],ObsoleteModels[],1,FALSE)))</f>
        <v>1</v>
      </c>
      <c r="AO483" s="1" t="str">
        <f>IF(LEFT(Master_Reference[[#This Row],[Model Number]],1)="U",LEFT(Master_Reference[[#This Row],[Model Number]],4),LEFT(Master_Reference[[#This Row],[Model Number]],3))</f>
        <v>EHD</v>
      </c>
    </row>
    <row r="484" spans="1:41" x14ac:dyDescent="0.25">
      <c r="A484" s="2" t="s">
        <v>765</v>
      </c>
      <c r="B484" s="1" t="b">
        <v>1</v>
      </c>
      <c r="G484" s="1" t="str">
        <f>IF(OR(LEFT(RIGHT(Master_Reference[[#This Row],[Model Number]],3),1)="C",LEFT(RIGHT(Master_Reference[[#This Row],[Model Number]],4),1)="C"),TRUE,"")</f>
        <v/>
      </c>
      <c r="H484" s="1" t="str">
        <f>IF(LEFT(Master_Reference[[#This Row],[Model Number]],1)="U",TRUE,"")</f>
        <v/>
      </c>
      <c r="I484" s="1" t="str">
        <f>IF(Master_Reference[[#This Row],[Lamp Type]]="T4","",IF(Master_Reference[[#This Row],[Case Type]]="M","",TRUE))</f>
        <v/>
      </c>
      <c r="J484" s="1" t="str">
        <f t="shared" si="7"/>
        <v>T8</v>
      </c>
      <c r="K484" s="1">
        <v>25</v>
      </c>
      <c r="L484" s="1" t="s">
        <v>115</v>
      </c>
      <c r="M484" s="1">
        <v>2</v>
      </c>
      <c r="N484" s="1" t="s">
        <v>149</v>
      </c>
      <c r="O484" s="1" t="s">
        <v>632</v>
      </c>
      <c r="R484" t="b">
        <f>IF(COUNTBLANK(Master_Reference[[#This Row],[C-Flex 3000K Eco Part Number]:[C-Flex 4000K Eco Part Number]])=3,FALSE,TRUE)</f>
        <v>1</v>
      </c>
      <c r="S484" t="b">
        <f>IF(COUNTBLANK(Master_Reference[[#This Row],[C-Flex 3000K 3W Part Number]:[C-Flex 4000K 3W Part Number]])=3,FALSE,TRUE)</f>
        <v>0</v>
      </c>
      <c r="T484" t="b">
        <f>IF(COUNTBLANK(Master_Reference[[#This Row],[Lutron 3000K Eco Part Number]:[Lutron 4000K Eco Part Number]])=3,FALSE,TRUE)</f>
        <v>1</v>
      </c>
      <c r="U484" t="b">
        <f>IF(COUNTBLANK(Master_Reference[[#This Row],[Lutron 3000K 3W Part Number]:[Lutron 4000K 3W Part Number]])=3,FALSE,TRUE)</f>
        <v>0</v>
      </c>
      <c r="V484" s="12" t="s">
        <v>482</v>
      </c>
      <c r="W484" s="12" t="s">
        <v>483</v>
      </c>
      <c r="X484" s="12" t="s">
        <v>484</v>
      </c>
      <c r="Y484" t="s">
        <v>1739</v>
      </c>
      <c r="Z484" s="12"/>
      <c r="AA484" s="12"/>
      <c r="AB484" s="12"/>
      <c r="AC484" t="s">
        <v>2125</v>
      </c>
      <c r="AD484" t="str">
        <f>SUBSTITUTE(Master_Reference[[#This Row],[C-Flex 4000K Eco Part Number]],"40-","xx-")</f>
        <v>RP-T8-3FT-2L-8xx-E1-M-G2</v>
      </c>
      <c r="AE484" t="str">
        <f>SUBSTITUTE(Master_Reference[[#This Row],[C-Flex 4000K 3W Part Number]],"40-","xx-")</f>
        <v/>
      </c>
      <c r="AF484" s="1" t="str">
        <f>_xlfn.IFNA(VLOOKUP(Master_Reference[[#This Row],[C-Flex 3000K Eco Part Number]],Lutron_CFlex_Lookup[],MATCH("Lutron Kit PN",Lutron_CFlex_Lookup[#Headers],0),FALSE),"")</f>
        <v>ELD3T8-2M30-q</v>
      </c>
      <c r="AG484" s="1" t="str">
        <f>_xlfn.IFNA(VLOOKUP(Master_Reference[[#This Row],[C-Flex 3500K Eco Part Number]],Lutron_CFlex_Lookup[],MATCH("Lutron Kit PN",Lutron_CFlex_Lookup[#Headers],0),FALSE),"")</f>
        <v>ELD3T8-2M35-q</v>
      </c>
      <c r="AH484" s="1" t="str">
        <f>_xlfn.IFNA(VLOOKUP(Master_Reference[[#This Row],[C-Flex 4000K Eco Part Number]],Lutron_CFlex_Lookup[],MATCH("Lutron Kit PN",Lutron_CFlex_Lookup[#Headers],0),FALSE),"")</f>
        <v>ELD3T8-2M40-q</v>
      </c>
      <c r="AI484" s="1" t="str">
        <f>_xlfn.IFNA(VLOOKUP(Master_Reference[[#This Row],[C-Flex 5000K Eco Part Number]],Lutron_CFlex_Lookup[],MATCH("Lutron Kit PN",Lutron_CFlex_Lookup[#Headers],0),FALSE),"")</f>
        <v>ELD3T8-2M50-q</v>
      </c>
      <c r="AJ484" s="1" t="str">
        <f>_xlfn.IFNA(VLOOKUP(Master_Reference[[#This Row],[C-Flex 3000K 3W Part Number]],Lutron_CFlex_Lookup[],MATCH("Lutron Kit PN",Lutron_CFlex_Lookup[#Headers],0),FALSE),"")</f>
        <v/>
      </c>
      <c r="AK484" s="1" t="str">
        <f>_xlfn.IFNA(VLOOKUP(Master_Reference[[#This Row],[C-Flex 3500K 3W Part Number]],Lutron_CFlex_Lookup[],MATCH("Lutron Kit PN",Lutron_CFlex_Lookup[#Headers],0),FALSE),"")</f>
        <v/>
      </c>
      <c r="AL484" s="1" t="str">
        <f>_xlfn.IFNA(VLOOKUP(Master_Reference[[#This Row],[C-Flex 4000K 3W Part Number]],Lutron_CFlex_Lookup[],MATCH("Lutron Kit PN",Lutron_CFlex_Lookup[#Headers],0),FALSE),"")</f>
        <v/>
      </c>
      <c r="AM484" s="1" t="str">
        <f>_xlfn.IFNA(VLOOKUP(Master_Reference[[#This Row],[C-Flex 5000K 3W Part Number]],Lutron_CFlex_Lookup[],MATCH("Lutron Kit PN",Lutron_CFlex_Lookup[#Headers],0),FALSE),"")</f>
        <v/>
      </c>
      <c r="AN484" s="1" t="b">
        <f>NOT(ISNA(VLOOKUP(Master_Reference[[#This Row],[Model Number]],ObsoleteModels[],1,FALSE)))</f>
        <v>1</v>
      </c>
      <c r="AO484" s="1" t="str">
        <f>IF(LEFT(Master_Reference[[#This Row],[Model Number]],1)="U",LEFT(Master_Reference[[#This Row],[Model Number]],4),LEFT(Master_Reference[[#This Row],[Model Number]],3))</f>
        <v>EHD</v>
      </c>
    </row>
    <row r="485" spans="1:41" x14ac:dyDescent="0.25">
      <c r="A485" s="2" t="s">
        <v>766</v>
      </c>
      <c r="B485" s="1" t="b">
        <v>1</v>
      </c>
      <c r="G485" s="1" t="str">
        <f>IF(OR(LEFT(RIGHT(Master_Reference[[#This Row],[Model Number]],3),1)="C",LEFT(RIGHT(Master_Reference[[#This Row],[Model Number]],4),1)="C"),TRUE,"")</f>
        <v/>
      </c>
      <c r="H485" s="1" t="str">
        <f>IF(LEFT(Master_Reference[[#This Row],[Model Number]],1)="U",TRUE,"")</f>
        <v/>
      </c>
      <c r="I485" s="1" t="str">
        <f>IF(Master_Reference[[#This Row],[Lamp Type]]="T4","",IF(Master_Reference[[#This Row],[Case Type]]="M","",TRUE))</f>
        <v/>
      </c>
      <c r="J485" s="1" t="str">
        <f t="shared" si="7"/>
        <v>T8</v>
      </c>
      <c r="K485" s="1">
        <v>25</v>
      </c>
      <c r="L485" s="1" t="s">
        <v>115</v>
      </c>
      <c r="M485" s="1">
        <v>2</v>
      </c>
      <c r="N485" s="1" t="s">
        <v>149</v>
      </c>
      <c r="O485" s="1" t="s">
        <v>632</v>
      </c>
      <c r="Q485" s="1" t="s">
        <v>91</v>
      </c>
      <c r="R485" t="b">
        <f>IF(COUNTBLANK(Master_Reference[[#This Row],[C-Flex 3000K Eco Part Number]:[C-Flex 4000K Eco Part Number]])=3,FALSE,TRUE)</f>
        <v>0</v>
      </c>
      <c r="S485" t="b">
        <f>IF(COUNTBLANK(Master_Reference[[#This Row],[C-Flex 3000K 3W Part Number]:[C-Flex 4000K 3W Part Number]])=3,FALSE,TRUE)</f>
        <v>0</v>
      </c>
      <c r="T485" t="b">
        <f>IF(COUNTBLANK(Master_Reference[[#This Row],[Lutron 3000K Eco Part Number]:[Lutron 4000K Eco Part Number]])=3,FALSE,TRUE)</f>
        <v>0</v>
      </c>
      <c r="U485" t="b">
        <f>IF(COUNTBLANK(Master_Reference[[#This Row],[Lutron 3000K 3W Part Number]:[Lutron 4000K 3W Part Number]])=3,FALSE,TRUE)</f>
        <v>0</v>
      </c>
      <c r="V485" s="12"/>
      <c r="W485" s="12"/>
      <c r="X485" s="12"/>
      <c r="Y485" t="s">
        <v>2125</v>
      </c>
      <c r="Z485" s="12"/>
      <c r="AA485" s="12"/>
      <c r="AB485" s="12"/>
      <c r="AC485" t="s">
        <v>2125</v>
      </c>
      <c r="AD485" t="str">
        <f>SUBSTITUTE(Master_Reference[[#This Row],[C-Flex 4000K Eco Part Number]],"40-","xx-")</f>
        <v/>
      </c>
      <c r="AE485" t="str">
        <f>SUBSTITUTE(Master_Reference[[#This Row],[C-Flex 4000K 3W Part Number]],"40-","xx-")</f>
        <v/>
      </c>
      <c r="AF485" s="1" t="str">
        <f>_xlfn.IFNA(VLOOKUP(Master_Reference[[#This Row],[C-Flex 3000K Eco Part Number]],Lutron_CFlex_Lookup[],MATCH("Lutron Kit PN",Lutron_CFlex_Lookup[#Headers],0),FALSE),"")</f>
        <v/>
      </c>
      <c r="AG485" s="1" t="str">
        <f>_xlfn.IFNA(VLOOKUP(Master_Reference[[#This Row],[C-Flex 3500K Eco Part Number]],Lutron_CFlex_Lookup[],MATCH("Lutron Kit PN",Lutron_CFlex_Lookup[#Headers],0),FALSE),"")</f>
        <v/>
      </c>
      <c r="AH485" s="1" t="str">
        <f>_xlfn.IFNA(VLOOKUP(Master_Reference[[#This Row],[C-Flex 4000K Eco Part Number]],Lutron_CFlex_Lookup[],MATCH("Lutron Kit PN",Lutron_CFlex_Lookup[#Headers],0),FALSE),"")</f>
        <v/>
      </c>
      <c r="AI485" s="1" t="str">
        <f>_xlfn.IFNA(VLOOKUP(Master_Reference[[#This Row],[C-Flex 5000K Eco Part Number]],Lutron_CFlex_Lookup[],MATCH("Lutron Kit PN",Lutron_CFlex_Lookup[#Headers],0),FALSE),"")</f>
        <v/>
      </c>
      <c r="AJ485" s="1" t="str">
        <f>_xlfn.IFNA(VLOOKUP(Master_Reference[[#This Row],[C-Flex 3000K 3W Part Number]],Lutron_CFlex_Lookup[],MATCH("Lutron Kit PN",Lutron_CFlex_Lookup[#Headers],0),FALSE),"")</f>
        <v/>
      </c>
      <c r="AK485" s="1" t="str">
        <f>_xlfn.IFNA(VLOOKUP(Master_Reference[[#This Row],[C-Flex 3500K 3W Part Number]],Lutron_CFlex_Lookup[],MATCH("Lutron Kit PN",Lutron_CFlex_Lookup[#Headers],0),FALSE),"")</f>
        <v/>
      </c>
      <c r="AL485" s="1" t="str">
        <f>_xlfn.IFNA(VLOOKUP(Master_Reference[[#This Row],[C-Flex 4000K 3W Part Number]],Lutron_CFlex_Lookup[],MATCH("Lutron Kit PN",Lutron_CFlex_Lookup[#Headers],0),FALSE),"")</f>
        <v/>
      </c>
      <c r="AM485" s="1" t="str">
        <f>_xlfn.IFNA(VLOOKUP(Master_Reference[[#This Row],[C-Flex 5000K 3W Part Number]],Lutron_CFlex_Lookup[],MATCH("Lutron Kit PN",Lutron_CFlex_Lookup[#Headers],0),FALSE),"")</f>
        <v/>
      </c>
      <c r="AN485" s="1" t="b">
        <f>NOT(ISNA(VLOOKUP(Master_Reference[[#This Row],[Model Number]],ObsoleteModels[],1,FALSE)))</f>
        <v>1</v>
      </c>
      <c r="AO485" s="1" t="str">
        <f>IF(LEFT(Master_Reference[[#This Row],[Model Number]],1)="U",LEFT(Master_Reference[[#This Row],[Model Number]],4),LEFT(Master_Reference[[#This Row],[Model Number]],3))</f>
        <v>EHD</v>
      </c>
    </row>
    <row r="486" spans="1:41" x14ac:dyDescent="0.25">
      <c r="A486" s="2" t="s">
        <v>767</v>
      </c>
      <c r="B486" s="1" t="b">
        <v>1</v>
      </c>
      <c r="G486" s="1" t="b">
        <f>IF(OR(LEFT(RIGHT(Master_Reference[[#This Row],[Model Number]],3),1)="C",LEFT(RIGHT(Master_Reference[[#This Row],[Model Number]],4),1)="C"),TRUE,"")</f>
        <v>1</v>
      </c>
      <c r="H486" s="1" t="str">
        <f>IF(LEFT(Master_Reference[[#This Row],[Model Number]],1)="U",TRUE,"")</f>
        <v/>
      </c>
      <c r="I486" s="1" t="str">
        <f>IF(Master_Reference[[#This Row],[Lamp Type]]="T4","",IF(Master_Reference[[#This Row],[Case Type]]="M","",TRUE))</f>
        <v/>
      </c>
      <c r="J486" s="1" t="str">
        <f t="shared" si="7"/>
        <v>T8</v>
      </c>
      <c r="K486" s="1">
        <v>25</v>
      </c>
      <c r="L486" s="1" t="s">
        <v>115</v>
      </c>
      <c r="M486" s="1">
        <v>2</v>
      </c>
      <c r="N486" s="1" t="s">
        <v>149</v>
      </c>
      <c r="O486" s="1" t="s">
        <v>632</v>
      </c>
      <c r="R486" t="b">
        <f>IF(COUNTBLANK(Master_Reference[[#This Row],[C-Flex 3000K Eco Part Number]:[C-Flex 4000K Eco Part Number]])=3,FALSE,TRUE)</f>
        <v>1</v>
      </c>
      <c r="S486" t="b">
        <f>IF(COUNTBLANK(Master_Reference[[#This Row],[C-Flex 3000K 3W Part Number]:[C-Flex 4000K 3W Part Number]])=3,FALSE,TRUE)</f>
        <v>0</v>
      </c>
      <c r="T486" t="b">
        <f>IF(COUNTBLANK(Master_Reference[[#This Row],[Lutron 3000K Eco Part Number]:[Lutron 4000K Eco Part Number]])=3,FALSE,TRUE)</f>
        <v>1</v>
      </c>
      <c r="U486" t="b">
        <f>IF(COUNTBLANK(Master_Reference[[#This Row],[Lutron 3000K 3W Part Number]:[Lutron 4000K 3W Part Number]])=3,FALSE,TRUE)</f>
        <v>0</v>
      </c>
      <c r="V486" s="12" t="s">
        <v>482</v>
      </c>
      <c r="W486" s="12" t="s">
        <v>483</v>
      </c>
      <c r="X486" s="12" t="s">
        <v>484</v>
      </c>
      <c r="Y486" t="s">
        <v>1739</v>
      </c>
      <c r="Z486" s="12"/>
      <c r="AA486" s="12"/>
      <c r="AB486" s="12"/>
      <c r="AC486" t="s">
        <v>2125</v>
      </c>
      <c r="AD486" t="str">
        <f>SUBSTITUTE(Master_Reference[[#This Row],[C-Flex 4000K Eco Part Number]],"40-","xx-")</f>
        <v>RP-T8-3FT-2L-8xx-E1-M-G2</v>
      </c>
      <c r="AE486" t="str">
        <f>SUBSTITUTE(Master_Reference[[#This Row],[C-Flex 4000K 3W Part Number]],"40-","xx-")</f>
        <v/>
      </c>
      <c r="AF486" s="1" t="str">
        <f>_xlfn.IFNA(VLOOKUP(Master_Reference[[#This Row],[C-Flex 3000K Eco Part Number]],Lutron_CFlex_Lookup[],MATCH("Lutron Kit PN",Lutron_CFlex_Lookup[#Headers],0),FALSE),"")</f>
        <v>ELD3T8-2M30-q</v>
      </c>
      <c r="AG486" s="1" t="str">
        <f>_xlfn.IFNA(VLOOKUP(Master_Reference[[#This Row],[C-Flex 3500K Eco Part Number]],Lutron_CFlex_Lookup[],MATCH("Lutron Kit PN",Lutron_CFlex_Lookup[#Headers],0),FALSE),"")</f>
        <v>ELD3T8-2M35-q</v>
      </c>
      <c r="AH486" s="1" t="str">
        <f>_xlfn.IFNA(VLOOKUP(Master_Reference[[#This Row],[C-Flex 4000K Eco Part Number]],Lutron_CFlex_Lookup[],MATCH("Lutron Kit PN",Lutron_CFlex_Lookup[#Headers],0),FALSE),"")</f>
        <v>ELD3T8-2M40-q</v>
      </c>
      <c r="AI486" s="1" t="str">
        <f>_xlfn.IFNA(VLOOKUP(Master_Reference[[#This Row],[C-Flex 5000K Eco Part Number]],Lutron_CFlex_Lookup[],MATCH("Lutron Kit PN",Lutron_CFlex_Lookup[#Headers],0),FALSE),"")</f>
        <v>ELD3T8-2M50-q</v>
      </c>
      <c r="AJ486" s="1" t="str">
        <f>_xlfn.IFNA(VLOOKUP(Master_Reference[[#This Row],[C-Flex 3000K 3W Part Number]],Lutron_CFlex_Lookup[],MATCH("Lutron Kit PN",Lutron_CFlex_Lookup[#Headers],0),FALSE),"")</f>
        <v/>
      </c>
      <c r="AK486" s="1" t="str">
        <f>_xlfn.IFNA(VLOOKUP(Master_Reference[[#This Row],[C-Flex 3500K 3W Part Number]],Lutron_CFlex_Lookup[],MATCH("Lutron Kit PN",Lutron_CFlex_Lookup[#Headers],0),FALSE),"")</f>
        <v/>
      </c>
      <c r="AL486" s="1" t="str">
        <f>_xlfn.IFNA(VLOOKUP(Master_Reference[[#This Row],[C-Flex 4000K 3W Part Number]],Lutron_CFlex_Lookup[],MATCH("Lutron Kit PN",Lutron_CFlex_Lookup[#Headers],0),FALSE),"")</f>
        <v/>
      </c>
      <c r="AM486" s="1" t="str">
        <f>_xlfn.IFNA(VLOOKUP(Master_Reference[[#This Row],[C-Flex 5000K 3W Part Number]],Lutron_CFlex_Lookup[],MATCH("Lutron Kit PN",Lutron_CFlex_Lookup[#Headers],0),FALSE),"")</f>
        <v/>
      </c>
      <c r="AN486" s="1" t="b">
        <f>NOT(ISNA(VLOOKUP(Master_Reference[[#This Row],[Model Number]],ObsoleteModels[],1,FALSE)))</f>
        <v>1</v>
      </c>
      <c r="AO486" s="1" t="str">
        <f>IF(LEFT(Master_Reference[[#This Row],[Model Number]],1)="U",LEFT(Master_Reference[[#This Row],[Model Number]],4),LEFT(Master_Reference[[#This Row],[Model Number]],3))</f>
        <v>EHD</v>
      </c>
    </row>
    <row r="487" spans="1:41" x14ac:dyDescent="0.25">
      <c r="A487" s="2" t="s">
        <v>768</v>
      </c>
      <c r="B487" s="1" t="b">
        <v>1</v>
      </c>
      <c r="G487" s="1" t="b">
        <f>IF(OR(LEFT(RIGHT(Master_Reference[[#This Row],[Model Number]],3),1)="C",LEFT(RIGHT(Master_Reference[[#This Row],[Model Number]],4),1)="C"),TRUE,"")</f>
        <v>1</v>
      </c>
      <c r="H487" s="1" t="str">
        <f>IF(LEFT(Master_Reference[[#This Row],[Model Number]],1)="U",TRUE,"")</f>
        <v/>
      </c>
      <c r="I487" s="1" t="str">
        <f>IF(Master_Reference[[#This Row],[Lamp Type]]="T4","",IF(Master_Reference[[#This Row],[Case Type]]="M","",TRUE))</f>
        <v/>
      </c>
      <c r="J487" s="1" t="str">
        <f t="shared" si="7"/>
        <v>T8</v>
      </c>
      <c r="K487" s="1">
        <v>25</v>
      </c>
      <c r="L487" s="1" t="s">
        <v>115</v>
      </c>
      <c r="M487" s="1">
        <v>2</v>
      </c>
      <c r="N487" s="1" t="s">
        <v>149</v>
      </c>
      <c r="O487" s="1" t="s">
        <v>632</v>
      </c>
      <c r="R487" t="b">
        <f>IF(COUNTBLANK(Master_Reference[[#This Row],[C-Flex 3000K Eco Part Number]:[C-Flex 4000K Eco Part Number]])=3,FALSE,TRUE)</f>
        <v>1</v>
      </c>
      <c r="S487" t="b">
        <f>IF(COUNTBLANK(Master_Reference[[#This Row],[C-Flex 3000K 3W Part Number]:[C-Flex 4000K 3W Part Number]])=3,FALSE,TRUE)</f>
        <v>0</v>
      </c>
      <c r="T487" t="b">
        <f>IF(COUNTBLANK(Master_Reference[[#This Row],[Lutron 3000K Eco Part Number]:[Lutron 4000K Eco Part Number]])=3,FALSE,TRUE)</f>
        <v>1</v>
      </c>
      <c r="U487" t="b">
        <f>IF(COUNTBLANK(Master_Reference[[#This Row],[Lutron 3000K 3W Part Number]:[Lutron 4000K 3W Part Number]])=3,FALSE,TRUE)</f>
        <v>0</v>
      </c>
      <c r="V487" s="12" t="s">
        <v>482</v>
      </c>
      <c r="W487" s="12" t="s">
        <v>483</v>
      </c>
      <c r="X487" s="12" t="s">
        <v>484</v>
      </c>
      <c r="Y487" t="s">
        <v>1739</v>
      </c>
      <c r="Z487" s="12"/>
      <c r="AA487" s="12"/>
      <c r="AB487" s="12"/>
      <c r="AC487" t="s">
        <v>2125</v>
      </c>
      <c r="AD487" t="str">
        <f>SUBSTITUTE(Master_Reference[[#This Row],[C-Flex 4000K Eco Part Number]],"40-","xx-")</f>
        <v>RP-T8-3FT-2L-8xx-E1-M-G2</v>
      </c>
      <c r="AE487" t="str">
        <f>SUBSTITUTE(Master_Reference[[#This Row],[C-Flex 4000K 3W Part Number]],"40-","xx-")</f>
        <v/>
      </c>
      <c r="AF487" s="1" t="str">
        <f>_xlfn.IFNA(VLOOKUP(Master_Reference[[#This Row],[C-Flex 3000K Eco Part Number]],Lutron_CFlex_Lookup[],MATCH("Lutron Kit PN",Lutron_CFlex_Lookup[#Headers],0),FALSE),"")</f>
        <v>ELD3T8-2M30-q</v>
      </c>
      <c r="AG487" s="1" t="str">
        <f>_xlfn.IFNA(VLOOKUP(Master_Reference[[#This Row],[C-Flex 3500K Eco Part Number]],Lutron_CFlex_Lookup[],MATCH("Lutron Kit PN",Lutron_CFlex_Lookup[#Headers],0),FALSE),"")</f>
        <v>ELD3T8-2M35-q</v>
      </c>
      <c r="AH487" s="1" t="str">
        <f>_xlfn.IFNA(VLOOKUP(Master_Reference[[#This Row],[C-Flex 4000K Eco Part Number]],Lutron_CFlex_Lookup[],MATCH("Lutron Kit PN",Lutron_CFlex_Lookup[#Headers],0),FALSE),"")</f>
        <v>ELD3T8-2M40-q</v>
      </c>
      <c r="AI487" s="1" t="str">
        <f>_xlfn.IFNA(VLOOKUP(Master_Reference[[#This Row],[C-Flex 5000K Eco Part Number]],Lutron_CFlex_Lookup[],MATCH("Lutron Kit PN",Lutron_CFlex_Lookup[#Headers],0),FALSE),"")</f>
        <v>ELD3T8-2M50-q</v>
      </c>
      <c r="AJ487" s="1" t="str">
        <f>_xlfn.IFNA(VLOOKUP(Master_Reference[[#This Row],[C-Flex 3000K 3W Part Number]],Lutron_CFlex_Lookup[],MATCH("Lutron Kit PN",Lutron_CFlex_Lookup[#Headers],0),FALSE),"")</f>
        <v/>
      </c>
      <c r="AK487" s="1" t="str">
        <f>_xlfn.IFNA(VLOOKUP(Master_Reference[[#This Row],[C-Flex 3500K 3W Part Number]],Lutron_CFlex_Lookup[],MATCH("Lutron Kit PN",Lutron_CFlex_Lookup[#Headers],0),FALSE),"")</f>
        <v/>
      </c>
      <c r="AL487" s="1" t="str">
        <f>_xlfn.IFNA(VLOOKUP(Master_Reference[[#This Row],[C-Flex 4000K 3W Part Number]],Lutron_CFlex_Lookup[],MATCH("Lutron Kit PN",Lutron_CFlex_Lookup[#Headers],0),FALSE),"")</f>
        <v/>
      </c>
      <c r="AM487" s="1" t="str">
        <f>_xlfn.IFNA(VLOOKUP(Master_Reference[[#This Row],[C-Flex 5000K 3W Part Number]],Lutron_CFlex_Lookup[],MATCH("Lutron Kit PN",Lutron_CFlex_Lookup[#Headers],0),FALSE),"")</f>
        <v/>
      </c>
      <c r="AN487" s="1" t="b">
        <f>NOT(ISNA(VLOOKUP(Master_Reference[[#This Row],[Model Number]],ObsoleteModels[],1,FALSE)))</f>
        <v>1</v>
      </c>
      <c r="AO487" s="1" t="str">
        <f>IF(LEFT(Master_Reference[[#This Row],[Model Number]],1)="U",LEFT(Master_Reference[[#This Row],[Model Number]],4),LEFT(Master_Reference[[#This Row],[Model Number]],3))</f>
        <v>EHD</v>
      </c>
    </row>
    <row r="488" spans="1:41" x14ac:dyDescent="0.25">
      <c r="A488" s="2" t="s">
        <v>769</v>
      </c>
      <c r="B488" s="1" t="b">
        <v>1</v>
      </c>
      <c r="G488" s="1" t="b">
        <f>IF(OR(LEFT(RIGHT(Master_Reference[[#This Row],[Model Number]],3),1)="C",LEFT(RIGHT(Master_Reference[[#This Row],[Model Number]],4),1)="C"),TRUE,"")</f>
        <v>1</v>
      </c>
      <c r="H488" s="1" t="str">
        <f>IF(LEFT(Master_Reference[[#This Row],[Model Number]],1)="U",TRUE,"")</f>
        <v/>
      </c>
      <c r="I488" s="1" t="str">
        <f>IF(Master_Reference[[#This Row],[Lamp Type]]="T4","",IF(Master_Reference[[#This Row],[Case Type]]="M","",TRUE))</f>
        <v/>
      </c>
      <c r="J488" s="1" t="str">
        <f t="shared" si="7"/>
        <v>T8</v>
      </c>
      <c r="K488" s="1">
        <v>25</v>
      </c>
      <c r="L488" s="1" t="s">
        <v>115</v>
      </c>
      <c r="M488" s="1">
        <v>2</v>
      </c>
      <c r="N488" s="1" t="s">
        <v>149</v>
      </c>
      <c r="O488" s="1" t="s">
        <v>632</v>
      </c>
      <c r="R488" t="b">
        <f>IF(COUNTBLANK(Master_Reference[[#This Row],[C-Flex 3000K Eco Part Number]:[C-Flex 4000K Eco Part Number]])=3,FALSE,TRUE)</f>
        <v>1</v>
      </c>
      <c r="S488" t="b">
        <f>IF(COUNTBLANK(Master_Reference[[#This Row],[C-Flex 3000K 3W Part Number]:[C-Flex 4000K 3W Part Number]])=3,FALSE,TRUE)</f>
        <v>0</v>
      </c>
      <c r="T488" t="b">
        <f>IF(COUNTBLANK(Master_Reference[[#This Row],[Lutron 3000K Eco Part Number]:[Lutron 4000K Eco Part Number]])=3,FALSE,TRUE)</f>
        <v>1</v>
      </c>
      <c r="U488" t="b">
        <f>IF(COUNTBLANK(Master_Reference[[#This Row],[Lutron 3000K 3W Part Number]:[Lutron 4000K 3W Part Number]])=3,FALSE,TRUE)</f>
        <v>0</v>
      </c>
      <c r="V488" s="12" t="s">
        <v>482</v>
      </c>
      <c r="W488" s="12" t="s">
        <v>483</v>
      </c>
      <c r="X488" s="12" t="s">
        <v>484</v>
      </c>
      <c r="Y488" t="s">
        <v>1739</v>
      </c>
      <c r="Z488" s="12"/>
      <c r="AA488" s="12"/>
      <c r="AB488" s="12"/>
      <c r="AC488" t="s">
        <v>2125</v>
      </c>
      <c r="AD488" t="str">
        <f>SUBSTITUTE(Master_Reference[[#This Row],[C-Flex 4000K Eco Part Number]],"40-","xx-")</f>
        <v>RP-T8-3FT-2L-8xx-E1-M-G2</v>
      </c>
      <c r="AE488" t="str">
        <f>SUBSTITUTE(Master_Reference[[#This Row],[C-Flex 4000K 3W Part Number]],"40-","xx-")</f>
        <v/>
      </c>
      <c r="AF488" s="1" t="str">
        <f>_xlfn.IFNA(VLOOKUP(Master_Reference[[#This Row],[C-Flex 3000K Eco Part Number]],Lutron_CFlex_Lookup[],MATCH("Lutron Kit PN",Lutron_CFlex_Lookup[#Headers],0),FALSE),"")</f>
        <v>ELD3T8-2M30-q</v>
      </c>
      <c r="AG488" s="1" t="str">
        <f>_xlfn.IFNA(VLOOKUP(Master_Reference[[#This Row],[C-Flex 3500K Eco Part Number]],Lutron_CFlex_Lookup[],MATCH("Lutron Kit PN",Lutron_CFlex_Lookup[#Headers],0),FALSE),"")</f>
        <v>ELD3T8-2M35-q</v>
      </c>
      <c r="AH488" s="1" t="str">
        <f>_xlfn.IFNA(VLOOKUP(Master_Reference[[#This Row],[C-Flex 4000K Eco Part Number]],Lutron_CFlex_Lookup[],MATCH("Lutron Kit PN",Lutron_CFlex_Lookup[#Headers],0),FALSE),"")</f>
        <v>ELD3T8-2M40-q</v>
      </c>
      <c r="AI488" s="1" t="str">
        <f>_xlfn.IFNA(VLOOKUP(Master_Reference[[#This Row],[C-Flex 5000K Eco Part Number]],Lutron_CFlex_Lookup[],MATCH("Lutron Kit PN",Lutron_CFlex_Lookup[#Headers],0),FALSE),"")</f>
        <v>ELD3T8-2M50-q</v>
      </c>
      <c r="AJ488" s="1" t="str">
        <f>_xlfn.IFNA(VLOOKUP(Master_Reference[[#This Row],[C-Flex 3000K 3W Part Number]],Lutron_CFlex_Lookup[],MATCH("Lutron Kit PN",Lutron_CFlex_Lookup[#Headers],0),FALSE),"")</f>
        <v/>
      </c>
      <c r="AK488" s="1" t="str">
        <f>_xlfn.IFNA(VLOOKUP(Master_Reference[[#This Row],[C-Flex 3500K 3W Part Number]],Lutron_CFlex_Lookup[],MATCH("Lutron Kit PN",Lutron_CFlex_Lookup[#Headers],0),FALSE),"")</f>
        <v/>
      </c>
      <c r="AL488" s="1" t="str">
        <f>_xlfn.IFNA(VLOOKUP(Master_Reference[[#This Row],[C-Flex 4000K 3W Part Number]],Lutron_CFlex_Lookup[],MATCH("Lutron Kit PN",Lutron_CFlex_Lookup[#Headers],0),FALSE),"")</f>
        <v/>
      </c>
      <c r="AM488" s="1" t="str">
        <f>_xlfn.IFNA(VLOOKUP(Master_Reference[[#This Row],[C-Flex 5000K 3W Part Number]],Lutron_CFlex_Lookup[],MATCH("Lutron Kit PN",Lutron_CFlex_Lookup[#Headers],0),FALSE),"")</f>
        <v/>
      </c>
      <c r="AN488" s="1" t="b">
        <f>NOT(ISNA(VLOOKUP(Master_Reference[[#This Row],[Model Number]],ObsoleteModels[],1,FALSE)))</f>
        <v>1</v>
      </c>
      <c r="AO488" s="1" t="str">
        <f>IF(LEFT(Master_Reference[[#This Row],[Model Number]],1)="U",LEFT(Master_Reference[[#This Row],[Model Number]],4),LEFT(Master_Reference[[#This Row],[Model Number]],3))</f>
        <v>EHD</v>
      </c>
    </row>
    <row r="489" spans="1:41" x14ac:dyDescent="0.25">
      <c r="A489" s="2" t="s">
        <v>770</v>
      </c>
      <c r="B489" s="1" t="b">
        <v>1</v>
      </c>
      <c r="G489" s="1" t="b">
        <f>IF(OR(LEFT(RIGHT(Master_Reference[[#This Row],[Model Number]],3),1)="C",LEFT(RIGHT(Master_Reference[[#This Row],[Model Number]],4),1)="C"),TRUE,"")</f>
        <v>1</v>
      </c>
      <c r="H489" s="1" t="str">
        <f>IF(LEFT(Master_Reference[[#This Row],[Model Number]],1)="U",TRUE,"")</f>
        <v/>
      </c>
      <c r="I489" s="1" t="str">
        <f>IF(Master_Reference[[#This Row],[Lamp Type]]="T4","",IF(Master_Reference[[#This Row],[Case Type]]="M","",TRUE))</f>
        <v/>
      </c>
      <c r="J489" s="1" t="str">
        <f t="shared" si="7"/>
        <v>T8</v>
      </c>
      <c r="K489" s="1">
        <v>25</v>
      </c>
      <c r="L489" s="1" t="s">
        <v>115</v>
      </c>
      <c r="M489" s="1">
        <v>2</v>
      </c>
      <c r="N489" s="1" t="s">
        <v>149</v>
      </c>
      <c r="O489" s="1" t="s">
        <v>632</v>
      </c>
      <c r="R489" t="b">
        <f>IF(COUNTBLANK(Master_Reference[[#This Row],[C-Flex 3000K Eco Part Number]:[C-Flex 4000K Eco Part Number]])=3,FALSE,TRUE)</f>
        <v>1</v>
      </c>
      <c r="S489" t="b">
        <f>IF(COUNTBLANK(Master_Reference[[#This Row],[C-Flex 3000K 3W Part Number]:[C-Flex 4000K 3W Part Number]])=3,FALSE,TRUE)</f>
        <v>0</v>
      </c>
      <c r="T489" t="b">
        <f>IF(COUNTBLANK(Master_Reference[[#This Row],[Lutron 3000K Eco Part Number]:[Lutron 4000K Eco Part Number]])=3,FALSE,TRUE)</f>
        <v>1</v>
      </c>
      <c r="U489" t="b">
        <f>IF(COUNTBLANK(Master_Reference[[#This Row],[Lutron 3000K 3W Part Number]:[Lutron 4000K 3W Part Number]])=3,FALSE,TRUE)</f>
        <v>0</v>
      </c>
      <c r="V489" s="12" t="s">
        <v>482</v>
      </c>
      <c r="W489" s="12" t="s">
        <v>483</v>
      </c>
      <c r="X489" s="12" t="s">
        <v>484</v>
      </c>
      <c r="Y489" t="s">
        <v>1739</v>
      </c>
      <c r="Z489" s="12"/>
      <c r="AA489" s="12"/>
      <c r="AB489" s="12"/>
      <c r="AC489" t="s">
        <v>2125</v>
      </c>
      <c r="AD489" t="str">
        <f>SUBSTITUTE(Master_Reference[[#This Row],[C-Flex 4000K Eco Part Number]],"40-","xx-")</f>
        <v>RP-T8-3FT-2L-8xx-E1-M-G2</v>
      </c>
      <c r="AE489" t="str">
        <f>SUBSTITUTE(Master_Reference[[#This Row],[C-Flex 4000K 3W Part Number]],"40-","xx-")</f>
        <v/>
      </c>
      <c r="AF489" s="1" t="str">
        <f>_xlfn.IFNA(VLOOKUP(Master_Reference[[#This Row],[C-Flex 3000K Eco Part Number]],Lutron_CFlex_Lookup[],MATCH("Lutron Kit PN",Lutron_CFlex_Lookup[#Headers],0),FALSE),"")</f>
        <v>ELD3T8-2M30-q</v>
      </c>
      <c r="AG489" s="1" t="str">
        <f>_xlfn.IFNA(VLOOKUP(Master_Reference[[#This Row],[C-Flex 3500K Eco Part Number]],Lutron_CFlex_Lookup[],MATCH("Lutron Kit PN",Lutron_CFlex_Lookup[#Headers],0),FALSE),"")</f>
        <v>ELD3T8-2M35-q</v>
      </c>
      <c r="AH489" s="1" t="str">
        <f>_xlfn.IFNA(VLOOKUP(Master_Reference[[#This Row],[C-Flex 4000K Eco Part Number]],Lutron_CFlex_Lookup[],MATCH("Lutron Kit PN",Lutron_CFlex_Lookup[#Headers],0),FALSE),"")</f>
        <v>ELD3T8-2M40-q</v>
      </c>
      <c r="AI489" s="1" t="str">
        <f>_xlfn.IFNA(VLOOKUP(Master_Reference[[#This Row],[C-Flex 5000K Eco Part Number]],Lutron_CFlex_Lookup[],MATCH("Lutron Kit PN",Lutron_CFlex_Lookup[#Headers],0),FALSE),"")</f>
        <v>ELD3T8-2M50-q</v>
      </c>
      <c r="AJ489" s="1" t="str">
        <f>_xlfn.IFNA(VLOOKUP(Master_Reference[[#This Row],[C-Flex 3000K 3W Part Number]],Lutron_CFlex_Lookup[],MATCH("Lutron Kit PN",Lutron_CFlex_Lookup[#Headers],0),FALSE),"")</f>
        <v/>
      </c>
      <c r="AK489" s="1" t="str">
        <f>_xlfn.IFNA(VLOOKUP(Master_Reference[[#This Row],[C-Flex 3500K 3W Part Number]],Lutron_CFlex_Lookup[],MATCH("Lutron Kit PN",Lutron_CFlex_Lookup[#Headers],0),FALSE),"")</f>
        <v/>
      </c>
      <c r="AL489" s="1" t="str">
        <f>_xlfn.IFNA(VLOOKUP(Master_Reference[[#This Row],[C-Flex 4000K 3W Part Number]],Lutron_CFlex_Lookup[],MATCH("Lutron Kit PN",Lutron_CFlex_Lookup[#Headers],0),FALSE),"")</f>
        <v/>
      </c>
      <c r="AM489" s="1" t="str">
        <f>_xlfn.IFNA(VLOOKUP(Master_Reference[[#This Row],[C-Flex 5000K 3W Part Number]],Lutron_CFlex_Lookup[],MATCH("Lutron Kit PN",Lutron_CFlex_Lookup[#Headers],0),FALSE),"")</f>
        <v/>
      </c>
      <c r="AN489" s="1" t="b">
        <f>NOT(ISNA(VLOOKUP(Master_Reference[[#This Row],[Model Number]],ObsoleteModels[],1,FALSE)))</f>
        <v>1</v>
      </c>
      <c r="AO489" s="1" t="str">
        <f>IF(LEFT(Master_Reference[[#This Row],[Model Number]],1)="U",LEFT(Master_Reference[[#This Row],[Model Number]],4),LEFT(Master_Reference[[#This Row],[Model Number]],3))</f>
        <v>EHD</v>
      </c>
    </row>
    <row r="490" spans="1:41" x14ac:dyDescent="0.25">
      <c r="A490" s="2" t="s">
        <v>771</v>
      </c>
      <c r="B490" s="1" t="b">
        <v>1</v>
      </c>
      <c r="G490" s="1" t="b">
        <f>IF(OR(LEFT(RIGHT(Master_Reference[[#This Row],[Model Number]],3),1)="C",LEFT(RIGHT(Master_Reference[[#This Row],[Model Number]],4),1)="C"),TRUE,"")</f>
        <v>1</v>
      </c>
      <c r="H490" s="1" t="str">
        <f>IF(LEFT(Master_Reference[[#This Row],[Model Number]],1)="U",TRUE,"")</f>
        <v/>
      </c>
      <c r="I490" s="1" t="str">
        <f>IF(Master_Reference[[#This Row],[Lamp Type]]="T4","",IF(Master_Reference[[#This Row],[Case Type]]="M","",TRUE))</f>
        <v/>
      </c>
      <c r="J490" s="1" t="str">
        <f t="shared" si="7"/>
        <v>T8</v>
      </c>
      <c r="K490" s="1">
        <v>25</v>
      </c>
      <c r="L490" s="1" t="s">
        <v>115</v>
      </c>
      <c r="M490" s="1">
        <v>2</v>
      </c>
      <c r="N490" s="1" t="s">
        <v>149</v>
      </c>
      <c r="O490" s="1" t="s">
        <v>632</v>
      </c>
      <c r="R490" t="b">
        <f>IF(COUNTBLANK(Master_Reference[[#This Row],[C-Flex 3000K Eco Part Number]:[C-Flex 4000K Eco Part Number]])=3,FALSE,TRUE)</f>
        <v>1</v>
      </c>
      <c r="S490" t="b">
        <f>IF(COUNTBLANK(Master_Reference[[#This Row],[C-Flex 3000K 3W Part Number]:[C-Flex 4000K 3W Part Number]])=3,FALSE,TRUE)</f>
        <v>0</v>
      </c>
      <c r="T490" t="b">
        <f>IF(COUNTBLANK(Master_Reference[[#This Row],[Lutron 3000K Eco Part Number]:[Lutron 4000K Eco Part Number]])=3,FALSE,TRUE)</f>
        <v>1</v>
      </c>
      <c r="U490" t="b">
        <f>IF(COUNTBLANK(Master_Reference[[#This Row],[Lutron 3000K 3W Part Number]:[Lutron 4000K 3W Part Number]])=3,FALSE,TRUE)</f>
        <v>0</v>
      </c>
      <c r="V490" s="12" t="s">
        <v>482</v>
      </c>
      <c r="W490" s="12" t="s">
        <v>483</v>
      </c>
      <c r="X490" s="12" t="s">
        <v>484</v>
      </c>
      <c r="Y490" t="s">
        <v>1739</v>
      </c>
      <c r="Z490" s="12"/>
      <c r="AA490" s="12"/>
      <c r="AB490" s="12"/>
      <c r="AC490" t="s">
        <v>2125</v>
      </c>
      <c r="AD490" t="str">
        <f>SUBSTITUTE(Master_Reference[[#This Row],[C-Flex 4000K Eco Part Number]],"40-","xx-")</f>
        <v>RP-T8-3FT-2L-8xx-E1-M-G2</v>
      </c>
      <c r="AE490" t="str">
        <f>SUBSTITUTE(Master_Reference[[#This Row],[C-Flex 4000K 3W Part Number]],"40-","xx-")</f>
        <v/>
      </c>
      <c r="AF490" s="1" t="str">
        <f>_xlfn.IFNA(VLOOKUP(Master_Reference[[#This Row],[C-Flex 3000K Eco Part Number]],Lutron_CFlex_Lookup[],MATCH("Lutron Kit PN",Lutron_CFlex_Lookup[#Headers],0),FALSE),"")</f>
        <v>ELD3T8-2M30-q</v>
      </c>
      <c r="AG490" s="1" t="str">
        <f>_xlfn.IFNA(VLOOKUP(Master_Reference[[#This Row],[C-Flex 3500K Eco Part Number]],Lutron_CFlex_Lookup[],MATCH("Lutron Kit PN",Lutron_CFlex_Lookup[#Headers],0),FALSE),"")</f>
        <v>ELD3T8-2M35-q</v>
      </c>
      <c r="AH490" s="1" t="str">
        <f>_xlfn.IFNA(VLOOKUP(Master_Reference[[#This Row],[C-Flex 4000K Eco Part Number]],Lutron_CFlex_Lookup[],MATCH("Lutron Kit PN",Lutron_CFlex_Lookup[#Headers],0),FALSE),"")</f>
        <v>ELD3T8-2M40-q</v>
      </c>
      <c r="AI490" s="1" t="str">
        <f>_xlfn.IFNA(VLOOKUP(Master_Reference[[#This Row],[C-Flex 5000K Eco Part Number]],Lutron_CFlex_Lookup[],MATCH("Lutron Kit PN",Lutron_CFlex_Lookup[#Headers],0),FALSE),"")</f>
        <v>ELD3T8-2M50-q</v>
      </c>
      <c r="AJ490" s="1" t="str">
        <f>_xlfn.IFNA(VLOOKUP(Master_Reference[[#This Row],[C-Flex 3000K 3W Part Number]],Lutron_CFlex_Lookup[],MATCH("Lutron Kit PN",Lutron_CFlex_Lookup[#Headers],0),FALSE),"")</f>
        <v/>
      </c>
      <c r="AK490" s="1" t="str">
        <f>_xlfn.IFNA(VLOOKUP(Master_Reference[[#This Row],[C-Flex 3500K 3W Part Number]],Lutron_CFlex_Lookup[],MATCH("Lutron Kit PN",Lutron_CFlex_Lookup[#Headers],0),FALSE),"")</f>
        <v/>
      </c>
      <c r="AL490" s="1" t="str">
        <f>_xlfn.IFNA(VLOOKUP(Master_Reference[[#This Row],[C-Flex 4000K 3W Part Number]],Lutron_CFlex_Lookup[],MATCH("Lutron Kit PN",Lutron_CFlex_Lookup[#Headers],0),FALSE),"")</f>
        <v/>
      </c>
      <c r="AM490" s="1" t="str">
        <f>_xlfn.IFNA(VLOOKUP(Master_Reference[[#This Row],[C-Flex 5000K 3W Part Number]],Lutron_CFlex_Lookup[],MATCH("Lutron Kit PN",Lutron_CFlex_Lookup[#Headers],0),FALSE),"")</f>
        <v/>
      </c>
      <c r="AN490" s="1" t="b">
        <f>NOT(ISNA(VLOOKUP(Master_Reference[[#This Row],[Model Number]],ObsoleteModels[],1,FALSE)))</f>
        <v>1</v>
      </c>
      <c r="AO490" s="1" t="str">
        <f>IF(LEFT(Master_Reference[[#This Row],[Model Number]],1)="U",LEFT(Master_Reference[[#This Row],[Model Number]],4),LEFT(Master_Reference[[#This Row],[Model Number]],3))</f>
        <v>EHD</v>
      </c>
    </row>
    <row r="491" spans="1:41" x14ac:dyDescent="0.25">
      <c r="A491" s="2" t="s">
        <v>772</v>
      </c>
      <c r="B491" s="1" t="b">
        <v>1</v>
      </c>
      <c r="G491" s="1" t="b">
        <v>1</v>
      </c>
      <c r="H491" s="1" t="str">
        <f>IF(LEFT(Master_Reference[[#This Row],[Model Number]],1)="U",TRUE,"")</f>
        <v/>
      </c>
      <c r="I491" s="1" t="str">
        <f>IF(Master_Reference[[#This Row],[Lamp Type]]="T4","",IF(Master_Reference[[#This Row],[Case Type]]="M","",TRUE))</f>
        <v/>
      </c>
      <c r="J491" s="1" t="str">
        <f t="shared" si="7"/>
        <v>T8</v>
      </c>
      <c r="K491" s="1" t="s">
        <v>531</v>
      </c>
      <c r="L491" s="1" t="s">
        <v>118</v>
      </c>
      <c r="M491" s="1">
        <v>1</v>
      </c>
      <c r="N491" s="1" t="s">
        <v>149</v>
      </c>
      <c r="O491" s="1" t="s">
        <v>632</v>
      </c>
      <c r="R491" t="b">
        <f>IF(COUNTBLANK(Master_Reference[[#This Row],[C-Flex 3000K Eco Part Number]:[C-Flex 4000K Eco Part Number]])=3,FALSE,TRUE)</f>
        <v>1</v>
      </c>
      <c r="S491" t="b">
        <f>IF(COUNTBLANK(Master_Reference[[#This Row],[C-Flex 3000K 3W Part Number]:[C-Flex 4000K 3W Part Number]])=3,FALSE,TRUE)</f>
        <v>0</v>
      </c>
      <c r="T491" t="b">
        <f>IF(COUNTBLANK(Master_Reference[[#This Row],[Lutron 3000K Eco Part Number]:[Lutron 4000K Eco Part Number]])=3,FALSE,TRUE)</f>
        <v>1</v>
      </c>
      <c r="U491" t="b">
        <f>IF(COUNTBLANK(Master_Reference[[#This Row],[Lutron 3000K 3W Part Number]:[Lutron 4000K 3W Part Number]])=3,FALSE,TRUE)</f>
        <v>0</v>
      </c>
      <c r="V491" s="12" t="s">
        <v>478</v>
      </c>
      <c r="W491" s="12" t="s">
        <v>313</v>
      </c>
      <c r="X491" s="12" t="s">
        <v>314</v>
      </c>
      <c r="Y491" t="s">
        <v>1744</v>
      </c>
      <c r="Z491" s="12"/>
      <c r="AA491" s="12"/>
      <c r="AB491" s="12"/>
      <c r="AC491" t="s">
        <v>2125</v>
      </c>
      <c r="AD491" t="str">
        <f>SUBSTITUTE(Master_Reference[[#This Row],[C-Flex 4000K Eco Part Number]],"40-","xx-")</f>
        <v>RP-T8-4FT-1L-8xx-E1-M-G2</v>
      </c>
      <c r="AE491" t="str">
        <f>SUBSTITUTE(Master_Reference[[#This Row],[C-Flex 4000K 3W Part Number]],"40-","xx-")</f>
        <v/>
      </c>
      <c r="AF491" s="1" t="str">
        <f>_xlfn.IFNA(VLOOKUP(Master_Reference[[#This Row],[C-Flex 3000K Eco Part Number]],Lutron_CFlex_Lookup[],MATCH("Lutron Kit PN",Lutron_CFlex_Lookup[#Headers],0),FALSE),"")</f>
        <v>ELD3T8-1M30-q</v>
      </c>
      <c r="AG491" s="1" t="str">
        <f>_xlfn.IFNA(VLOOKUP(Master_Reference[[#This Row],[C-Flex 3500K Eco Part Number]],Lutron_CFlex_Lookup[],MATCH("Lutron Kit PN",Lutron_CFlex_Lookup[#Headers],0),FALSE),"")</f>
        <v>ELD4T8-1M35-q</v>
      </c>
      <c r="AH491" s="1" t="str">
        <f>_xlfn.IFNA(VLOOKUP(Master_Reference[[#This Row],[C-Flex 4000K Eco Part Number]],Lutron_CFlex_Lookup[],MATCH("Lutron Kit PN",Lutron_CFlex_Lookup[#Headers],0),FALSE),"")</f>
        <v>ELD4T8-1M40-q</v>
      </c>
      <c r="AI491" s="1" t="str">
        <f>_xlfn.IFNA(VLOOKUP(Master_Reference[[#This Row],[C-Flex 5000K Eco Part Number]],Lutron_CFlex_Lookup[],MATCH("Lutron Kit PN",Lutron_CFlex_Lookup[#Headers],0),FALSE),"")</f>
        <v>ELD4T8-1M50-q</v>
      </c>
      <c r="AJ491" s="1" t="str">
        <f>_xlfn.IFNA(VLOOKUP(Master_Reference[[#This Row],[C-Flex 3000K 3W Part Number]],Lutron_CFlex_Lookup[],MATCH("Lutron Kit PN",Lutron_CFlex_Lookup[#Headers],0),FALSE),"")</f>
        <v/>
      </c>
      <c r="AK491" s="1" t="str">
        <f>_xlfn.IFNA(VLOOKUP(Master_Reference[[#This Row],[C-Flex 3500K 3W Part Number]],Lutron_CFlex_Lookup[],MATCH("Lutron Kit PN",Lutron_CFlex_Lookup[#Headers],0),FALSE),"")</f>
        <v/>
      </c>
      <c r="AL491" s="1" t="str">
        <f>_xlfn.IFNA(VLOOKUP(Master_Reference[[#This Row],[C-Flex 4000K 3W Part Number]],Lutron_CFlex_Lookup[],MATCH("Lutron Kit PN",Lutron_CFlex_Lookup[#Headers],0),FALSE),"")</f>
        <v/>
      </c>
      <c r="AM491" s="1" t="str">
        <f>_xlfn.IFNA(VLOOKUP(Master_Reference[[#This Row],[C-Flex 5000K 3W Part Number]],Lutron_CFlex_Lookup[],MATCH("Lutron Kit PN",Lutron_CFlex_Lookup[#Headers],0),FALSE),"")</f>
        <v/>
      </c>
      <c r="AN491" s="1" t="b">
        <f>NOT(ISNA(VLOOKUP(Master_Reference[[#This Row],[Model Number]],ObsoleteModels[],1,FALSE)))</f>
        <v>1</v>
      </c>
      <c r="AO491" s="1" t="str">
        <f>IF(LEFT(Master_Reference[[#This Row],[Model Number]],1)="U",LEFT(Master_Reference[[#This Row],[Model Number]],4),LEFT(Master_Reference[[#This Row],[Model Number]],3))</f>
        <v>EHD</v>
      </c>
    </row>
    <row r="492" spans="1:41" x14ac:dyDescent="0.25">
      <c r="A492" s="2" t="s">
        <v>773</v>
      </c>
      <c r="B492" s="1" t="b">
        <v>1</v>
      </c>
      <c r="G492" s="1" t="b">
        <v>1</v>
      </c>
      <c r="H492" s="1" t="str">
        <f>IF(LEFT(Master_Reference[[#This Row],[Model Number]],1)="U",TRUE,"")</f>
        <v/>
      </c>
      <c r="I492" s="1" t="str">
        <f>IF(Master_Reference[[#This Row],[Lamp Type]]="T4","",IF(Master_Reference[[#This Row],[Case Type]]="M","",TRUE))</f>
        <v/>
      </c>
      <c r="J492" s="1" t="str">
        <f t="shared" si="7"/>
        <v>T8</v>
      </c>
      <c r="K492" s="1" t="s">
        <v>531</v>
      </c>
      <c r="L492" s="1" t="s">
        <v>118</v>
      </c>
      <c r="M492" s="1">
        <v>2</v>
      </c>
      <c r="N492" s="1" t="s">
        <v>149</v>
      </c>
      <c r="O492" s="1" t="s">
        <v>632</v>
      </c>
      <c r="R492" t="b">
        <f>IF(COUNTBLANK(Master_Reference[[#This Row],[C-Flex 3000K Eco Part Number]:[C-Flex 4000K Eco Part Number]])=3,FALSE,TRUE)</f>
        <v>1</v>
      </c>
      <c r="S492" t="b">
        <f>IF(COUNTBLANK(Master_Reference[[#This Row],[C-Flex 3000K 3W Part Number]:[C-Flex 4000K 3W Part Number]])=3,FALSE,TRUE)</f>
        <v>0</v>
      </c>
      <c r="T492" t="b">
        <f>IF(COUNTBLANK(Master_Reference[[#This Row],[Lutron 3000K Eco Part Number]:[Lutron 4000K Eco Part Number]])=3,FALSE,TRUE)</f>
        <v>1</v>
      </c>
      <c r="U492" t="b">
        <f>IF(COUNTBLANK(Master_Reference[[#This Row],[Lutron 3000K 3W Part Number]:[Lutron 4000K 3W Part Number]])=3,FALSE,TRUE)</f>
        <v>0</v>
      </c>
      <c r="V492" s="12" t="s">
        <v>482</v>
      </c>
      <c r="W492" s="12" t="s">
        <v>317</v>
      </c>
      <c r="X492" s="12" t="s">
        <v>318</v>
      </c>
      <c r="Y492" t="s">
        <v>1745</v>
      </c>
      <c r="Z492" s="12"/>
      <c r="AA492" s="12"/>
      <c r="AB492" s="12"/>
      <c r="AC492" t="s">
        <v>2125</v>
      </c>
      <c r="AD492" t="str">
        <f>SUBSTITUTE(Master_Reference[[#This Row],[C-Flex 4000K Eco Part Number]],"40-","xx-")</f>
        <v>RP-T8-4FT-2L-8xx-E1-M-G2</v>
      </c>
      <c r="AE492" t="str">
        <f>SUBSTITUTE(Master_Reference[[#This Row],[C-Flex 4000K 3W Part Number]],"40-","xx-")</f>
        <v/>
      </c>
      <c r="AF492" s="1" t="str">
        <f>_xlfn.IFNA(VLOOKUP(Master_Reference[[#This Row],[C-Flex 3000K Eco Part Number]],Lutron_CFlex_Lookup[],MATCH("Lutron Kit PN",Lutron_CFlex_Lookup[#Headers],0),FALSE),"")</f>
        <v>ELD3T8-2M30-q</v>
      </c>
      <c r="AG492" s="1" t="str">
        <f>_xlfn.IFNA(VLOOKUP(Master_Reference[[#This Row],[C-Flex 3500K Eco Part Number]],Lutron_CFlex_Lookup[],MATCH("Lutron Kit PN",Lutron_CFlex_Lookup[#Headers],0),FALSE),"")</f>
        <v>ELD4T8-2M35-q</v>
      </c>
      <c r="AH492" s="1" t="str">
        <f>_xlfn.IFNA(VLOOKUP(Master_Reference[[#This Row],[C-Flex 4000K Eco Part Number]],Lutron_CFlex_Lookup[],MATCH("Lutron Kit PN",Lutron_CFlex_Lookup[#Headers],0),FALSE),"")</f>
        <v>ELD4T8-2M40-q</v>
      </c>
      <c r="AI492" s="1" t="str">
        <f>_xlfn.IFNA(VLOOKUP(Master_Reference[[#This Row],[C-Flex 5000K Eco Part Number]],Lutron_CFlex_Lookup[],MATCH("Lutron Kit PN",Lutron_CFlex_Lookup[#Headers],0),FALSE),"")</f>
        <v>ELD4T8-2M50-q</v>
      </c>
      <c r="AJ492" s="1" t="str">
        <f>_xlfn.IFNA(VLOOKUP(Master_Reference[[#This Row],[C-Flex 3000K 3W Part Number]],Lutron_CFlex_Lookup[],MATCH("Lutron Kit PN",Lutron_CFlex_Lookup[#Headers],0),FALSE),"")</f>
        <v/>
      </c>
      <c r="AK492" s="1" t="str">
        <f>_xlfn.IFNA(VLOOKUP(Master_Reference[[#This Row],[C-Flex 3500K 3W Part Number]],Lutron_CFlex_Lookup[],MATCH("Lutron Kit PN",Lutron_CFlex_Lookup[#Headers],0),FALSE),"")</f>
        <v/>
      </c>
      <c r="AL492" s="1" t="str">
        <f>_xlfn.IFNA(VLOOKUP(Master_Reference[[#This Row],[C-Flex 4000K 3W Part Number]],Lutron_CFlex_Lookup[],MATCH("Lutron Kit PN",Lutron_CFlex_Lookup[#Headers],0),FALSE),"")</f>
        <v/>
      </c>
      <c r="AM492" s="1" t="str">
        <f>_xlfn.IFNA(VLOOKUP(Master_Reference[[#This Row],[C-Flex 5000K 3W Part Number]],Lutron_CFlex_Lookup[],MATCH("Lutron Kit PN",Lutron_CFlex_Lookup[#Headers],0),FALSE),"")</f>
        <v/>
      </c>
      <c r="AN492" s="1" t="b">
        <f>NOT(ISNA(VLOOKUP(Master_Reference[[#This Row],[Model Number]],ObsoleteModels[],1,FALSE)))</f>
        <v>1</v>
      </c>
      <c r="AO492" s="1" t="str">
        <f>IF(LEFT(Master_Reference[[#This Row],[Model Number]],1)="U",LEFT(Master_Reference[[#This Row],[Model Number]],4),LEFT(Master_Reference[[#This Row],[Model Number]],3))</f>
        <v>EHD</v>
      </c>
    </row>
    <row r="493" spans="1:41" x14ac:dyDescent="0.25">
      <c r="A493" s="2" t="s">
        <v>774</v>
      </c>
      <c r="B493" s="1" t="b">
        <v>1</v>
      </c>
      <c r="G493" s="1" t="str">
        <f>IF(OR(LEFT(RIGHT(Master_Reference[[#This Row],[Model Number]],3),1)="C",LEFT(RIGHT(Master_Reference[[#This Row],[Model Number]],4),1)="C"),TRUE,"")</f>
        <v/>
      </c>
      <c r="H493" s="1" t="str">
        <f>IF(LEFT(Master_Reference[[#This Row],[Model Number]],1)="U",TRUE,"")</f>
        <v/>
      </c>
      <c r="I493" s="1" t="b">
        <f>IF(Master_Reference[[#This Row],[Lamp Type]]="T4","",IF(Master_Reference[[#This Row],[Case Type]]="M","",TRUE))</f>
        <v>1</v>
      </c>
      <c r="J493" s="1" t="s">
        <v>111</v>
      </c>
      <c r="K493" s="1">
        <v>32</v>
      </c>
      <c r="L493" s="1" t="s">
        <v>118</v>
      </c>
      <c r="M493" s="1">
        <v>1</v>
      </c>
      <c r="N493" s="1">
        <v>347</v>
      </c>
      <c r="O493" s="1" t="s">
        <v>113</v>
      </c>
      <c r="Q493" s="1" t="s">
        <v>535</v>
      </c>
      <c r="R493" t="b">
        <f>IF(COUNTBLANK(Master_Reference[[#This Row],[C-Flex 3000K Eco Part Number]:[C-Flex 4000K Eco Part Number]])=3,FALSE,TRUE)</f>
        <v>0</v>
      </c>
      <c r="S493" t="b">
        <f>IF(COUNTBLANK(Master_Reference[[#This Row],[C-Flex 3000K 3W Part Number]:[C-Flex 4000K 3W Part Number]])=3,FALSE,TRUE)</f>
        <v>0</v>
      </c>
      <c r="T493" t="b">
        <f>IF(COUNTBLANK(Master_Reference[[#This Row],[Lutron 3000K Eco Part Number]:[Lutron 4000K Eco Part Number]])=3,FALSE,TRUE)</f>
        <v>0</v>
      </c>
      <c r="U493" t="b">
        <f>IF(COUNTBLANK(Master_Reference[[#This Row],[Lutron 3000K 3W Part Number]:[Lutron 4000K 3W Part Number]])=3,FALSE,TRUE)</f>
        <v>0</v>
      </c>
      <c r="V493" s="12"/>
      <c r="W493" s="12"/>
      <c r="X493" s="12"/>
      <c r="Y493" t="s">
        <v>2125</v>
      </c>
      <c r="Z493" s="12"/>
      <c r="AA493" s="12"/>
      <c r="AB493" s="12"/>
      <c r="AC493" t="s">
        <v>2125</v>
      </c>
      <c r="AD493" t="str">
        <f>SUBSTITUTE(Master_Reference[[#This Row],[C-Flex 4000K Eco Part Number]],"40-","xx-")</f>
        <v/>
      </c>
      <c r="AE493" t="str">
        <f>SUBSTITUTE(Master_Reference[[#This Row],[C-Flex 4000K 3W Part Number]],"40-","xx-")</f>
        <v/>
      </c>
      <c r="AF493" s="1" t="str">
        <f>_xlfn.IFNA(VLOOKUP(Master_Reference[[#This Row],[C-Flex 3000K Eco Part Number]],Lutron_CFlex_Lookup[],MATCH("Lutron Kit PN",Lutron_CFlex_Lookup[#Headers],0),FALSE),"")</f>
        <v/>
      </c>
      <c r="AG493" s="1" t="str">
        <f>_xlfn.IFNA(VLOOKUP(Master_Reference[[#This Row],[C-Flex 3500K Eco Part Number]],Lutron_CFlex_Lookup[],MATCH("Lutron Kit PN",Lutron_CFlex_Lookup[#Headers],0),FALSE),"")</f>
        <v/>
      </c>
      <c r="AH493" s="1" t="str">
        <f>_xlfn.IFNA(VLOOKUP(Master_Reference[[#This Row],[C-Flex 4000K Eco Part Number]],Lutron_CFlex_Lookup[],MATCH("Lutron Kit PN",Lutron_CFlex_Lookup[#Headers],0),FALSE),"")</f>
        <v/>
      </c>
      <c r="AI493" s="1" t="str">
        <f>_xlfn.IFNA(VLOOKUP(Master_Reference[[#This Row],[C-Flex 5000K Eco Part Number]],Lutron_CFlex_Lookup[],MATCH("Lutron Kit PN",Lutron_CFlex_Lookup[#Headers],0),FALSE),"")</f>
        <v/>
      </c>
      <c r="AJ493" s="1" t="str">
        <f>_xlfn.IFNA(VLOOKUP(Master_Reference[[#This Row],[C-Flex 3000K 3W Part Number]],Lutron_CFlex_Lookup[],MATCH("Lutron Kit PN",Lutron_CFlex_Lookup[#Headers],0),FALSE),"")</f>
        <v/>
      </c>
      <c r="AK493" s="1" t="str">
        <f>_xlfn.IFNA(VLOOKUP(Master_Reference[[#This Row],[C-Flex 3500K 3W Part Number]],Lutron_CFlex_Lookup[],MATCH("Lutron Kit PN",Lutron_CFlex_Lookup[#Headers],0),FALSE),"")</f>
        <v/>
      </c>
      <c r="AL493" s="1" t="str">
        <f>_xlfn.IFNA(VLOOKUP(Master_Reference[[#This Row],[C-Flex 4000K 3W Part Number]],Lutron_CFlex_Lookup[],MATCH("Lutron Kit PN",Lutron_CFlex_Lookup[#Headers],0),FALSE),"")</f>
        <v/>
      </c>
      <c r="AM493" s="1" t="str">
        <f>_xlfn.IFNA(VLOOKUP(Master_Reference[[#This Row],[C-Flex 5000K 3W Part Number]],Lutron_CFlex_Lookup[],MATCH("Lutron Kit PN",Lutron_CFlex_Lookup[#Headers],0),FALSE),"")</f>
        <v/>
      </c>
      <c r="AN493" s="1" t="b">
        <f>NOT(ISNA(VLOOKUP(Master_Reference[[#This Row],[Model Number]],ObsoleteModels[],1,FALSE)))</f>
        <v>1</v>
      </c>
      <c r="AO493" s="1" t="str">
        <f>IF(LEFT(Master_Reference[[#This Row],[Model Number]],1)="U",LEFT(Master_Reference[[#This Row],[Model Number]],4),LEFT(Master_Reference[[#This Row],[Model Number]],3))</f>
        <v>EHD</v>
      </c>
    </row>
    <row r="494" spans="1:41" x14ac:dyDescent="0.25">
      <c r="A494" s="2" t="s">
        <v>775</v>
      </c>
      <c r="B494" s="1" t="b">
        <v>1</v>
      </c>
      <c r="G494" s="1" t="str">
        <f>IF(OR(LEFT(RIGHT(Master_Reference[[#This Row],[Model Number]],3),1)="C",LEFT(RIGHT(Master_Reference[[#This Row],[Model Number]],4),1)="C"),TRUE,"")</f>
        <v/>
      </c>
      <c r="H494" s="1" t="str">
        <f>IF(LEFT(Master_Reference[[#This Row],[Model Number]],1)="U",TRUE,"")</f>
        <v/>
      </c>
      <c r="I494" s="1" t="b">
        <f>IF(Master_Reference[[#This Row],[Lamp Type]]="T4","",IF(Master_Reference[[#This Row],[Case Type]]="M","",TRUE))</f>
        <v>1</v>
      </c>
      <c r="J494" s="1" t="s">
        <v>111</v>
      </c>
      <c r="K494" s="1">
        <v>32</v>
      </c>
      <c r="L494" s="1" t="s">
        <v>118</v>
      </c>
      <c r="M494" s="1">
        <v>1</v>
      </c>
      <c r="N494" s="1">
        <v>347</v>
      </c>
      <c r="O494" s="1" t="s">
        <v>113</v>
      </c>
      <c r="Q494" s="1" t="s">
        <v>535</v>
      </c>
      <c r="R494" t="b">
        <f>IF(COUNTBLANK(Master_Reference[[#This Row],[C-Flex 3000K Eco Part Number]:[C-Flex 4000K Eco Part Number]])=3,FALSE,TRUE)</f>
        <v>0</v>
      </c>
      <c r="S494" t="b">
        <f>IF(COUNTBLANK(Master_Reference[[#This Row],[C-Flex 3000K 3W Part Number]:[C-Flex 4000K 3W Part Number]])=3,FALSE,TRUE)</f>
        <v>0</v>
      </c>
      <c r="T494" t="b">
        <f>IF(COUNTBLANK(Master_Reference[[#This Row],[Lutron 3000K Eco Part Number]:[Lutron 4000K Eco Part Number]])=3,FALSE,TRUE)</f>
        <v>0</v>
      </c>
      <c r="U494" t="b">
        <f>IF(COUNTBLANK(Master_Reference[[#This Row],[Lutron 3000K 3W Part Number]:[Lutron 4000K 3W Part Number]])=3,FALSE,TRUE)</f>
        <v>0</v>
      </c>
      <c r="V494" s="12"/>
      <c r="W494" s="12"/>
      <c r="X494" s="12"/>
      <c r="Y494" t="s">
        <v>2125</v>
      </c>
      <c r="Z494" s="12"/>
      <c r="AA494" s="12"/>
      <c r="AB494" s="12"/>
      <c r="AC494" t="s">
        <v>2125</v>
      </c>
      <c r="AD494" t="str">
        <f>SUBSTITUTE(Master_Reference[[#This Row],[C-Flex 4000K Eco Part Number]],"40-","xx-")</f>
        <v/>
      </c>
      <c r="AE494" t="str">
        <f>SUBSTITUTE(Master_Reference[[#This Row],[C-Flex 4000K 3W Part Number]],"40-","xx-")</f>
        <v/>
      </c>
      <c r="AF494" s="1" t="str">
        <f>_xlfn.IFNA(VLOOKUP(Master_Reference[[#This Row],[C-Flex 3000K Eco Part Number]],Lutron_CFlex_Lookup[],MATCH("Lutron Kit PN",Lutron_CFlex_Lookup[#Headers],0),FALSE),"")</f>
        <v/>
      </c>
      <c r="AG494" s="1" t="str">
        <f>_xlfn.IFNA(VLOOKUP(Master_Reference[[#This Row],[C-Flex 3500K Eco Part Number]],Lutron_CFlex_Lookup[],MATCH("Lutron Kit PN",Lutron_CFlex_Lookup[#Headers],0),FALSE),"")</f>
        <v/>
      </c>
      <c r="AH494" s="1" t="str">
        <f>_xlfn.IFNA(VLOOKUP(Master_Reference[[#This Row],[C-Flex 4000K Eco Part Number]],Lutron_CFlex_Lookup[],MATCH("Lutron Kit PN",Lutron_CFlex_Lookup[#Headers],0),FALSE),"")</f>
        <v/>
      </c>
      <c r="AI494" s="1" t="str">
        <f>_xlfn.IFNA(VLOOKUP(Master_Reference[[#This Row],[C-Flex 5000K Eco Part Number]],Lutron_CFlex_Lookup[],MATCH("Lutron Kit PN",Lutron_CFlex_Lookup[#Headers],0),FALSE),"")</f>
        <v/>
      </c>
      <c r="AJ494" s="1" t="str">
        <f>_xlfn.IFNA(VLOOKUP(Master_Reference[[#This Row],[C-Flex 3000K 3W Part Number]],Lutron_CFlex_Lookup[],MATCH("Lutron Kit PN",Lutron_CFlex_Lookup[#Headers],0),FALSE),"")</f>
        <v/>
      </c>
      <c r="AK494" s="1" t="str">
        <f>_xlfn.IFNA(VLOOKUP(Master_Reference[[#This Row],[C-Flex 3500K 3W Part Number]],Lutron_CFlex_Lookup[],MATCH("Lutron Kit PN",Lutron_CFlex_Lookup[#Headers],0),FALSE),"")</f>
        <v/>
      </c>
      <c r="AL494" s="1" t="str">
        <f>_xlfn.IFNA(VLOOKUP(Master_Reference[[#This Row],[C-Flex 4000K 3W Part Number]],Lutron_CFlex_Lookup[],MATCH("Lutron Kit PN",Lutron_CFlex_Lookup[#Headers],0),FALSE),"")</f>
        <v/>
      </c>
      <c r="AM494" s="1" t="str">
        <f>_xlfn.IFNA(VLOOKUP(Master_Reference[[#This Row],[C-Flex 5000K 3W Part Number]],Lutron_CFlex_Lookup[],MATCH("Lutron Kit PN",Lutron_CFlex_Lookup[#Headers],0),FALSE),"")</f>
        <v/>
      </c>
      <c r="AN494" s="1" t="b">
        <f>NOT(ISNA(VLOOKUP(Master_Reference[[#This Row],[Model Number]],ObsoleteModels[],1,FALSE)))</f>
        <v>1</v>
      </c>
      <c r="AO494" s="1" t="str">
        <f>IF(LEFT(Master_Reference[[#This Row],[Model Number]],1)="U",LEFT(Master_Reference[[#This Row],[Model Number]],4),LEFT(Master_Reference[[#This Row],[Model Number]],3))</f>
        <v>EHD</v>
      </c>
    </row>
    <row r="495" spans="1:41" x14ac:dyDescent="0.25">
      <c r="A495" s="2" t="s">
        <v>776</v>
      </c>
      <c r="B495" s="1" t="b">
        <v>1</v>
      </c>
      <c r="G495" s="1" t="str">
        <f>IF(OR(LEFT(RIGHT(Master_Reference[[#This Row],[Model Number]],3),1)="C",LEFT(RIGHT(Master_Reference[[#This Row],[Model Number]],4),1)="C"),TRUE,"")</f>
        <v/>
      </c>
      <c r="H495" s="1" t="str">
        <f>IF(LEFT(Master_Reference[[#This Row],[Model Number]],1)="U",TRUE,"")</f>
        <v/>
      </c>
      <c r="I495" s="1" t="b">
        <f>IF(Master_Reference[[#This Row],[Lamp Type]]="T4","",IF(Master_Reference[[#This Row],[Case Type]]="M","",TRUE))</f>
        <v>1</v>
      </c>
      <c r="J495" s="1" t="s">
        <v>111</v>
      </c>
      <c r="K495" s="1">
        <v>32</v>
      </c>
      <c r="L495" s="1" t="s">
        <v>118</v>
      </c>
      <c r="M495" s="1">
        <v>2</v>
      </c>
      <c r="N495" s="1">
        <v>347</v>
      </c>
      <c r="O495" s="1" t="s">
        <v>113</v>
      </c>
      <c r="Q495" s="1" t="s">
        <v>535</v>
      </c>
      <c r="R495" t="b">
        <f>IF(COUNTBLANK(Master_Reference[[#This Row],[C-Flex 3000K Eco Part Number]:[C-Flex 4000K Eco Part Number]])=3,FALSE,TRUE)</f>
        <v>0</v>
      </c>
      <c r="S495" t="b">
        <f>IF(COUNTBLANK(Master_Reference[[#This Row],[C-Flex 3000K 3W Part Number]:[C-Flex 4000K 3W Part Number]])=3,FALSE,TRUE)</f>
        <v>0</v>
      </c>
      <c r="T495" t="b">
        <f>IF(COUNTBLANK(Master_Reference[[#This Row],[Lutron 3000K Eco Part Number]:[Lutron 4000K Eco Part Number]])=3,FALSE,TRUE)</f>
        <v>0</v>
      </c>
      <c r="U495" t="b">
        <f>IF(COUNTBLANK(Master_Reference[[#This Row],[Lutron 3000K 3W Part Number]:[Lutron 4000K 3W Part Number]])=3,FALSE,TRUE)</f>
        <v>0</v>
      </c>
      <c r="V495" s="12"/>
      <c r="W495" s="12"/>
      <c r="X495" s="12"/>
      <c r="Y495" t="s">
        <v>2125</v>
      </c>
      <c r="Z495" s="12"/>
      <c r="AA495" s="12"/>
      <c r="AB495" s="12"/>
      <c r="AC495" t="s">
        <v>2125</v>
      </c>
      <c r="AD495" t="str">
        <f>SUBSTITUTE(Master_Reference[[#This Row],[C-Flex 4000K Eco Part Number]],"40-","xx-")</f>
        <v/>
      </c>
      <c r="AE495" t="str">
        <f>SUBSTITUTE(Master_Reference[[#This Row],[C-Flex 4000K 3W Part Number]],"40-","xx-")</f>
        <v/>
      </c>
      <c r="AF495" s="1" t="str">
        <f>_xlfn.IFNA(VLOOKUP(Master_Reference[[#This Row],[C-Flex 3000K Eco Part Number]],Lutron_CFlex_Lookup[],MATCH("Lutron Kit PN",Lutron_CFlex_Lookup[#Headers],0),FALSE),"")</f>
        <v/>
      </c>
      <c r="AG495" s="1" t="str">
        <f>_xlfn.IFNA(VLOOKUP(Master_Reference[[#This Row],[C-Flex 3500K Eco Part Number]],Lutron_CFlex_Lookup[],MATCH("Lutron Kit PN",Lutron_CFlex_Lookup[#Headers],0),FALSE),"")</f>
        <v/>
      </c>
      <c r="AH495" s="1" t="str">
        <f>_xlfn.IFNA(VLOOKUP(Master_Reference[[#This Row],[C-Flex 4000K Eco Part Number]],Lutron_CFlex_Lookup[],MATCH("Lutron Kit PN",Lutron_CFlex_Lookup[#Headers],0),FALSE),"")</f>
        <v/>
      </c>
      <c r="AI495" s="1" t="str">
        <f>_xlfn.IFNA(VLOOKUP(Master_Reference[[#This Row],[C-Flex 5000K Eco Part Number]],Lutron_CFlex_Lookup[],MATCH("Lutron Kit PN",Lutron_CFlex_Lookup[#Headers],0),FALSE),"")</f>
        <v/>
      </c>
      <c r="AJ495" s="1" t="str">
        <f>_xlfn.IFNA(VLOOKUP(Master_Reference[[#This Row],[C-Flex 3000K 3W Part Number]],Lutron_CFlex_Lookup[],MATCH("Lutron Kit PN",Lutron_CFlex_Lookup[#Headers],0),FALSE),"")</f>
        <v/>
      </c>
      <c r="AK495" s="1" t="str">
        <f>_xlfn.IFNA(VLOOKUP(Master_Reference[[#This Row],[C-Flex 3500K 3W Part Number]],Lutron_CFlex_Lookup[],MATCH("Lutron Kit PN",Lutron_CFlex_Lookup[#Headers],0),FALSE),"")</f>
        <v/>
      </c>
      <c r="AL495" s="1" t="str">
        <f>_xlfn.IFNA(VLOOKUP(Master_Reference[[#This Row],[C-Flex 4000K 3W Part Number]],Lutron_CFlex_Lookup[],MATCH("Lutron Kit PN",Lutron_CFlex_Lookup[#Headers],0),FALSE),"")</f>
        <v/>
      </c>
      <c r="AM495" s="1" t="str">
        <f>_xlfn.IFNA(VLOOKUP(Master_Reference[[#This Row],[C-Flex 5000K 3W Part Number]],Lutron_CFlex_Lookup[],MATCH("Lutron Kit PN",Lutron_CFlex_Lookup[#Headers],0),FALSE),"")</f>
        <v/>
      </c>
      <c r="AN495" s="1" t="b">
        <f>NOT(ISNA(VLOOKUP(Master_Reference[[#This Row],[Model Number]],ObsoleteModels[],1,FALSE)))</f>
        <v>1</v>
      </c>
      <c r="AO495" s="1" t="str">
        <f>IF(LEFT(Master_Reference[[#This Row],[Model Number]],1)="U",LEFT(Master_Reference[[#This Row],[Model Number]],4),LEFT(Master_Reference[[#This Row],[Model Number]],3))</f>
        <v>EHD</v>
      </c>
    </row>
    <row r="496" spans="1:41" x14ac:dyDescent="0.25">
      <c r="A496" s="2" t="s">
        <v>777</v>
      </c>
      <c r="B496" s="1" t="b">
        <v>1</v>
      </c>
      <c r="G496" s="1" t="str">
        <f>IF(OR(LEFT(RIGHT(Master_Reference[[#This Row],[Model Number]],3),1)="C",LEFT(RIGHT(Master_Reference[[#This Row],[Model Number]],4),1)="C"),TRUE,"")</f>
        <v/>
      </c>
      <c r="H496" s="1" t="str">
        <f>IF(LEFT(Master_Reference[[#This Row],[Model Number]],1)="U",TRUE,"")</f>
        <v/>
      </c>
      <c r="I496" s="1" t="b">
        <f>IF(Master_Reference[[#This Row],[Lamp Type]]="T4","",IF(Master_Reference[[#This Row],[Case Type]]="M","",TRUE))</f>
        <v>1</v>
      </c>
      <c r="J496" s="1" t="s">
        <v>111</v>
      </c>
      <c r="K496" s="1">
        <v>32</v>
      </c>
      <c r="L496" s="1" t="s">
        <v>118</v>
      </c>
      <c r="M496" s="1">
        <v>2</v>
      </c>
      <c r="N496" s="1">
        <v>347</v>
      </c>
      <c r="O496" s="1" t="s">
        <v>113</v>
      </c>
      <c r="Q496" s="1" t="s">
        <v>535</v>
      </c>
      <c r="R496" t="b">
        <f>IF(COUNTBLANK(Master_Reference[[#This Row],[C-Flex 3000K Eco Part Number]:[C-Flex 4000K Eco Part Number]])=3,FALSE,TRUE)</f>
        <v>0</v>
      </c>
      <c r="S496" t="b">
        <f>IF(COUNTBLANK(Master_Reference[[#This Row],[C-Flex 3000K 3W Part Number]:[C-Flex 4000K 3W Part Number]])=3,FALSE,TRUE)</f>
        <v>0</v>
      </c>
      <c r="T496" t="b">
        <f>IF(COUNTBLANK(Master_Reference[[#This Row],[Lutron 3000K Eco Part Number]:[Lutron 4000K Eco Part Number]])=3,FALSE,TRUE)</f>
        <v>0</v>
      </c>
      <c r="U496" t="b">
        <f>IF(COUNTBLANK(Master_Reference[[#This Row],[Lutron 3000K 3W Part Number]:[Lutron 4000K 3W Part Number]])=3,FALSE,TRUE)</f>
        <v>0</v>
      </c>
      <c r="V496" s="12"/>
      <c r="W496" s="12"/>
      <c r="X496" s="12"/>
      <c r="Y496" t="s">
        <v>2125</v>
      </c>
      <c r="Z496" s="12"/>
      <c r="AA496" s="12"/>
      <c r="AB496" s="12"/>
      <c r="AC496" t="s">
        <v>2125</v>
      </c>
      <c r="AD496" t="str">
        <f>SUBSTITUTE(Master_Reference[[#This Row],[C-Flex 4000K Eco Part Number]],"40-","xx-")</f>
        <v/>
      </c>
      <c r="AE496" t="str">
        <f>SUBSTITUTE(Master_Reference[[#This Row],[C-Flex 4000K 3W Part Number]],"40-","xx-")</f>
        <v/>
      </c>
      <c r="AF496" s="1" t="str">
        <f>_xlfn.IFNA(VLOOKUP(Master_Reference[[#This Row],[C-Flex 3000K Eco Part Number]],Lutron_CFlex_Lookup[],MATCH("Lutron Kit PN",Lutron_CFlex_Lookup[#Headers],0),FALSE),"")</f>
        <v/>
      </c>
      <c r="AG496" s="1" t="str">
        <f>_xlfn.IFNA(VLOOKUP(Master_Reference[[#This Row],[C-Flex 3500K Eco Part Number]],Lutron_CFlex_Lookup[],MATCH("Lutron Kit PN",Lutron_CFlex_Lookup[#Headers],0),FALSE),"")</f>
        <v/>
      </c>
      <c r="AH496" s="1" t="str">
        <f>_xlfn.IFNA(VLOOKUP(Master_Reference[[#This Row],[C-Flex 4000K Eco Part Number]],Lutron_CFlex_Lookup[],MATCH("Lutron Kit PN",Lutron_CFlex_Lookup[#Headers],0),FALSE),"")</f>
        <v/>
      </c>
      <c r="AI496" s="1" t="str">
        <f>_xlfn.IFNA(VLOOKUP(Master_Reference[[#This Row],[C-Flex 5000K Eco Part Number]],Lutron_CFlex_Lookup[],MATCH("Lutron Kit PN",Lutron_CFlex_Lookup[#Headers],0),FALSE),"")</f>
        <v/>
      </c>
      <c r="AJ496" s="1" t="str">
        <f>_xlfn.IFNA(VLOOKUP(Master_Reference[[#This Row],[C-Flex 3000K 3W Part Number]],Lutron_CFlex_Lookup[],MATCH("Lutron Kit PN",Lutron_CFlex_Lookup[#Headers],0),FALSE),"")</f>
        <v/>
      </c>
      <c r="AK496" s="1" t="str">
        <f>_xlfn.IFNA(VLOOKUP(Master_Reference[[#This Row],[C-Flex 3500K 3W Part Number]],Lutron_CFlex_Lookup[],MATCH("Lutron Kit PN",Lutron_CFlex_Lookup[#Headers],0),FALSE),"")</f>
        <v/>
      </c>
      <c r="AL496" s="1" t="str">
        <f>_xlfn.IFNA(VLOOKUP(Master_Reference[[#This Row],[C-Flex 4000K 3W Part Number]],Lutron_CFlex_Lookup[],MATCH("Lutron Kit PN",Lutron_CFlex_Lookup[#Headers],0),FALSE),"")</f>
        <v/>
      </c>
      <c r="AM496" s="1" t="str">
        <f>_xlfn.IFNA(VLOOKUP(Master_Reference[[#This Row],[C-Flex 5000K 3W Part Number]],Lutron_CFlex_Lookup[],MATCH("Lutron Kit PN",Lutron_CFlex_Lookup[#Headers],0),FALSE),"")</f>
        <v/>
      </c>
      <c r="AN496" s="1" t="b">
        <f>NOT(ISNA(VLOOKUP(Master_Reference[[#This Row],[Model Number]],ObsoleteModels[],1,FALSE)))</f>
        <v>1</v>
      </c>
      <c r="AO496" s="1" t="str">
        <f>IF(LEFT(Master_Reference[[#This Row],[Model Number]],1)="U",LEFT(Master_Reference[[#This Row],[Model Number]],4),LEFT(Master_Reference[[#This Row],[Model Number]],3))</f>
        <v>EHD</v>
      </c>
    </row>
    <row r="497" spans="1:41" x14ac:dyDescent="0.25">
      <c r="A497" s="2" t="s">
        <v>778</v>
      </c>
      <c r="B497" s="1" t="b">
        <v>1</v>
      </c>
      <c r="G497" s="1" t="b">
        <f>IF(OR(LEFT(RIGHT(Master_Reference[[#This Row],[Model Number]],3),1)="C",LEFT(RIGHT(Master_Reference[[#This Row],[Model Number]],4),1)="C"),TRUE,"")</f>
        <v>1</v>
      </c>
      <c r="H497" s="1" t="str">
        <f>IF(LEFT(Master_Reference[[#This Row],[Model Number]],1)="U",TRUE,"")</f>
        <v/>
      </c>
      <c r="I497" s="1" t="b">
        <f>IF(Master_Reference[[#This Row],[Lamp Type]]="T4","",IF(Master_Reference[[#This Row],[Case Type]]="M","",TRUE))</f>
        <v>1</v>
      </c>
      <c r="J497" s="1" t="s">
        <v>111</v>
      </c>
      <c r="K497" s="1">
        <v>32</v>
      </c>
      <c r="L497" s="1" t="s">
        <v>118</v>
      </c>
      <c r="M497" s="1">
        <v>2</v>
      </c>
      <c r="N497" s="1">
        <v>347</v>
      </c>
      <c r="O497" s="1" t="s">
        <v>113</v>
      </c>
      <c r="Q497" s="1" t="s">
        <v>535</v>
      </c>
      <c r="R497" t="b">
        <f>IF(COUNTBLANK(Master_Reference[[#This Row],[C-Flex 3000K Eco Part Number]:[C-Flex 4000K Eco Part Number]])=3,FALSE,TRUE)</f>
        <v>0</v>
      </c>
      <c r="S497" t="b">
        <f>IF(COUNTBLANK(Master_Reference[[#This Row],[C-Flex 3000K 3W Part Number]:[C-Flex 4000K 3W Part Number]])=3,FALSE,TRUE)</f>
        <v>0</v>
      </c>
      <c r="T497" t="b">
        <f>IF(COUNTBLANK(Master_Reference[[#This Row],[Lutron 3000K Eco Part Number]:[Lutron 4000K Eco Part Number]])=3,FALSE,TRUE)</f>
        <v>0</v>
      </c>
      <c r="U497" t="b">
        <f>IF(COUNTBLANK(Master_Reference[[#This Row],[Lutron 3000K 3W Part Number]:[Lutron 4000K 3W Part Number]])=3,FALSE,TRUE)</f>
        <v>0</v>
      </c>
      <c r="V497" s="12"/>
      <c r="W497" s="12"/>
      <c r="X497" s="12"/>
      <c r="Y497" t="s">
        <v>2125</v>
      </c>
      <c r="Z497" s="12"/>
      <c r="AA497" s="12"/>
      <c r="AB497" s="12"/>
      <c r="AC497" t="s">
        <v>2125</v>
      </c>
      <c r="AD497" t="str">
        <f>SUBSTITUTE(Master_Reference[[#This Row],[C-Flex 4000K Eco Part Number]],"40-","xx-")</f>
        <v/>
      </c>
      <c r="AE497" t="str">
        <f>SUBSTITUTE(Master_Reference[[#This Row],[C-Flex 4000K 3W Part Number]],"40-","xx-")</f>
        <v/>
      </c>
      <c r="AF497" s="1" t="str">
        <f>_xlfn.IFNA(VLOOKUP(Master_Reference[[#This Row],[C-Flex 3000K Eco Part Number]],Lutron_CFlex_Lookup[],MATCH("Lutron Kit PN",Lutron_CFlex_Lookup[#Headers],0),FALSE),"")</f>
        <v/>
      </c>
      <c r="AG497" s="1" t="str">
        <f>_xlfn.IFNA(VLOOKUP(Master_Reference[[#This Row],[C-Flex 3500K Eco Part Number]],Lutron_CFlex_Lookup[],MATCH("Lutron Kit PN",Lutron_CFlex_Lookup[#Headers],0),FALSE),"")</f>
        <v/>
      </c>
      <c r="AH497" s="1" t="str">
        <f>_xlfn.IFNA(VLOOKUP(Master_Reference[[#This Row],[C-Flex 4000K Eco Part Number]],Lutron_CFlex_Lookup[],MATCH("Lutron Kit PN",Lutron_CFlex_Lookup[#Headers],0),FALSE),"")</f>
        <v/>
      </c>
      <c r="AI497" s="1" t="str">
        <f>_xlfn.IFNA(VLOOKUP(Master_Reference[[#This Row],[C-Flex 5000K Eco Part Number]],Lutron_CFlex_Lookup[],MATCH("Lutron Kit PN",Lutron_CFlex_Lookup[#Headers],0),FALSE),"")</f>
        <v/>
      </c>
      <c r="AJ497" s="1" t="str">
        <f>_xlfn.IFNA(VLOOKUP(Master_Reference[[#This Row],[C-Flex 3000K 3W Part Number]],Lutron_CFlex_Lookup[],MATCH("Lutron Kit PN",Lutron_CFlex_Lookup[#Headers],0),FALSE),"")</f>
        <v/>
      </c>
      <c r="AK497" s="1" t="str">
        <f>_xlfn.IFNA(VLOOKUP(Master_Reference[[#This Row],[C-Flex 3500K 3W Part Number]],Lutron_CFlex_Lookup[],MATCH("Lutron Kit PN",Lutron_CFlex_Lookup[#Headers],0),FALSE),"")</f>
        <v/>
      </c>
      <c r="AL497" s="1" t="str">
        <f>_xlfn.IFNA(VLOOKUP(Master_Reference[[#This Row],[C-Flex 4000K 3W Part Number]],Lutron_CFlex_Lookup[],MATCH("Lutron Kit PN",Lutron_CFlex_Lookup[#Headers],0),FALSE),"")</f>
        <v/>
      </c>
      <c r="AM497" s="1" t="str">
        <f>_xlfn.IFNA(VLOOKUP(Master_Reference[[#This Row],[C-Flex 5000K 3W Part Number]],Lutron_CFlex_Lookup[],MATCH("Lutron Kit PN",Lutron_CFlex_Lookup[#Headers],0),FALSE),"")</f>
        <v/>
      </c>
      <c r="AN497" s="1" t="b">
        <f>NOT(ISNA(VLOOKUP(Master_Reference[[#This Row],[Model Number]],ObsoleteModels[],1,FALSE)))</f>
        <v>1</v>
      </c>
      <c r="AO497" s="1" t="str">
        <f>IF(LEFT(Master_Reference[[#This Row],[Model Number]],1)="U",LEFT(Master_Reference[[#This Row],[Model Number]],4),LEFT(Master_Reference[[#This Row],[Model Number]],3))</f>
        <v>EHD</v>
      </c>
    </row>
    <row r="498" spans="1:41" x14ac:dyDescent="0.25">
      <c r="A498" s="2" t="s">
        <v>779</v>
      </c>
      <c r="B498" s="1" t="b">
        <v>1</v>
      </c>
      <c r="G498" s="1" t="str">
        <f>IF(OR(LEFT(RIGHT(Master_Reference[[#This Row],[Model Number]],3),1)="C",LEFT(RIGHT(Master_Reference[[#This Row],[Model Number]],4),1)="C"),TRUE,"")</f>
        <v/>
      </c>
      <c r="H498" s="1" t="str">
        <f>IF(LEFT(Master_Reference[[#This Row],[Model Number]],1)="U",TRUE,"")</f>
        <v/>
      </c>
      <c r="I498" s="1" t="b">
        <f>IF(Master_Reference[[#This Row],[Lamp Type]]="T4","",IF(Master_Reference[[#This Row],[Case Type]]="M","",TRUE))</f>
        <v>1</v>
      </c>
      <c r="J498" s="1" t="s">
        <v>111</v>
      </c>
      <c r="K498" s="1">
        <v>32</v>
      </c>
      <c r="L498" s="1" t="s">
        <v>118</v>
      </c>
      <c r="M498" s="1">
        <v>1</v>
      </c>
      <c r="N498" s="1" t="s">
        <v>149</v>
      </c>
      <c r="O498" s="1" t="s">
        <v>113</v>
      </c>
      <c r="R498" t="b">
        <f>IF(COUNTBLANK(Master_Reference[[#This Row],[C-Flex 3000K Eco Part Number]:[C-Flex 4000K Eco Part Number]])=3,FALSE,TRUE)</f>
        <v>1</v>
      </c>
      <c r="S498" t="b">
        <f>IF(COUNTBLANK(Master_Reference[[#This Row],[C-Flex 3000K 3W Part Number]:[C-Flex 4000K 3W Part Number]])=3,FALSE,TRUE)</f>
        <v>0</v>
      </c>
      <c r="T498" t="b">
        <f>IF(COUNTBLANK(Master_Reference[[#This Row],[Lutron 3000K Eco Part Number]:[Lutron 4000K Eco Part Number]])=3,FALSE,TRUE)</f>
        <v>1</v>
      </c>
      <c r="U498" t="b">
        <f>IF(COUNTBLANK(Master_Reference[[#This Row],[Lutron 3000K 3W Part Number]:[Lutron 4000K 3W Part Number]])=3,FALSE,TRUE)</f>
        <v>0</v>
      </c>
      <c r="V498" s="12" t="s">
        <v>312</v>
      </c>
      <c r="W498" s="12" t="s">
        <v>313</v>
      </c>
      <c r="X498" s="12" t="s">
        <v>314</v>
      </c>
      <c r="Y498" t="s">
        <v>1744</v>
      </c>
      <c r="Z498" s="12"/>
      <c r="AA498" s="12"/>
      <c r="AB498" s="12"/>
      <c r="AC498" t="s">
        <v>2125</v>
      </c>
      <c r="AD498" t="str">
        <f>SUBSTITUTE(Master_Reference[[#This Row],[C-Flex 4000K Eco Part Number]],"40-","xx-")</f>
        <v>RP-T8-4FT-1L-8xx-E1-M-G2</v>
      </c>
      <c r="AE498" t="str">
        <f>SUBSTITUTE(Master_Reference[[#This Row],[C-Flex 4000K 3W Part Number]],"40-","xx-")</f>
        <v/>
      </c>
      <c r="AF498" s="1" t="str">
        <f>_xlfn.IFNA(VLOOKUP(Master_Reference[[#This Row],[C-Flex 3000K Eco Part Number]],Lutron_CFlex_Lookup[],MATCH("Lutron Kit PN",Lutron_CFlex_Lookup[#Headers],0),FALSE),"")</f>
        <v>ELD4T8-1M30-q</v>
      </c>
      <c r="AG498" s="1" t="str">
        <f>_xlfn.IFNA(VLOOKUP(Master_Reference[[#This Row],[C-Flex 3500K Eco Part Number]],Lutron_CFlex_Lookup[],MATCH("Lutron Kit PN",Lutron_CFlex_Lookup[#Headers],0),FALSE),"")</f>
        <v>ELD4T8-1M35-q</v>
      </c>
      <c r="AH498" s="1" t="str">
        <f>_xlfn.IFNA(VLOOKUP(Master_Reference[[#This Row],[C-Flex 4000K Eco Part Number]],Lutron_CFlex_Lookup[],MATCH("Lutron Kit PN",Lutron_CFlex_Lookup[#Headers],0),FALSE),"")</f>
        <v>ELD4T8-1M40-q</v>
      </c>
      <c r="AI498" s="1" t="str">
        <f>_xlfn.IFNA(VLOOKUP(Master_Reference[[#This Row],[C-Flex 5000K Eco Part Number]],Lutron_CFlex_Lookup[],MATCH("Lutron Kit PN",Lutron_CFlex_Lookup[#Headers],0),FALSE),"")</f>
        <v>ELD4T8-1M50-q</v>
      </c>
      <c r="AJ498" s="1" t="str">
        <f>_xlfn.IFNA(VLOOKUP(Master_Reference[[#This Row],[C-Flex 3000K 3W Part Number]],Lutron_CFlex_Lookup[],MATCH("Lutron Kit PN",Lutron_CFlex_Lookup[#Headers],0),FALSE),"")</f>
        <v/>
      </c>
      <c r="AK498" s="1" t="str">
        <f>_xlfn.IFNA(VLOOKUP(Master_Reference[[#This Row],[C-Flex 3500K 3W Part Number]],Lutron_CFlex_Lookup[],MATCH("Lutron Kit PN",Lutron_CFlex_Lookup[#Headers],0),FALSE),"")</f>
        <v/>
      </c>
      <c r="AL498" s="1" t="str">
        <f>_xlfn.IFNA(VLOOKUP(Master_Reference[[#This Row],[C-Flex 4000K 3W Part Number]],Lutron_CFlex_Lookup[],MATCH("Lutron Kit PN",Lutron_CFlex_Lookup[#Headers],0),FALSE),"")</f>
        <v/>
      </c>
      <c r="AM498" s="1" t="str">
        <f>_xlfn.IFNA(VLOOKUP(Master_Reference[[#This Row],[C-Flex 5000K 3W Part Number]],Lutron_CFlex_Lookup[],MATCH("Lutron Kit PN",Lutron_CFlex_Lookup[#Headers],0),FALSE),"")</f>
        <v/>
      </c>
      <c r="AN498" s="1" t="b">
        <f>NOT(ISNA(VLOOKUP(Master_Reference[[#This Row],[Model Number]],ObsoleteModels[],1,FALSE)))</f>
        <v>1</v>
      </c>
      <c r="AO498" s="1" t="str">
        <f>IF(LEFT(Master_Reference[[#This Row],[Model Number]],1)="U",LEFT(Master_Reference[[#This Row],[Model Number]],4),LEFT(Master_Reference[[#This Row],[Model Number]],3))</f>
        <v>EHD</v>
      </c>
    </row>
    <row r="499" spans="1:41" x14ac:dyDescent="0.25">
      <c r="A499" s="2" t="s">
        <v>780</v>
      </c>
      <c r="B499" s="1" t="b">
        <v>1</v>
      </c>
      <c r="G499" s="1" t="str">
        <f>IF(OR(LEFT(RIGHT(Master_Reference[[#This Row],[Model Number]],3),1)="C",LEFT(RIGHT(Master_Reference[[#This Row],[Model Number]],4),1)="C"),TRUE,"")</f>
        <v/>
      </c>
      <c r="H499" s="1" t="str">
        <f>IF(LEFT(Master_Reference[[#This Row],[Model Number]],1)="U",TRUE,"")</f>
        <v/>
      </c>
      <c r="I499" s="1" t="b">
        <f>IF(Master_Reference[[#This Row],[Lamp Type]]="T4","",IF(Master_Reference[[#This Row],[Case Type]]="M","",TRUE))</f>
        <v>1</v>
      </c>
      <c r="J499" s="1" t="s">
        <v>111</v>
      </c>
      <c r="K499" s="1">
        <v>32</v>
      </c>
      <c r="L499" s="1" t="s">
        <v>118</v>
      </c>
      <c r="M499" s="1">
        <v>1</v>
      </c>
      <c r="N499" s="1" t="s">
        <v>149</v>
      </c>
      <c r="O499" s="1" t="s">
        <v>113</v>
      </c>
      <c r="R499" t="b">
        <f>IF(COUNTBLANK(Master_Reference[[#This Row],[C-Flex 3000K Eco Part Number]:[C-Flex 4000K Eco Part Number]])=3,FALSE,TRUE)</f>
        <v>1</v>
      </c>
      <c r="S499" t="b">
        <f>IF(COUNTBLANK(Master_Reference[[#This Row],[C-Flex 3000K 3W Part Number]:[C-Flex 4000K 3W Part Number]])=3,FALSE,TRUE)</f>
        <v>0</v>
      </c>
      <c r="T499" t="b">
        <f>IF(COUNTBLANK(Master_Reference[[#This Row],[Lutron 3000K Eco Part Number]:[Lutron 4000K Eco Part Number]])=3,FALSE,TRUE)</f>
        <v>1</v>
      </c>
      <c r="U499" t="b">
        <f>IF(COUNTBLANK(Master_Reference[[#This Row],[Lutron 3000K 3W Part Number]:[Lutron 4000K 3W Part Number]])=3,FALSE,TRUE)</f>
        <v>0</v>
      </c>
      <c r="V499" s="12" t="s">
        <v>312</v>
      </c>
      <c r="W499" s="12" t="s">
        <v>313</v>
      </c>
      <c r="X499" s="12" t="s">
        <v>314</v>
      </c>
      <c r="Y499" t="s">
        <v>1744</v>
      </c>
      <c r="Z499" s="12"/>
      <c r="AA499" s="12"/>
      <c r="AB499" s="12"/>
      <c r="AC499" t="s">
        <v>2125</v>
      </c>
      <c r="AD499" t="str">
        <f>SUBSTITUTE(Master_Reference[[#This Row],[C-Flex 4000K Eco Part Number]],"40-","xx-")</f>
        <v>RP-T8-4FT-1L-8xx-E1-M-G2</v>
      </c>
      <c r="AE499" t="str">
        <f>SUBSTITUTE(Master_Reference[[#This Row],[C-Flex 4000K 3W Part Number]],"40-","xx-")</f>
        <v/>
      </c>
      <c r="AF499" s="1" t="str">
        <f>_xlfn.IFNA(VLOOKUP(Master_Reference[[#This Row],[C-Flex 3000K Eco Part Number]],Lutron_CFlex_Lookup[],MATCH("Lutron Kit PN",Lutron_CFlex_Lookup[#Headers],0),FALSE),"")</f>
        <v>ELD4T8-1M30-q</v>
      </c>
      <c r="AG499" s="1" t="str">
        <f>_xlfn.IFNA(VLOOKUP(Master_Reference[[#This Row],[C-Flex 3500K Eco Part Number]],Lutron_CFlex_Lookup[],MATCH("Lutron Kit PN",Lutron_CFlex_Lookup[#Headers],0),FALSE),"")</f>
        <v>ELD4T8-1M35-q</v>
      </c>
      <c r="AH499" s="1" t="str">
        <f>_xlfn.IFNA(VLOOKUP(Master_Reference[[#This Row],[C-Flex 4000K Eco Part Number]],Lutron_CFlex_Lookup[],MATCH("Lutron Kit PN",Lutron_CFlex_Lookup[#Headers],0),FALSE),"")</f>
        <v>ELD4T8-1M40-q</v>
      </c>
      <c r="AI499" s="1" t="str">
        <f>_xlfn.IFNA(VLOOKUP(Master_Reference[[#This Row],[C-Flex 5000K Eco Part Number]],Lutron_CFlex_Lookup[],MATCH("Lutron Kit PN",Lutron_CFlex_Lookup[#Headers],0),FALSE),"")</f>
        <v>ELD4T8-1M50-q</v>
      </c>
      <c r="AJ499" s="1" t="str">
        <f>_xlfn.IFNA(VLOOKUP(Master_Reference[[#This Row],[C-Flex 3000K 3W Part Number]],Lutron_CFlex_Lookup[],MATCH("Lutron Kit PN",Lutron_CFlex_Lookup[#Headers],0),FALSE),"")</f>
        <v/>
      </c>
      <c r="AK499" s="1" t="str">
        <f>_xlfn.IFNA(VLOOKUP(Master_Reference[[#This Row],[C-Flex 3500K 3W Part Number]],Lutron_CFlex_Lookup[],MATCH("Lutron Kit PN",Lutron_CFlex_Lookup[#Headers],0),FALSE),"")</f>
        <v/>
      </c>
      <c r="AL499" s="1" t="str">
        <f>_xlfn.IFNA(VLOOKUP(Master_Reference[[#This Row],[C-Flex 4000K 3W Part Number]],Lutron_CFlex_Lookup[],MATCH("Lutron Kit PN",Lutron_CFlex_Lookup[#Headers],0),FALSE),"")</f>
        <v/>
      </c>
      <c r="AM499" s="1" t="str">
        <f>_xlfn.IFNA(VLOOKUP(Master_Reference[[#This Row],[C-Flex 5000K 3W Part Number]],Lutron_CFlex_Lookup[],MATCH("Lutron Kit PN",Lutron_CFlex_Lookup[#Headers],0),FALSE),"")</f>
        <v/>
      </c>
      <c r="AN499" s="1" t="b">
        <f>NOT(ISNA(VLOOKUP(Master_Reference[[#This Row],[Model Number]],ObsoleteModels[],1,FALSE)))</f>
        <v>1</v>
      </c>
      <c r="AO499" s="1" t="str">
        <f>IF(LEFT(Master_Reference[[#This Row],[Model Number]],1)="U",LEFT(Master_Reference[[#This Row],[Model Number]],4),LEFT(Master_Reference[[#This Row],[Model Number]],3))</f>
        <v>EHD</v>
      </c>
    </row>
    <row r="500" spans="1:41" x14ac:dyDescent="0.25">
      <c r="A500" s="2" t="s">
        <v>781</v>
      </c>
      <c r="B500" s="1" t="b">
        <v>1</v>
      </c>
      <c r="G500" s="1" t="b">
        <v>1</v>
      </c>
      <c r="H500" s="1" t="str">
        <f>IF(LEFT(Master_Reference[[#This Row],[Model Number]],1)="U",TRUE,"")</f>
        <v/>
      </c>
      <c r="I500" s="1" t="b">
        <f>IF(Master_Reference[[#This Row],[Lamp Type]]="T4","",IF(Master_Reference[[#This Row],[Case Type]]="M","",TRUE))</f>
        <v>1</v>
      </c>
      <c r="J500" s="1" t="s">
        <v>111</v>
      </c>
      <c r="K500" s="1">
        <v>32</v>
      </c>
      <c r="L500" s="1" t="s">
        <v>118</v>
      </c>
      <c r="M500" s="1">
        <v>1</v>
      </c>
      <c r="N500" s="1" t="s">
        <v>149</v>
      </c>
      <c r="O500" s="1" t="s">
        <v>113</v>
      </c>
      <c r="R500" t="b">
        <f>IF(COUNTBLANK(Master_Reference[[#This Row],[C-Flex 3000K Eco Part Number]:[C-Flex 4000K Eco Part Number]])=3,FALSE,TRUE)</f>
        <v>1</v>
      </c>
      <c r="S500" t="b">
        <f>IF(COUNTBLANK(Master_Reference[[#This Row],[C-Flex 3000K 3W Part Number]:[C-Flex 4000K 3W Part Number]])=3,FALSE,TRUE)</f>
        <v>0</v>
      </c>
      <c r="T500" t="b">
        <f>IF(COUNTBLANK(Master_Reference[[#This Row],[Lutron 3000K Eco Part Number]:[Lutron 4000K Eco Part Number]])=3,FALSE,TRUE)</f>
        <v>1</v>
      </c>
      <c r="U500" t="b">
        <f>IF(COUNTBLANK(Master_Reference[[#This Row],[Lutron 3000K 3W Part Number]:[Lutron 4000K 3W Part Number]])=3,FALSE,TRUE)</f>
        <v>0</v>
      </c>
      <c r="V500" s="12" t="s">
        <v>312</v>
      </c>
      <c r="W500" s="12" t="s">
        <v>313</v>
      </c>
      <c r="X500" s="12" t="s">
        <v>314</v>
      </c>
      <c r="Y500" t="s">
        <v>1744</v>
      </c>
      <c r="Z500" s="12"/>
      <c r="AA500" s="12"/>
      <c r="AB500" s="12"/>
      <c r="AC500" t="s">
        <v>2125</v>
      </c>
      <c r="AD500" t="str">
        <f>SUBSTITUTE(Master_Reference[[#This Row],[C-Flex 4000K Eco Part Number]],"40-","xx-")</f>
        <v>RP-T8-4FT-1L-8xx-E1-M-G2</v>
      </c>
      <c r="AE500" t="str">
        <f>SUBSTITUTE(Master_Reference[[#This Row],[C-Flex 4000K 3W Part Number]],"40-","xx-")</f>
        <v/>
      </c>
      <c r="AF500" s="1" t="str">
        <f>_xlfn.IFNA(VLOOKUP(Master_Reference[[#This Row],[C-Flex 3000K Eco Part Number]],Lutron_CFlex_Lookup[],MATCH("Lutron Kit PN",Lutron_CFlex_Lookup[#Headers],0),FALSE),"")</f>
        <v>ELD4T8-1M30-q</v>
      </c>
      <c r="AG500" s="1" t="str">
        <f>_xlfn.IFNA(VLOOKUP(Master_Reference[[#This Row],[C-Flex 3500K Eco Part Number]],Lutron_CFlex_Lookup[],MATCH("Lutron Kit PN",Lutron_CFlex_Lookup[#Headers],0),FALSE),"")</f>
        <v>ELD4T8-1M35-q</v>
      </c>
      <c r="AH500" s="1" t="str">
        <f>_xlfn.IFNA(VLOOKUP(Master_Reference[[#This Row],[C-Flex 4000K Eco Part Number]],Lutron_CFlex_Lookup[],MATCH("Lutron Kit PN",Lutron_CFlex_Lookup[#Headers],0),FALSE),"")</f>
        <v>ELD4T8-1M40-q</v>
      </c>
      <c r="AI500" s="1" t="str">
        <f>_xlfn.IFNA(VLOOKUP(Master_Reference[[#This Row],[C-Flex 5000K Eco Part Number]],Lutron_CFlex_Lookup[],MATCH("Lutron Kit PN",Lutron_CFlex_Lookup[#Headers],0),FALSE),"")</f>
        <v>ELD4T8-1M50-q</v>
      </c>
      <c r="AJ500" s="1" t="str">
        <f>_xlfn.IFNA(VLOOKUP(Master_Reference[[#This Row],[C-Flex 3000K 3W Part Number]],Lutron_CFlex_Lookup[],MATCH("Lutron Kit PN",Lutron_CFlex_Lookup[#Headers],0),FALSE),"")</f>
        <v/>
      </c>
      <c r="AK500" s="1" t="str">
        <f>_xlfn.IFNA(VLOOKUP(Master_Reference[[#This Row],[C-Flex 3500K 3W Part Number]],Lutron_CFlex_Lookup[],MATCH("Lutron Kit PN",Lutron_CFlex_Lookup[#Headers],0),FALSE),"")</f>
        <v/>
      </c>
      <c r="AL500" s="1" t="str">
        <f>_xlfn.IFNA(VLOOKUP(Master_Reference[[#This Row],[C-Flex 4000K 3W Part Number]],Lutron_CFlex_Lookup[],MATCH("Lutron Kit PN",Lutron_CFlex_Lookup[#Headers],0),FALSE),"")</f>
        <v/>
      </c>
      <c r="AM500" s="1" t="str">
        <f>_xlfn.IFNA(VLOOKUP(Master_Reference[[#This Row],[C-Flex 5000K 3W Part Number]],Lutron_CFlex_Lookup[],MATCH("Lutron Kit PN",Lutron_CFlex_Lookup[#Headers],0),FALSE),"")</f>
        <v/>
      </c>
      <c r="AN500" s="1" t="b">
        <f>NOT(ISNA(VLOOKUP(Master_Reference[[#This Row],[Model Number]],ObsoleteModels[],1,FALSE)))</f>
        <v>1</v>
      </c>
      <c r="AO500" s="1" t="str">
        <f>IF(LEFT(Master_Reference[[#This Row],[Model Number]],1)="U",LEFT(Master_Reference[[#This Row],[Model Number]],4),LEFT(Master_Reference[[#This Row],[Model Number]],3))</f>
        <v>EHD</v>
      </c>
    </row>
    <row r="501" spans="1:41" x14ac:dyDescent="0.25">
      <c r="A501" s="2" t="s">
        <v>782</v>
      </c>
      <c r="B501" s="1" t="b">
        <v>1</v>
      </c>
      <c r="G501" s="1" t="b">
        <v>1</v>
      </c>
      <c r="H501" s="1" t="str">
        <f>IF(LEFT(Master_Reference[[#This Row],[Model Number]],1)="U",TRUE,"")</f>
        <v/>
      </c>
      <c r="I501" s="1" t="b">
        <f>IF(Master_Reference[[#This Row],[Lamp Type]]="T4","",IF(Master_Reference[[#This Row],[Case Type]]="M","",TRUE))</f>
        <v>1</v>
      </c>
      <c r="J501" s="1" t="s">
        <v>111</v>
      </c>
      <c r="K501" s="1">
        <v>32</v>
      </c>
      <c r="L501" s="1" t="s">
        <v>118</v>
      </c>
      <c r="M501" s="1">
        <v>1</v>
      </c>
      <c r="N501" s="1" t="s">
        <v>149</v>
      </c>
      <c r="O501" s="1" t="s">
        <v>113</v>
      </c>
      <c r="R501" t="b">
        <f>IF(COUNTBLANK(Master_Reference[[#This Row],[C-Flex 3000K Eco Part Number]:[C-Flex 4000K Eco Part Number]])=3,FALSE,TRUE)</f>
        <v>1</v>
      </c>
      <c r="S501" t="b">
        <f>IF(COUNTBLANK(Master_Reference[[#This Row],[C-Flex 3000K 3W Part Number]:[C-Flex 4000K 3W Part Number]])=3,FALSE,TRUE)</f>
        <v>0</v>
      </c>
      <c r="T501" t="b">
        <f>IF(COUNTBLANK(Master_Reference[[#This Row],[Lutron 3000K Eco Part Number]:[Lutron 4000K Eco Part Number]])=3,FALSE,TRUE)</f>
        <v>1</v>
      </c>
      <c r="U501" t="b">
        <f>IF(COUNTBLANK(Master_Reference[[#This Row],[Lutron 3000K 3W Part Number]:[Lutron 4000K 3W Part Number]])=3,FALSE,TRUE)</f>
        <v>0</v>
      </c>
      <c r="V501" s="12" t="s">
        <v>312</v>
      </c>
      <c r="W501" s="12" t="s">
        <v>313</v>
      </c>
      <c r="X501" s="12" t="s">
        <v>314</v>
      </c>
      <c r="Y501" t="s">
        <v>1744</v>
      </c>
      <c r="Z501" s="12"/>
      <c r="AA501" s="12"/>
      <c r="AB501" s="12"/>
      <c r="AC501" t="s">
        <v>2125</v>
      </c>
      <c r="AD501" t="str">
        <f>SUBSTITUTE(Master_Reference[[#This Row],[C-Flex 4000K Eco Part Number]],"40-","xx-")</f>
        <v>RP-T8-4FT-1L-8xx-E1-M-G2</v>
      </c>
      <c r="AE501" t="str">
        <f>SUBSTITUTE(Master_Reference[[#This Row],[C-Flex 4000K 3W Part Number]],"40-","xx-")</f>
        <v/>
      </c>
      <c r="AF501" s="1" t="str">
        <f>_xlfn.IFNA(VLOOKUP(Master_Reference[[#This Row],[C-Flex 3000K Eco Part Number]],Lutron_CFlex_Lookup[],MATCH("Lutron Kit PN",Lutron_CFlex_Lookup[#Headers],0),FALSE),"")</f>
        <v>ELD4T8-1M30-q</v>
      </c>
      <c r="AG501" s="1" t="str">
        <f>_xlfn.IFNA(VLOOKUP(Master_Reference[[#This Row],[C-Flex 3500K Eco Part Number]],Lutron_CFlex_Lookup[],MATCH("Lutron Kit PN",Lutron_CFlex_Lookup[#Headers],0),FALSE),"")</f>
        <v>ELD4T8-1M35-q</v>
      </c>
      <c r="AH501" s="1" t="str">
        <f>_xlfn.IFNA(VLOOKUP(Master_Reference[[#This Row],[C-Flex 4000K Eco Part Number]],Lutron_CFlex_Lookup[],MATCH("Lutron Kit PN",Lutron_CFlex_Lookup[#Headers],0),FALSE),"")</f>
        <v>ELD4T8-1M40-q</v>
      </c>
      <c r="AI501" s="1" t="str">
        <f>_xlfn.IFNA(VLOOKUP(Master_Reference[[#This Row],[C-Flex 5000K Eco Part Number]],Lutron_CFlex_Lookup[],MATCH("Lutron Kit PN",Lutron_CFlex_Lookup[#Headers],0),FALSE),"")</f>
        <v>ELD4T8-1M50-q</v>
      </c>
      <c r="AJ501" s="1" t="str">
        <f>_xlfn.IFNA(VLOOKUP(Master_Reference[[#This Row],[C-Flex 3000K 3W Part Number]],Lutron_CFlex_Lookup[],MATCH("Lutron Kit PN",Lutron_CFlex_Lookup[#Headers],0),FALSE),"")</f>
        <v/>
      </c>
      <c r="AK501" s="1" t="str">
        <f>_xlfn.IFNA(VLOOKUP(Master_Reference[[#This Row],[C-Flex 3500K 3W Part Number]],Lutron_CFlex_Lookup[],MATCH("Lutron Kit PN",Lutron_CFlex_Lookup[#Headers],0),FALSE),"")</f>
        <v/>
      </c>
      <c r="AL501" s="1" t="str">
        <f>_xlfn.IFNA(VLOOKUP(Master_Reference[[#This Row],[C-Flex 4000K 3W Part Number]],Lutron_CFlex_Lookup[],MATCH("Lutron Kit PN",Lutron_CFlex_Lookup[#Headers],0),FALSE),"")</f>
        <v/>
      </c>
      <c r="AM501" s="1" t="str">
        <f>_xlfn.IFNA(VLOOKUP(Master_Reference[[#This Row],[C-Flex 5000K 3W Part Number]],Lutron_CFlex_Lookup[],MATCH("Lutron Kit PN",Lutron_CFlex_Lookup[#Headers],0),FALSE),"")</f>
        <v/>
      </c>
      <c r="AN501" s="1" t="b">
        <f>NOT(ISNA(VLOOKUP(Master_Reference[[#This Row],[Model Number]],ObsoleteModels[],1,FALSE)))</f>
        <v>1</v>
      </c>
      <c r="AO501" s="1" t="str">
        <f>IF(LEFT(Master_Reference[[#This Row],[Model Number]],1)="U",LEFT(Master_Reference[[#This Row],[Model Number]],4),LEFT(Master_Reference[[#This Row],[Model Number]],3))</f>
        <v>EHD</v>
      </c>
    </row>
    <row r="502" spans="1:41" x14ac:dyDescent="0.25">
      <c r="A502" s="2" t="s">
        <v>783</v>
      </c>
      <c r="B502" s="1" t="b">
        <v>1</v>
      </c>
      <c r="G502" s="1" t="b">
        <f>IF(OR(LEFT(RIGHT(Master_Reference[[#This Row],[Model Number]],3),1)="C",LEFT(RIGHT(Master_Reference[[#This Row],[Model Number]],4),1)="C"),TRUE,"")</f>
        <v>1</v>
      </c>
      <c r="H502" s="1" t="str">
        <f>IF(LEFT(Master_Reference[[#This Row],[Model Number]],1)="U",TRUE,"")</f>
        <v/>
      </c>
      <c r="I502" s="1" t="b">
        <f>IF(Master_Reference[[#This Row],[Lamp Type]]="T4","",IF(Master_Reference[[#This Row],[Case Type]]="M","",TRUE))</f>
        <v>1</v>
      </c>
      <c r="J502" s="1" t="s">
        <v>111</v>
      </c>
      <c r="K502" s="1">
        <v>32</v>
      </c>
      <c r="L502" s="1" t="s">
        <v>118</v>
      </c>
      <c r="M502" s="1">
        <v>1</v>
      </c>
      <c r="N502" s="1" t="s">
        <v>149</v>
      </c>
      <c r="O502" s="1" t="s">
        <v>113</v>
      </c>
      <c r="R502" t="b">
        <f>IF(COUNTBLANK(Master_Reference[[#This Row],[C-Flex 3000K Eco Part Number]:[C-Flex 4000K Eco Part Number]])=3,FALSE,TRUE)</f>
        <v>1</v>
      </c>
      <c r="S502" t="b">
        <f>IF(COUNTBLANK(Master_Reference[[#This Row],[C-Flex 3000K 3W Part Number]:[C-Flex 4000K 3W Part Number]])=3,FALSE,TRUE)</f>
        <v>0</v>
      </c>
      <c r="T502" t="b">
        <f>IF(COUNTBLANK(Master_Reference[[#This Row],[Lutron 3000K Eco Part Number]:[Lutron 4000K Eco Part Number]])=3,FALSE,TRUE)</f>
        <v>1</v>
      </c>
      <c r="U502" t="b">
        <f>IF(COUNTBLANK(Master_Reference[[#This Row],[Lutron 3000K 3W Part Number]:[Lutron 4000K 3W Part Number]])=3,FALSE,TRUE)</f>
        <v>0</v>
      </c>
      <c r="V502" s="12" t="s">
        <v>312</v>
      </c>
      <c r="W502" s="12" t="s">
        <v>313</v>
      </c>
      <c r="X502" s="12" t="s">
        <v>314</v>
      </c>
      <c r="Y502" t="s">
        <v>1744</v>
      </c>
      <c r="Z502" s="12"/>
      <c r="AA502" s="12"/>
      <c r="AB502" s="12"/>
      <c r="AC502" t="s">
        <v>2125</v>
      </c>
      <c r="AD502" t="str">
        <f>SUBSTITUTE(Master_Reference[[#This Row],[C-Flex 4000K Eco Part Number]],"40-","xx-")</f>
        <v>RP-T8-4FT-1L-8xx-E1-M-G2</v>
      </c>
      <c r="AE502" t="str">
        <f>SUBSTITUTE(Master_Reference[[#This Row],[C-Flex 4000K 3W Part Number]],"40-","xx-")</f>
        <v/>
      </c>
      <c r="AF502" s="1" t="str">
        <f>_xlfn.IFNA(VLOOKUP(Master_Reference[[#This Row],[C-Flex 3000K Eco Part Number]],Lutron_CFlex_Lookup[],MATCH("Lutron Kit PN",Lutron_CFlex_Lookup[#Headers],0),FALSE),"")</f>
        <v>ELD4T8-1M30-q</v>
      </c>
      <c r="AG502" s="1" t="str">
        <f>_xlfn.IFNA(VLOOKUP(Master_Reference[[#This Row],[C-Flex 3500K Eco Part Number]],Lutron_CFlex_Lookup[],MATCH("Lutron Kit PN",Lutron_CFlex_Lookup[#Headers],0),FALSE),"")</f>
        <v>ELD4T8-1M35-q</v>
      </c>
      <c r="AH502" s="1" t="str">
        <f>_xlfn.IFNA(VLOOKUP(Master_Reference[[#This Row],[C-Flex 4000K Eco Part Number]],Lutron_CFlex_Lookup[],MATCH("Lutron Kit PN",Lutron_CFlex_Lookup[#Headers],0),FALSE),"")</f>
        <v>ELD4T8-1M40-q</v>
      </c>
      <c r="AI502" s="1" t="str">
        <f>_xlfn.IFNA(VLOOKUP(Master_Reference[[#This Row],[C-Flex 5000K Eco Part Number]],Lutron_CFlex_Lookup[],MATCH("Lutron Kit PN",Lutron_CFlex_Lookup[#Headers],0),FALSE),"")</f>
        <v>ELD4T8-1M50-q</v>
      </c>
      <c r="AJ502" s="1" t="str">
        <f>_xlfn.IFNA(VLOOKUP(Master_Reference[[#This Row],[C-Flex 3000K 3W Part Number]],Lutron_CFlex_Lookup[],MATCH("Lutron Kit PN",Lutron_CFlex_Lookup[#Headers],0),FALSE),"")</f>
        <v/>
      </c>
      <c r="AK502" s="1" t="str">
        <f>_xlfn.IFNA(VLOOKUP(Master_Reference[[#This Row],[C-Flex 3500K 3W Part Number]],Lutron_CFlex_Lookup[],MATCH("Lutron Kit PN",Lutron_CFlex_Lookup[#Headers],0),FALSE),"")</f>
        <v/>
      </c>
      <c r="AL502" s="1" t="str">
        <f>_xlfn.IFNA(VLOOKUP(Master_Reference[[#This Row],[C-Flex 4000K 3W Part Number]],Lutron_CFlex_Lookup[],MATCH("Lutron Kit PN",Lutron_CFlex_Lookup[#Headers],0),FALSE),"")</f>
        <v/>
      </c>
      <c r="AM502" s="1" t="str">
        <f>_xlfn.IFNA(VLOOKUP(Master_Reference[[#This Row],[C-Flex 5000K 3W Part Number]],Lutron_CFlex_Lookup[],MATCH("Lutron Kit PN",Lutron_CFlex_Lookup[#Headers],0),FALSE),"")</f>
        <v/>
      </c>
      <c r="AN502" s="1" t="b">
        <f>NOT(ISNA(VLOOKUP(Master_Reference[[#This Row],[Model Number]],ObsoleteModels[],1,FALSE)))</f>
        <v>1</v>
      </c>
      <c r="AO502" s="1" t="str">
        <f>IF(LEFT(Master_Reference[[#This Row],[Model Number]],1)="U",LEFT(Master_Reference[[#This Row],[Model Number]],4),LEFT(Master_Reference[[#This Row],[Model Number]],3))</f>
        <v>EHD</v>
      </c>
    </row>
    <row r="503" spans="1:41" x14ac:dyDescent="0.25">
      <c r="A503" s="2" t="s">
        <v>784</v>
      </c>
      <c r="B503" s="1" t="b">
        <v>1</v>
      </c>
      <c r="G503" s="1" t="b">
        <f>IF(OR(LEFT(RIGHT(Master_Reference[[#This Row],[Model Number]],3),1)="C",LEFT(RIGHT(Master_Reference[[#This Row],[Model Number]],4),1)="C"),TRUE,"")</f>
        <v>1</v>
      </c>
      <c r="H503" s="1" t="str">
        <f>IF(LEFT(Master_Reference[[#This Row],[Model Number]],1)="U",TRUE,"")</f>
        <v/>
      </c>
      <c r="I503" s="1" t="b">
        <f>IF(Master_Reference[[#This Row],[Lamp Type]]="T4","",IF(Master_Reference[[#This Row],[Case Type]]="M","",TRUE))</f>
        <v>1</v>
      </c>
      <c r="J503" s="1" t="s">
        <v>111</v>
      </c>
      <c r="K503" s="1">
        <v>32</v>
      </c>
      <c r="L503" s="1" t="s">
        <v>118</v>
      </c>
      <c r="M503" s="1">
        <v>1</v>
      </c>
      <c r="N503" s="1" t="s">
        <v>149</v>
      </c>
      <c r="O503" s="1" t="s">
        <v>113</v>
      </c>
      <c r="R503" t="b">
        <f>IF(COUNTBLANK(Master_Reference[[#This Row],[C-Flex 3000K Eco Part Number]:[C-Flex 4000K Eco Part Number]])=3,FALSE,TRUE)</f>
        <v>1</v>
      </c>
      <c r="S503" t="b">
        <f>IF(COUNTBLANK(Master_Reference[[#This Row],[C-Flex 3000K 3W Part Number]:[C-Flex 4000K 3W Part Number]])=3,FALSE,TRUE)</f>
        <v>0</v>
      </c>
      <c r="T503" t="b">
        <f>IF(COUNTBLANK(Master_Reference[[#This Row],[Lutron 3000K Eco Part Number]:[Lutron 4000K Eco Part Number]])=3,FALSE,TRUE)</f>
        <v>1</v>
      </c>
      <c r="U503" t="b">
        <f>IF(COUNTBLANK(Master_Reference[[#This Row],[Lutron 3000K 3W Part Number]:[Lutron 4000K 3W Part Number]])=3,FALSE,TRUE)</f>
        <v>0</v>
      </c>
      <c r="V503" s="12" t="s">
        <v>312</v>
      </c>
      <c r="W503" s="12" t="s">
        <v>313</v>
      </c>
      <c r="X503" s="12" t="s">
        <v>314</v>
      </c>
      <c r="Y503" t="s">
        <v>1744</v>
      </c>
      <c r="Z503" s="12"/>
      <c r="AA503" s="12"/>
      <c r="AB503" s="12"/>
      <c r="AC503" t="s">
        <v>2125</v>
      </c>
      <c r="AD503" t="str">
        <f>SUBSTITUTE(Master_Reference[[#This Row],[C-Flex 4000K Eco Part Number]],"40-","xx-")</f>
        <v>RP-T8-4FT-1L-8xx-E1-M-G2</v>
      </c>
      <c r="AE503" t="str">
        <f>SUBSTITUTE(Master_Reference[[#This Row],[C-Flex 4000K 3W Part Number]],"40-","xx-")</f>
        <v/>
      </c>
      <c r="AF503" s="1" t="str">
        <f>_xlfn.IFNA(VLOOKUP(Master_Reference[[#This Row],[C-Flex 3000K Eco Part Number]],Lutron_CFlex_Lookup[],MATCH("Lutron Kit PN",Lutron_CFlex_Lookup[#Headers],0),FALSE),"")</f>
        <v>ELD4T8-1M30-q</v>
      </c>
      <c r="AG503" s="1" t="str">
        <f>_xlfn.IFNA(VLOOKUP(Master_Reference[[#This Row],[C-Flex 3500K Eco Part Number]],Lutron_CFlex_Lookup[],MATCH("Lutron Kit PN",Lutron_CFlex_Lookup[#Headers],0),FALSE),"")</f>
        <v>ELD4T8-1M35-q</v>
      </c>
      <c r="AH503" s="1" t="str">
        <f>_xlfn.IFNA(VLOOKUP(Master_Reference[[#This Row],[C-Flex 4000K Eco Part Number]],Lutron_CFlex_Lookup[],MATCH("Lutron Kit PN",Lutron_CFlex_Lookup[#Headers],0),FALSE),"")</f>
        <v>ELD4T8-1M40-q</v>
      </c>
      <c r="AI503" s="1" t="str">
        <f>_xlfn.IFNA(VLOOKUP(Master_Reference[[#This Row],[C-Flex 5000K Eco Part Number]],Lutron_CFlex_Lookup[],MATCH("Lutron Kit PN",Lutron_CFlex_Lookup[#Headers],0),FALSE),"")</f>
        <v>ELD4T8-1M50-q</v>
      </c>
      <c r="AJ503" s="1" t="str">
        <f>_xlfn.IFNA(VLOOKUP(Master_Reference[[#This Row],[C-Flex 3000K 3W Part Number]],Lutron_CFlex_Lookup[],MATCH("Lutron Kit PN",Lutron_CFlex_Lookup[#Headers],0),FALSE),"")</f>
        <v/>
      </c>
      <c r="AK503" s="1" t="str">
        <f>_xlfn.IFNA(VLOOKUP(Master_Reference[[#This Row],[C-Flex 3500K 3W Part Number]],Lutron_CFlex_Lookup[],MATCH("Lutron Kit PN",Lutron_CFlex_Lookup[#Headers],0),FALSE),"")</f>
        <v/>
      </c>
      <c r="AL503" s="1" t="str">
        <f>_xlfn.IFNA(VLOOKUP(Master_Reference[[#This Row],[C-Flex 4000K 3W Part Number]],Lutron_CFlex_Lookup[],MATCH("Lutron Kit PN",Lutron_CFlex_Lookup[#Headers],0),FALSE),"")</f>
        <v/>
      </c>
      <c r="AM503" s="1" t="str">
        <f>_xlfn.IFNA(VLOOKUP(Master_Reference[[#This Row],[C-Flex 5000K 3W Part Number]],Lutron_CFlex_Lookup[],MATCH("Lutron Kit PN",Lutron_CFlex_Lookup[#Headers],0),FALSE),"")</f>
        <v/>
      </c>
      <c r="AN503" s="1" t="b">
        <f>NOT(ISNA(VLOOKUP(Master_Reference[[#This Row],[Model Number]],ObsoleteModels[],1,FALSE)))</f>
        <v>1</v>
      </c>
      <c r="AO503" s="1" t="str">
        <f>IF(LEFT(Master_Reference[[#This Row],[Model Number]],1)="U",LEFT(Master_Reference[[#This Row],[Model Number]],4),LEFT(Master_Reference[[#This Row],[Model Number]],3))</f>
        <v>EHD</v>
      </c>
    </row>
    <row r="504" spans="1:41" x14ac:dyDescent="0.25">
      <c r="A504" s="2" t="s">
        <v>785</v>
      </c>
      <c r="B504" s="1" t="b">
        <v>1</v>
      </c>
      <c r="G504" s="1" t="b">
        <f>IF(OR(LEFT(RIGHT(Master_Reference[[#This Row],[Model Number]],3),1)="C",LEFT(RIGHT(Master_Reference[[#This Row],[Model Number]],4),1)="C"),TRUE,"")</f>
        <v>1</v>
      </c>
      <c r="H504" s="1" t="str">
        <f>IF(LEFT(Master_Reference[[#This Row],[Model Number]],1)="U",TRUE,"")</f>
        <v/>
      </c>
      <c r="I504" s="1" t="b">
        <f>IF(Master_Reference[[#This Row],[Lamp Type]]="T4","",IF(Master_Reference[[#This Row],[Case Type]]="M","",TRUE))</f>
        <v>1</v>
      </c>
      <c r="J504" s="1" t="s">
        <v>111</v>
      </c>
      <c r="K504" s="1">
        <v>32</v>
      </c>
      <c r="L504" s="1" t="s">
        <v>118</v>
      </c>
      <c r="M504" s="1">
        <v>1</v>
      </c>
      <c r="N504" s="1" t="s">
        <v>149</v>
      </c>
      <c r="O504" s="1" t="s">
        <v>113</v>
      </c>
      <c r="R504" t="b">
        <f>IF(COUNTBLANK(Master_Reference[[#This Row],[C-Flex 3000K Eco Part Number]:[C-Flex 4000K Eco Part Number]])=3,FALSE,TRUE)</f>
        <v>1</v>
      </c>
      <c r="S504" t="b">
        <f>IF(COUNTBLANK(Master_Reference[[#This Row],[C-Flex 3000K 3W Part Number]:[C-Flex 4000K 3W Part Number]])=3,FALSE,TRUE)</f>
        <v>0</v>
      </c>
      <c r="T504" t="b">
        <f>IF(COUNTBLANK(Master_Reference[[#This Row],[Lutron 3000K Eco Part Number]:[Lutron 4000K Eco Part Number]])=3,FALSE,TRUE)</f>
        <v>1</v>
      </c>
      <c r="U504" t="b">
        <f>IF(COUNTBLANK(Master_Reference[[#This Row],[Lutron 3000K 3W Part Number]:[Lutron 4000K 3W Part Number]])=3,FALSE,TRUE)</f>
        <v>0</v>
      </c>
      <c r="V504" s="12" t="s">
        <v>312</v>
      </c>
      <c r="W504" s="12" t="s">
        <v>313</v>
      </c>
      <c r="X504" s="12" t="s">
        <v>314</v>
      </c>
      <c r="Y504" t="s">
        <v>1744</v>
      </c>
      <c r="Z504" s="12"/>
      <c r="AA504" s="12"/>
      <c r="AB504" s="12"/>
      <c r="AC504" t="s">
        <v>2125</v>
      </c>
      <c r="AD504" t="str">
        <f>SUBSTITUTE(Master_Reference[[#This Row],[C-Flex 4000K Eco Part Number]],"40-","xx-")</f>
        <v>RP-T8-4FT-1L-8xx-E1-M-G2</v>
      </c>
      <c r="AE504" t="str">
        <f>SUBSTITUTE(Master_Reference[[#This Row],[C-Flex 4000K 3W Part Number]],"40-","xx-")</f>
        <v/>
      </c>
      <c r="AF504" s="1" t="str">
        <f>_xlfn.IFNA(VLOOKUP(Master_Reference[[#This Row],[C-Flex 3000K Eco Part Number]],Lutron_CFlex_Lookup[],MATCH("Lutron Kit PN",Lutron_CFlex_Lookup[#Headers],0),FALSE),"")</f>
        <v>ELD4T8-1M30-q</v>
      </c>
      <c r="AG504" s="1" t="str">
        <f>_xlfn.IFNA(VLOOKUP(Master_Reference[[#This Row],[C-Flex 3500K Eco Part Number]],Lutron_CFlex_Lookup[],MATCH("Lutron Kit PN",Lutron_CFlex_Lookup[#Headers],0),FALSE),"")</f>
        <v>ELD4T8-1M35-q</v>
      </c>
      <c r="AH504" s="1" t="str">
        <f>_xlfn.IFNA(VLOOKUP(Master_Reference[[#This Row],[C-Flex 4000K Eco Part Number]],Lutron_CFlex_Lookup[],MATCH("Lutron Kit PN",Lutron_CFlex_Lookup[#Headers],0),FALSE),"")</f>
        <v>ELD4T8-1M40-q</v>
      </c>
      <c r="AI504" s="1" t="str">
        <f>_xlfn.IFNA(VLOOKUP(Master_Reference[[#This Row],[C-Flex 5000K Eco Part Number]],Lutron_CFlex_Lookup[],MATCH("Lutron Kit PN",Lutron_CFlex_Lookup[#Headers],0),FALSE),"")</f>
        <v>ELD4T8-1M50-q</v>
      </c>
      <c r="AJ504" s="1" t="str">
        <f>_xlfn.IFNA(VLOOKUP(Master_Reference[[#This Row],[C-Flex 3000K 3W Part Number]],Lutron_CFlex_Lookup[],MATCH("Lutron Kit PN",Lutron_CFlex_Lookup[#Headers],0),FALSE),"")</f>
        <v/>
      </c>
      <c r="AK504" s="1" t="str">
        <f>_xlfn.IFNA(VLOOKUP(Master_Reference[[#This Row],[C-Flex 3500K 3W Part Number]],Lutron_CFlex_Lookup[],MATCH("Lutron Kit PN",Lutron_CFlex_Lookup[#Headers],0),FALSE),"")</f>
        <v/>
      </c>
      <c r="AL504" s="1" t="str">
        <f>_xlfn.IFNA(VLOOKUP(Master_Reference[[#This Row],[C-Flex 4000K 3W Part Number]],Lutron_CFlex_Lookup[],MATCH("Lutron Kit PN",Lutron_CFlex_Lookup[#Headers],0),FALSE),"")</f>
        <v/>
      </c>
      <c r="AM504" s="1" t="str">
        <f>_xlfn.IFNA(VLOOKUP(Master_Reference[[#This Row],[C-Flex 5000K 3W Part Number]],Lutron_CFlex_Lookup[],MATCH("Lutron Kit PN",Lutron_CFlex_Lookup[#Headers],0),FALSE),"")</f>
        <v/>
      </c>
      <c r="AN504" s="1" t="b">
        <f>NOT(ISNA(VLOOKUP(Master_Reference[[#This Row],[Model Number]],ObsoleteModels[],1,FALSE)))</f>
        <v>1</v>
      </c>
      <c r="AO504" s="1" t="str">
        <f>IF(LEFT(Master_Reference[[#This Row],[Model Number]],1)="U",LEFT(Master_Reference[[#This Row],[Model Number]],4),LEFT(Master_Reference[[#This Row],[Model Number]],3))</f>
        <v>EHD</v>
      </c>
    </row>
    <row r="505" spans="1:41" x14ac:dyDescent="0.25">
      <c r="A505" s="2" t="s">
        <v>786</v>
      </c>
      <c r="B505" s="1" t="b">
        <v>1</v>
      </c>
      <c r="G505" s="1" t="b">
        <f>IF(OR(LEFT(RIGHT(Master_Reference[[#This Row],[Model Number]],3),1)="C",LEFT(RIGHT(Master_Reference[[#This Row],[Model Number]],4),1)="C"),TRUE,"")</f>
        <v>1</v>
      </c>
      <c r="H505" s="1" t="str">
        <f>IF(LEFT(Master_Reference[[#This Row],[Model Number]],1)="U",TRUE,"")</f>
        <v/>
      </c>
      <c r="I505" s="1" t="b">
        <f>IF(Master_Reference[[#This Row],[Lamp Type]]="T4","",IF(Master_Reference[[#This Row],[Case Type]]="M","",TRUE))</f>
        <v>1</v>
      </c>
      <c r="J505" s="1" t="s">
        <v>111</v>
      </c>
      <c r="K505" s="1">
        <v>32</v>
      </c>
      <c r="L505" s="1" t="s">
        <v>118</v>
      </c>
      <c r="M505" s="1">
        <v>1</v>
      </c>
      <c r="N505" s="1" t="s">
        <v>149</v>
      </c>
      <c r="O505" s="1" t="s">
        <v>113</v>
      </c>
      <c r="R505" t="b">
        <f>IF(COUNTBLANK(Master_Reference[[#This Row],[C-Flex 3000K Eco Part Number]:[C-Flex 4000K Eco Part Number]])=3,FALSE,TRUE)</f>
        <v>1</v>
      </c>
      <c r="S505" t="b">
        <f>IF(COUNTBLANK(Master_Reference[[#This Row],[C-Flex 3000K 3W Part Number]:[C-Flex 4000K 3W Part Number]])=3,FALSE,TRUE)</f>
        <v>0</v>
      </c>
      <c r="T505" t="b">
        <f>IF(COUNTBLANK(Master_Reference[[#This Row],[Lutron 3000K Eco Part Number]:[Lutron 4000K Eco Part Number]])=3,FALSE,TRUE)</f>
        <v>1</v>
      </c>
      <c r="U505" t="b">
        <f>IF(COUNTBLANK(Master_Reference[[#This Row],[Lutron 3000K 3W Part Number]:[Lutron 4000K 3W Part Number]])=3,FALSE,TRUE)</f>
        <v>0</v>
      </c>
      <c r="V505" s="12" t="s">
        <v>312</v>
      </c>
      <c r="W505" s="12" t="s">
        <v>313</v>
      </c>
      <c r="X505" s="12" t="s">
        <v>314</v>
      </c>
      <c r="Y505" t="s">
        <v>1744</v>
      </c>
      <c r="Z505" s="12"/>
      <c r="AA505" s="12"/>
      <c r="AB505" s="12"/>
      <c r="AC505" t="s">
        <v>2125</v>
      </c>
      <c r="AD505" t="str">
        <f>SUBSTITUTE(Master_Reference[[#This Row],[C-Flex 4000K Eco Part Number]],"40-","xx-")</f>
        <v>RP-T8-4FT-1L-8xx-E1-M-G2</v>
      </c>
      <c r="AE505" t="str">
        <f>SUBSTITUTE(Master_Reference[[#This Row],[C-Flex 4000K 3W Part Number]],"40-","xx-")</f>
        <v/>
      </c>
      <c r="AF505" s="1" t="str">
        <f>_xlfn.IFNA(VLOOKUP(Master_Reference[[#This Row],[C-Flex 3000K Eco Part Number]],Lutron_CFlex_Lookup[],MATCH("Lutron Kit PN",Lutron_CFlex_Lookup[#Headers],0),FALSE),"")</f>
        <v>ELD4T8-1M30-q</v>
      </c>
      <c r="AG505" s="1" t="str">
        <f>_xlfn.IFNA(VLOOKUP(Master_Reference[[#This Row],[C-Flex 3500K Eco Part Number]],Lutron_CFlex_Lookup[],MATCH("Lutron Kit PN",Lutron_CFlex_Lookup[#Headers],0),FALSE),"")</f>
        <v>ELD4T8-1M35-q</v>
      </c>
      <c r="AH505" s="1" t="str">
        <f>_xlfn.IFNA(VLOOKUP(Master_Reference[[#This Row],[C-Flex 4000K Eco Part Number]],Lutron_CFlex_Lookup[],MATCH("Lutron Kit PN",Lutron_CFlex_Lookup[#Headers],0),FALSE),"")</f>
        <v>ELD4T8-1M40-q</v>
      </c>
      <c r="AI505" s="1" t="str">
        <f>_xlfn.IFNA(VLOOKUP(Master_Reference[[#This Row],[C-Flex 5000K Eco Part Number]],Lutron_CFlex_Lookup[],MATCH("Lutron Kit PN",Lutron_CFlex_Lookup[#Headers],0),FALSE),"")</f>
        <v>ELD4T8-1M50-q</v>
      </c>
      <c r="AJ505" s="1" t="str">
        <f>_xlfn.IFNA(VLOOKUP(Master_Reference[[#This Row],[C-Flex 3000K 3W Part Number]],Lutron_CFlex_Lookup[],MATCH("Lutron Kit PN",Lutron_CFlex_Lookup[#Headers],0),FALSE),"")</f>
        <v/>
      </c>
      <c r="AK505" s="1" t="str">
        <f>_xlfn.IFNA(VLOOKUP(Master_Reference[[#This Row],[C-Flex 3500K 3W Part Number]],Lutron_CFlex_Lookup[],MATCH("Lutron Kit PN",Lutron_CFlex_Lookup[#Headers],0),FALSE),"")</f>
        <v/>
      </c>
      <c r="AL505" s="1" t="str">
        <f>_xlfn.IFNA(VLOOKUP(Master_Reference[[#This Row],[C-Flex 4000K 3W Part Number]],Lutron_CFlex_Lookup[],MATCH("Lutron Kit PN",Lutron_CFlex_Lookup[#Headers],0),FALSE),"")</f>
        <v/>
      </c>
      <c r="AM505" s="1" t="str">
        <f>_xlfn.IFNA(VLOOKUP(Master_Reference[[#This Row],[C-Flex 5000K 3W Part Number]],Lutron_CFlex_Lookup[],MATCH("Lutron Kit PN",Lutron_CFlex_Lookup[#Headers],0),FALSE),"")</f>
        <v/>
      </c>
      <c r="AN505" s="1" t="b">
        <f>NOT(ISNA(VLOOKUP(Master_Reference[[#This Row],[Model Number]],ObsoleteModels[],1,FALSE)))</f>
        <v>1</v>
      </c>
      <c r="AO505" s="1" t="str">
        <f>IF(LEFT(Master_Reference[[#This Row],[Model Number]],1)="U",LEFT(Master_Reference[[#This Row],[Model Number]],4),LEFT(Master_Reference[[#This Row],[Model Number]],3))</f>
        <v>EHD</v>
      </c>
    </row>
    <row r="506" spans="1:41" x14ac:dyDescent="0.25">
      <c r="A506" s="2" t="s">
        <v>787</v>
      </c>
      <c r="B506" s="1" t="b">
        <v>1</v>
      </c>
      <c r="G506" s="1" t="str">
        <f>IF(OR(LEFT(RIGHT(Master_Reference[[#This Row],[Model Number]],3),1)="C",LEFT(RIGHT(Master_Reference[[#This Row],[Model Number]],4),1)="C"),TRUE,"")</f>
        <v/>
      </c>
      <c r="H506" s="1" t="str">
        <f>IF(LEFT(Master_Reference[[#This Row],[Model Number]],1)="U",TRUE,"")</f>
        <v/>
      </c>
      <c r="I506" s="1" t="b">
        <f>IF(Master_Reference[[#This Row],[Lamp Type]]="T4","",IF(Master_Reference[[#This Row],[Case Type]]="M","",TRUE))</f>
        <v>1</v>
      </c>
      <c r="J506" s="1" t="s">
        <v>111</v>
      </c>
      <c r="K506" s="1">
        <v>32</v>
      </c>
      <c r="L506" s="1" t="s">
        <v>118</v>
      </c>
      <c r="M506" s="1">
        <v>2</v>
      </c>
      <c r="N506" s="1" t="s">
        <v>149</v>
      </c>
      <c r="O506" s="1" t="s">
        <v>113</v>
      </c>
      <c r="R506" t="b">
        <f>IF(COUNTBLANK(Master_Reference[[#This Row],[C-Flex 3000K Eco Part Number]:[C-Flex 4000K Eco Part Number]])=3,FALSE,TRUE)</f>
        <v>1</v>
      </c>
      <c r="S506" t="b">
        <f>IF(COUNTBLANK(Master_Reference[[#This Row],[C-Flex 3000K 3W Part Number]:[C-Flex 4000K 3W Part Number]])=3,FALSE,TRUE)</f>
        <v>0</v>
      </c>
      <c r="T506" t="b">
        <f>IF(COUNTBLANK(Master_Reference[[#This Row],[Lutron 3000K Eco Part Number]:[Lutron 4000K Eco Part Number]])=3,FALSE,TRUE)</f>
        <v>1</v>
      </c>
      <c r="U506" t="b">
        <f>IF(COUNTBLANK(Master_Reference[[#This Row],[Lutron 3000K 3W Part Number]:[Lutron 4000K 3W Part Number]])=3,FALSE,TRUE)</f>
        <v>0</v>
      </c>
      <c r="V506" s="12" t="s">
        <v>316</v>
      </c>
      <c r="W506" s="12" t="s">
        <v>317</v>
      </c>
      <c r="X506" s="12" t="s">
        <v>318</v>
      </c>
      <c r="Y506" t="s">
        <v>1745</v>
      </c>
      <c r="Z506" s="12"/>
      <c r="AA506" s="12"/>
      <c r="AB506" s="12"/>
      <c r="AC506" t="s">
        <v>2125</v>
      </c>
      <c r="AD506" t="str">
        <f>SUBSTITUTE(Master_Reference[[#This Row],[C-Flex 4000K Eco Part Number]],"40-","xx-")</f>
        <v>RP-T8-4FT-2L-8xx-E1-M-G2</v>
      </c>
      <c r="AE506" t="str">
        <f>SUBSTITUTE(Master_Reference[[#This Row],[C-Flex 4000K 3W Part Number]],"40-","xx-")</f>
        <v/>
      </c>
      <c r="AF506" s="1" t="str">
        <f>_xlfn.IFNA(VLOOKUP(Master_Reference[[#This Row],[C-Flex 3000K Eco Part Number]],Lutron_CFlex_Lookup[],MATCH("Lutron Kit PN",Lutron_CFlex_Lookup[#Headers],0),FALSE),"")</f>
        <v>ELD4T8-2M30-q</v>
      </c>
      <c r="AG506" s="1" t="str">
        <f>_xlfn.IFNA(VLOOKUP(Master_Reference[[#This Row],[C-Flex 3500K Eco Part Number]],Lutron_CFlex_Lookup[],MATCH("Lutron Kit PN",Lutron_CFlex_Lookup[#Headers],0),FALSE),"")</f>
        <v>ELD4T8-2M35-q</v>
      </c>
      <c r="AH506" s="1" t="str">
        <f>_xlfn.IFNA(VLOOKUP(Master_Reference[[#This Row],[C-Flex 4000K Eco Part Number]],Lutron_CFlex_Lookup[],MATCH("Lutron Kit PN",Lutron_CFlex_Lookup[#Headers],0),FALSE),"")</f>
        <v>ELD4T8-2M40-q</v>
      </c>
      <c r="AI506" s="1" t="str">
        <f>_xlfn.IFNA(VLOOKUP(Master_Reference[[#This Row],[C-Flex 5000K Eco Part Number]],Lutron_CFlex_Lookup[],MATCH("Lutron Kit PN",Lutron_CFlex_Lookup[#Headers],0),FALSE),"")</f>
        <v>ELD4T8-2M50-q</v>
      </c>
      <c r="AJ506" s="1" t="str">
        <f>_xlfn.IFNA(VLOOKUP(Master_Reference[[#This Row],[C-Flex 3000K 3W Part Number]],Lutron_CFlex_Lookup[],MATCH("Lutron Kit PN",Lutron_CFlex_Lookup[#Headers],0),FALSE),"")</f>
        <v/>
      </c>
      <c r="AK506" s="1" t="str">
        <f>_xlfn.IFNA(VLOOKUP(Master_Reference[[#This Row],[C-Flex 3500K 3W Part Number]],Lutron_CFlex_Lookup[],MATCH("Lutron Kit PN",Lutron_CFlex_Lookup[#Headers],0),FALSE),"")</f>
        <v/>
      </c>
      <c r="AL506" s="1" t="str">
        <f>_xlfn.IFNA(VLOOKUP(Master_Reference[[#This Row],[C-Flex 4000K 3W Part Number]],Lutron_CFlex_Lookup[],MATCH("Lutron Kit PN",Lutron_CFlex_Lookup[#Headers],0),FALSE),"")</f>
        <v/>
      </c>
      <c r="AM506" s="1" t="str">
        <f>_xlfn.IFNA(VLOOKUP(Master_Reference[[#This Row],[C-Flex 5000K 3W Part Number]],Lutron_CFlex_Lookup[],MATCH("Lutron Kit PN",Lutron_CFlex_Lookup[#Headers],0),FALSE),"")</f>
        <v/>
      </c>
      <c r="AN506" s="1" t="b">
        <f>NOT(ISNA(VLOOKUP(Master_Reference[[#This Row],[Model Number]],ObsoleteModels[],1,FALSE)))</f>
        <v>1</v>
      </c>
      <c r="AO506" s="1" t="str">
        <f>IF(LEFT(Master_Reference[[#This Row],[Model Number]],1)="U",LEFT(Master_Reference[[#This Row],[Model Number]],4),LEFT(Master_Reference[[#This Row],[Model Number]],3))</f>
        <v>EHD</v>
      </c>
    </row>
    <row r="507" spans="1:41" x14ac:dyDescent="0.25">
      <c r="A507" s="2" t="s">
        <v>788</v>
      </c>
      <c r="B507" s="1" t="b">
        <v>1</v>
      </c>
      <c r="G507" s="1" t="str">
        <f>IF(OR(LEFT(RIGHT(Master_Reference[[#This Row],[Model Number]],3),1)="C",LEFT(RIGHT(Master_Reference[[#This Row],[Model Number]],4),1)="C"),TRUE,"")</f>
        <v/>
      </c>
      <c r="H507" s="1" t="str">
        <f>IF(LEFT(Master_Reference[[#This Row],[Model Number]],1)="U",TRUE,"")</f>
        <v/>
      </c>
      <c r="I507" s="1" t="b">
        <f>IF(Master_Reference[[#This Row],[Lamp Type]]="T4","",IF(Master_Reference[[#This Row],[Case Type]]="M","",TRUE))</f>
        <v>1</v>
      </c>
      <c r="J507" s="1" t="s">
        <v>111</v>
      </c>
      <c r="K507" s="1">
        <v>32</v>
      </c>
      <c r="L507" s="1" t="s">
        <v>118</v>
      </c>
      <c r="M507" s="1">
        <v>2</v>
      </c>
      <c r="N507" s="1" t="s">
        <v>149</v>
      </c>
      <c r="O507" s="1" t="s">
        <v>113</v>
      </c>
      <c r="R507" t="b">
        <f>IF(COUNTBLANK(Master_Reference[[#This Row],[C-Flex 3000K Eco Part Number]:[C-Flex 4000K Eco Part Number]])=3,FALSE,TRUE)</f>
        <v>1</v>
      </c>
      <c r="S507" t="b">
        <f>IF(COUNTBLANK(Master_Reference[[#This Row],[C-Flex 3000K 3W Part Number]:[C-Flex 4000K 3W Part Number]])=3,FALSE,TRUE)</f>
        <v>0</v>
      </c>
      <c r="T507" t="b">
        <f>IF(COUNTBLANK(Master_Reference[[#This Row],[Lutron 3000K Eco Part Number]:[Lutron 4000K Eco Part Number]])=3,FALSE,TRUE)</f>
        <v>1</v>
      </c>
      <c r="U507" t="b">
        <f>IF(COUNTBLANK(Master_Reference[[#This Row],[Lutron 3000K 3W Part Number]:[Lutron 4000K 3W Part Number]])=3,FALSE,TRUE)</f>
        <v>0</v>
      </c>
      <c r="V507" s="12" t="s">
        <v>316</v>
      </c>
      <c r="W507" s="12" t="s">
        <v>317</v>
      </c>
      <c r="X507" s="12" t="s">
        <v>318</v>
      </c>
      <c r="Y507" t="s">
        <v>1745</v>
      </c>
      <c r="Z507" s="12"/>
      <c r="AA507" s="12"/>
      <c r="AB507" s="12"/>
      <c r="AC507" t="s">
        <v>2125</v>
      </c>
      <c r="AD507" t="str">
        <f>SUBSTITUTE(Master_Reference[[#This Row],[C-Flex 4000K Eco Part Number]],"40-","xx-")</f>
        <v>RP-T8-4FT-2L-8xx-E1-M-G2</v>
      </c>
      <c r="AE507" t="str">
        <f>SUBSTITUTE(Master_Reference[[#This Row],[C-Flex 4000K 3W Part Number]],"40-","xx-")</f>
        <v/>
      </c>
      <c r="AF507" s="1" t="str">
        <f>_xlfn.IFNA(VLOOKUP(Master_Reference[[#This Row],[C-Flex 3000K Eco Part Number]],Lutron_CFlex_Lookup[],MATCH("Lutron Kit PN",Lutron_CFlex_Lookup[#Headers],0),FALSE),"")</f>
        <v>ELD4T8-2M30-q</v>
      </c>
      <c r="AG507" s="1" t="str">
        <f>_xlfn.IFNA(VLOOKUP(Master_Reference[[#This Row],[C-Flex 3500K Eco Part Number]],Lutron_CFlex_Lookup[],MATCH("Lutron Kit PN",Lutron_CFlex_Lookup[#Headers],0),FALSE),"")</f>
        <v>ELD4T8-2M35-q</v>
      </c>
      <c r="AH507" s="1" t="str">
        <f>_xlfn.IFNA(VLOOKUP(Master_Reference[[#This Row],[C-Flex 4000K Eco Part Number]],Lutron_CFlex_Lookup[],MATCH("Lutron Kit PN",Lutron_CFlex_Lookup[#Headers],0),FALSE),"")</f>
        <v>ELD4T8-2M40-q</v>
      </c>
      <c r="AI507" s="1" t="str">
        <f>_xlfn.IFNA(VLOOKUP(Master_Reference[[#This Row],[C-Flex 5000K Eco Part Number]],Lutron_CFlex_Lookup[],MATCH("Lutron Kit PN",Lutron_CFlex_Lookup[#Headers],0),FALSE),"")</f>
        <v>ELD4T8-2M50-q</v>
      </c>
      <c r="AJ507" s="1" t="str">
        <f>_xlfn.IFNA(VLOOKUP(Master_Reference[[#This Row],[C-Flex 3000K 3W Part Number]],Lutron_CFlex_Lookup[],MATCH("Lutron Kit PN",Lutron_CFlex_Lookup[#Headers],0),FALSE),"")</f>
        <v/>
      </c>
      <c r="AK507" s="1" t="str">
        <f>_xlfn.IFNA(VLOOKUP(Master_Reference[[#This Row],[C-Flex 3500K 3W Part Number]],Lutron_CFlex_Lookup[],MATCH("Lutron Kit PN",Lutron_CFlex_Lookup[#Headers],0),FALSE),"")</f>
        <v/>
      </c>
      <c r="AL507" s="1" t="str">
        <f>_xlfn.IFNA(VLOOKUP(Master_Reference[[#This Row],[C-Flex 4000K 3W Part Number]],Lutron_CFlex_Lookup[],MATCH("Lutron Kit PN",Lutron_CFlex_Lookup[#Headers],0),FALSE),"")</f>
        <v/>
      </c>
      <c r="AM507" s="1" t="str">
        <f>_xlfn.IFNA(VLOOKUP(Master_Reference[[#This Row],[C-Flex 5000K 3W Part Number]],Lutron_CFlex_Lookup[],MATCH("Lutron Kit PN",Lutron_CFlex_Lookup[#Headers],0),FALSE),"")</f>
        <v/>
      </c>
      <c r="AN507" s="1" t="b">
        <f>NOT(ISNA(VLOOKUP(Master_Reference[[#This Row],[Model Number]],ObsoleteModels[],1,FALSE)))</f>
        <v>1</v>
      </c>
      <c r="AO507" s="1" t="str">
        <f>IF(LEFT(Master_Reference[[#This Row],[Model Number]],1)="U",LEFT(Master_Reference[[#This Row],[Model Number]],4),LEFT(Master_Reference[[#This Row],[Model Number]],3))</f>
        <v>EHD</v>
      </c>
    </row>
    <row r="508" spans="1:41" x14ac:dyDescent="0.25">
      <c r="A508" s="2" t="s">
        <v>789</v>
      </c>
      <c r="B508" s="1" t="b">
        <v>1</v>
      </c>
      <c r="G508" s="1" t="b">
        <v>1</v>
      </c>
      <c r="H508" s="1" t="str">
        <f>IF(LEFT(Master_Reference[[#This Row],[Model Number]],1)="U",TRUE,"")</f>
        <v/>
      </c>
      <c r="I508" s="1" t="b">
        <f>IF(Master_Reference[[#This Row],[Lamp Type]]="T4","",IF(Master_Reference[[#This Row],[Case Type]]="M","",TRUE))</f>
        <v>1</v>
      </c>
      <c r="J508" s="1" t="s">
        <v>111</v>
      </c>
      <c r="K508" s="1">
        <v>32</v>
      </c>
      <c r="L508" s="1" t="s">
        <v>118</v>
      </c>
      <c r="M508" s="1">
        <v>2</v>
      </c>
      <c r="N508" s="1" t="s">
        <v>149</v>
      </c>
      <c r="O508" s="1" t="s">
        <v>113</v>
      </c>
      <c r="R508" t="b">
        <f>IF(COUNTBLANK(Master_Reference[[#This Row],[C-Flex 3000K Eco Part Number]:[C-Flex 4000K Eco Part Number]])=3,FALSE,TRUE)</f>
        <v>1</v>
      </c>
      <c r="S508" t="b">
        <f>IF(COUNTBLANK(Master_Reference[[#This Row],[C-Flex 3000K 3W Part Number]:[C-Flex 4000K 3W Part Number]])=3,FALSE,TRUE)</f>
        <v>0</v>
      </c>
      <c r="T508" t="b">
        <f>IF(COUNTBLANK(Master_Reference[[#This Row],[Lutron 3000K Eco Part Number]:[Lutron 4000K Eco Part Number]])=3,FALSE,TRUE)</f>
        <v>1</v>
      </c>
      <c r="U508" t="b">
        <f>IF(COUNTBLANK(Master_Reference[[#This Row],[Lutron 3000K 3W Part Number]:[Lutron 4000K 3W Part Number]])=3,FALSE,TRUE)</f>
        <v>0</v>
      </c>
      <c r="V508" s="12" t="s">
        <v>316</v>
      </c>
      <c r="W508" s="12" t="s">
        <v>317</v>
      </c>
      <c r="X508" s="12" t="s">
        <v>318</v>
      </c>
      <c r="Y508" t="s">
        <v>1745</v>
      </c>
      <c r="Z508" s="12"/>
      <c r="AA508" s="12"/>
      <c r="AB508" s="12"/>
      <c r="AC508" t="s">
        <v>2125</v>
      </c>
      <c r="AD508" t="str">
        <f>SUBSTITUTE(Master_Reference[[#This Row],[C-Flex 4000K Eco Part Number]],"40-","xx-")</f>
        <v>RP-T8-4FT-2L-8xx-E1-M-G2</v>
      </c>
      <c r="AE508" t="str">
        <f>SUBSTITUTE(Master_Reference[[#This Row],[C-Flex 4000K 3W Part Number]],"40-","xx-")</f>
        <v/>
      </c>
      <c r="AF508" s="1" t="str">
        <f>_xlfn.IFNA(VLOOKUP(Master_Reference[[#This Row],[C-Flex 3000K Eco Part Number]],Lutron_CFlex_Lookup[],MATCH("Lutron Kit PN",Lutron_CFlex_Lookup[#Headers],0),FALSE),"")</f>
        <v>ELD4T8-2M30-q</v>
      </c>
      <c r="AG508" s="1" t="str">
        <f>_xlfn.IFNA(VLOOKUP(Master_Reference[[#This Row],[C-Flex 3500K Eco Part Number]],Lutron_CFlex_Lookup[],MATCH("Lutron Kit PN",Lutron_CFlex_Lookup[#Headers],0),FALSE),"")</f>
        <v>ELD4T8-2M35-q</v>
      </c>
      <c r="AH508" s="1" t="str">
        <f>_xlfn.IFNA(VLOOKUP(Master_Reference[[#This Row],[C-Flex 4000K Eco Part Number]],Lutron_CFlex_Lookup[],MATCH("Lutron Kit PN",Lutron_CFlex_Lookup[#Headers],0),FALSE),"")</f>
        <v>ELD4T8-2M40-q</v>
      </c>
      <c r="AI508" s="1" t="str">
        <f>_xlfn.IFNA(VLOOKUP(Master_Reference[[#This Row],[C-Flex 5000K Eco Part Number]],Lutron_CFlex_Lookup[],MATCH("Lutron Kit PN",Lutron_CFlex_Lookup[#Headers],0),FALSE),"")</f>
        <v>ELD4T8-2M50-q</v>
      </c>
      <c r="AJ508" s="1" t="str">
        <f>_xlfn.IFNA(VLOOKUP(Master_Reference[[#This Row],[C-Flex 3000K 3W Part Number]],Lutron_CFlex_Lookup[],MATCH("Lutron Kit PN",Lutron_CFlex_Lookup[#Headers],0),FALSE),"")</f>
        <v/>
      </c>
      <c r="AK508" s="1" t="str">
        <f>_xlfn.IFNA(VLOOKUP(Master_Reference[[#This Row],[C-Flex 3500K 3W Part Number]],Lutron_CFlex_Lookup[],MATCH("Lutron Kit PN",Lutron_CFlex_Lookup[#Headers],0),FALSE),"")</f>
        <v/>
      </c>
      <c r="AL508" s="1" t="str">
        <f>_xlfn.IFNA(VLOOKUP(Master_Reference[[#This Row],[C-Flex 4000K 3W Part Number]],Lutron_CFlex_Lookup[],MATCH("Lutron Kit PN",Lutron_CFlex_Lookup[#Headers],0),FALSE),"")</f>
        <v/>
      </c>
      <c r="AM508" s="1" t="str">
        <f>_xlfn.IFNA(VLOOKUP(Master_Reference[[#This Row],[C-Flex 5000K 3W Part Number]],Lutron_CFlex_Lookup[],MATCH("Lutron Kit PN",Lutron_CFlex_Lookup[#Headers],0),FALSE),"")</f>
        <v/>
      </c>
      <c r="AN508" s="1" t="b">
        <f>NOT(ISNA(VLOOKUP(Master_Reference[[#This Row],[Model Number]],ObsoleteModels[],1,FALSE)))</f>
        <v>1</v>
      </c>
      <c r="AO508" s="1" t="str">
        <f>IF(LEFT(Master_Reference[[#This Row],[Model Number]],1)="U",LEFT(Master_Reference[[#This Row],[Model Number]],4),LEFT(Master_Reference[[#This Row],[Model Number]],3))</f>
        <v>EHD</v>
      </c>
    </row>
    <row r="509" spans="1:41" x14ac:dyDescent="0.25">
      <c r="A509" s="2" t="s">
        <v>790</v>
      </c>
      <c r="B509" s="1" t="b">
        <v>1</v>
      </c>
      <c r="G509" s="1" t="b">
        <v>1</v>
      </c>
      <c r="H509" s="1" t="str">
        <f>IF(LEFT(Master_Reference[[#This Row],[Model Number]],1)="U",TRUE,"")</f>
        <v/>
      </c>
      <c r="I509" s="1" t="b">
        <f>IF(Master_Reference[[#This Row],[Lamp Type]]="T4","",IF(Master_Reference[[#This Row],[Case Type]]="M","",TRUE))</f>
        <v>1</v>
      </c>
      <c r="J509" s="1" t="s">
        <v>111</v>
      </c>
      <c r="K509" s="1">
        <v>32</v>
      </c>
      <c r="L509" s="1" t="s">
        <v>118</v>
      </c>
      <c r="M509" s="1">
        <v>2</v>
      </c>
      <c r="N509" s="1" t="s">
        <v>149</v>
      </c>
      <c r="O509" s="1" t="s">
        <v>113</v>
      </c>
      <c r="R509" t="b">
        <f>IF(COUNTBLANK(Master_Reference[[#This Row],[C-Flex 3000K Eco Part Number]:[C-Flex 4000K Eco Part Number]])=3,FALSE,TRUE)</f>
        <v>1</v>
      </c>
      <c r="S509" t="b">
        <f>IF(COUNTBLANK(Master_Reference[[#This Row],[C-Flex 3000K 3W Part Number]:[C-Flex 4000K 3W Part Number]])=3,FALSE,TRUE)</f>
        <v>0</v>
      </c>
      <c r="T509" t="b">
        <f>IF(COUNTBLANK(Master_Reference[[#This Row],[Lutron 3000K Eco Part Number]:[Lutron 4000K Eco Part Number]])=3,FALSE,TRUE)</f>
        <v>1</v>
      </c>
      <c r="U509" t="b">
        <f>IF(COUNTBLANK(Master_Reference[[#This Row],[Lutron 3000K 3W Part Number]:[Lutron 4000K 3W Part Number]])=3,FALSE,TRUE)</f>
        <v>0</v>
      </c>
      <c r="V509" s="12" t="s">
        <v>316</v>
      </c>
      <c r="W509" s="12" t="s">
        <v>317</v>
      </c>
      <c r="X509" s="12" t="s">
        <v>318</v>
      </c>
      <c r="Y509" t="s">
        <v>1745</v>
      </c>
      <c r="Z509" s="12"/>
      <c r="AA509" s="12"/>
      <c r="AB509" s="12"/>
      <c r="AC509" t="s">
        <v>2125</v>
      </c>
      <c r="AD509" t="str">
        <f>SUBSTITUTE(Master_Reference[[#This Row],[C-Flex 4000K Eco Part Number]],"40-","xx-")</f>
        <v>RP-T8-4FT-2L-8xx-E1-M-G2</v>
      </c>
      <c r="AE509" t="str">
        <f>SUBSTITUTE(Master_Reference[[#This Row],[C-Flex 4000K 3W Part Number]],"40-","xx-")</f>
        <v/>
      </c>
      <c r="AF509" s="1" t="str">
        <f>_xlfn.IFNA(VLOOKUP(Master_Reference[[#This Row],[C-Flex 3000K Eco Part Number]],Lutron_CFlex_Lookup[],MATCH("Lutron Kit PN",Lutron_CFlex_Lookup[#Headers],0),FALSE),"")</f>
        <v>ELD4T8-2M30-q</v>
      </c>
      <c r="AG509" s="1" t="str">
        <f>_xlfn.IFNA(VLOOKUP(Master_Reference[[#This Row],[C-Flex 3500K Eco Part Number]],Lutron_CFlex_Lookup[],MATCH("Lutron Kit PN",Lutron_CFlex_Lookup[#Headers],0),FALSE),"")</f>
        <v>ELD4T8-2M35-q</v>
      </c>
      <c r="AH509" s="1" t="str">
        <f>_xlfn.IFNA(VLOOKUP(Master_Reference[[#This Row],[C-Flex 4000K Eco Part Number]],Lutron_CFlex_Lookup[],MATCH("Lutron Kit PN",Lutron_CFlex_Lookup[#Headers],0),FALSE),"")</f>
        <v>ELD4T8-2M40-q</v>
      </c>
      <c r="AI509" s="1" t="str">
        <f>_xlfn.IFNA(VLOOKUP(Master_Reference[[#This Row],[C-Flex 5000K Eco Part Number]],Lutron_CFlex_Lookup[],MATCH("Lutron Kit PN",Lutron_CFlex_Lookup[#Headers],0),FALSE),"")</f>
        <v>ELD4T8-2M50-q</v>
      </c>
      <c r="AJ509" s="1" t="str">
        <f>_xlfn.IFNA(VLOOKUP(Master_Reference[[#This Row],[C-Flex 3000K 3W Part Number]],Lutron_CFlex_Lookup[],MATCH("Lutron Kit PN",Lutron_CFlex_Lookup[#Headers],0),FALSE),"")</f>
        <v/>
      </c>
      <c r="AK509" s="1" t="str">
        <f>_xlfn.IFNA(VLOOKUP(Master_Reference[[#This Row],[C-Flex 3500K 3W Part Number]],Lutron_CFlex_Lookup[],MATCH("Lutron Kit PN",Lutron_CFlex_Lookup[#Headers],0),FALSE),"")</f>
        <v/>
      </c>
      <c r="AL509" s="1" t="str">
        <f>_xlfn.IFNA(VLOOKUP(Master_Reference[[#This Row],[C-Flex 4000K 3W Part Number]],Lutron_CFlex_Lookup[],MATCH("Lutron Kit PN",Lutron_CFlex_Lookup[#Headers],0),FALSE),"")</f>
        <v/>
      </c>
      <c r="AM509" s="1" t="str">
        <f>_xlfn.IFNA(VLOOKUP(Master_Reference[[#This Row],[C-Flex 5000K 3W Part Number]],Lutron_CFlex_Lookup[],MATCH("Lutron Kit PN",Lutron_CFlex_Lookup[#Headers],0),FALSE),"")</f>
        <v/>
      </c>
      <c r="AN509" s="1" t="b">
        <f>NOT(ISNA(VLOOKUP(Master_Reference[[#This Row],[Model Number]],ObsoleteModels[],1,FALSE)))</f>
        <v>1</v>
      </c>
      <c r="AO509" s="1" t="str">
        <f>IF(LEFT(Master_Reference[[#This Row],[Model Number]],1)="U",LEFT(Master_Reference[[#This Row],[Model Number]],4),LEFT(Master_Reference[[#This Row],[Model Number]],3))</f>
        <v>EHD</v>
      </c>
    </row>
    <row r="510" spans="1:41" x14ac:dyDescent="0.25">
      <c r="A510" s="2" t="s">
        <v>791</v>
      </c>
      <c r="B510" s="1" t="b">
        <v>1</v>
      </c>
      <c r="G510" s="1" t="b">
        <f>IF(OR(LEFT(RIGHT(Master_Reference[[#This Row],[Model Number]],3),1)="C",LEFT(RIGHT(Master_Reference[[#This Row],[Model Number]],4),1)="C"),TRUE,"")</f>
        <v>1</v>
      </c>
      <c r="H510" s="1" t="str">
        <f>IF(LEFT(Master_Reference[[#This Row],[Model Number]],1)="U",TRUE,"")</f>
        <v/>
      </c>
      <c r="I510" s="1" t="b">
        <f>IF(Master_Reference[[#This Row],[Lamp Type]]="T4","",IF(Master_Reference[[#This Row],[Case Type]]="M","",TRUE))</f>
        <v>1</v>
      </c>
      <c r="J510" s="1" t="s">
        <v>111</v>
      </c>
      <c r="K510" s="1">
        <v>32</v>
      </c>
      <c r="L510" s="1" t="s">
        <v>118</v>
      </c>
      <c r="M510" s="1">
        <v>2</v>
      </c>
      <c r="N510" s="1" t="s">
        <v>149</v>
      </c>
      <c r="O510" s="1" t="s">
        <v>113</v>
      </c>
      <c r="R510" t="b">
        <f>IF(COUNTBLANK(Master_Reference[[#This Row],[C-Flex 3000K Eco Part Number]:[C-Flex 4000K Eco Part Number]])=3,FALSE,TRUE)</f>
        <v>1</v>
      </c>
      <c r="S510" t="b">
        <f>IF(COUNTBLANK(Master_Reference[[#This Row],[C-Flex 3000K 3W Part Number]:[C-Flex 4000K 3W Part Number]])=3,FALSE,TRUE)</f>
        <v>0</v>
      </c>
      <c r="T510" t="b">
        <f>IF(COUNTBLANK(Master_Reference[[#This Row],[Lutron 3000K Eco Part Number]:[Lutron 4000K Eco Part Number]])=3,FALSE,TRUE)</f>
        <v>1</v>
      </c>
      <c r="U510" t="b">
        <f>IF(COUNTBLANK(Master_Reference[[#This Row],[Lutron 3000K 3W Part Number]:[Lutron 4000K 3W Part Number]])=3,FALSE,TRUE)</f>
        <v>0</v>
      </c>
      <c r="V510" s="12" t="s">
        <v>316</v>
      </c>
      <c r="W510" s="12" t="s">
        <v>317</v>
      </c>
      <c r="X510" s="12" t="s">
        <v>318</v>
      </c>
      <c r="Y510" t="s">
        <v>1745</v>
      </c>
      <c r="Z510" s="12"/>
      <c r="AA510" s="12"/>
      <c r="AB510" s="12"/>
      <c r="AC510" t="s">
        <v>2125</v>
      </c>
      <c r="AD510" t="str">
        <f>SUBSTITUTE(Master_Reference[[#This Row],[C-Flex 4000K Eco Part Number]],"40-","xx-")</f>
        <v>RP-T8-4FT-2L-8xx-E1-M-G2</v>
      </c>
      <c r="AE510" t="str">
        <f>SUBSTITUTE(Master_Reference[[#This Row],[C-Flex 4000K 3W Part Number]],"40-","xx-")</f>
        <v/>
      </c>
      <c r="AF510" s="1" t="str">
        <f>_xlfn.IFNA(VLOOKUP(Master_Reference[[#This Row],[C-Flex 3000K Eco Part Number]],Lutron_CFlex_Lookup[],MATCH("Lutron Kit PN",Lutron_CFlex_Lookup[#Headers],0),FALSE),"")</f>
        <v>ELD4T8-2M30-q</v>
      </c>
      <c r="AG510" s="1" t="str">
        <f>_xlfn.IFNA(VLOOKUP(Master_Reference[[#This Row],[C-Flex 3500K Eco Part Number]],Lutron_CFlex_Lookup[],MATCH("Lutron Kit PN",Lutron_CFlex_Lookup[#Headers],0),FALSE),"")</f>
        <v>ELD4T8-2M35-q</v>
      </c>
      <c r="AH510" s="1" t="str">
        <f>_xlfn.IFNA(VLOOKUP(Master_Reference[[#This Row],[C-Flex 4000K Eco Part Number]],Lutron_CFlex_Lookup[],MATCH("Lutron Kit PN",Lutron_CFlex_Lookup[#Headers],0),FALSE),"")</f>
        <v>ELD4T8-2M40-q</v>
      </c>
      <c r="AI510" s="1" t="str">
        <f>_xlfn.IFNA(VLOOKUP(Master_Reference[[#This Row],[C-Flex 5000K Eco Part Number]],Lutron_CFlex_Lookup[],MATCH("Lutron Kit PN",Lutron_CFlex_Lookup[#Headers],0),FALSE),"")</f>
        <v>ELD4T8-2M50-q</v>
      </c>
      <c r="AJ510" s="1" t="str">
        <f>_xlfn.IFNA(VLOOKUP(Master_Reference[[#This Row],[C-Flex 3000K 3W Part Number]],Lutron_CFlex_Lookup[],MATCH("Lutron Kit PN",Lutron_CFlex_Lookup[#Headers],0),FALSE),"")</f>
        <v/>
      </c>
      <c r="AK510" s="1" t="str">
        <f>_xlfn.IFNA(VLOOKUP(Master_Reference[[#This Row],[C-Flex 3500K 3W Part Number]],Lutron_CFlex_Lookup[],MATCH("Lutron Kit PN",Lutron_CFlex_Lookup[#Headers],0),FALSE),"")</f>
        <v/>
      </c>
      <c r="AL510" s="1" t="str">
        <f>_xlfn.IFNA(VLOOKUP(Master_Reference[[#This Row],[C-Flex 4000K 3W Part Number]],Lutron_CFlex_Lookup[],MATCH("Lutron Kit PN",Lutron_CFlex_Lookup[#Headers],0),FALSE),"")</f>
        <v/>
      </c>
      <c r="AM510" s="1" t="str">
        <f>_xlfn.IFNA(VLOOKUP(Master_Reference[[#This Row],[C-Flex 5000K 3W Part Number]],Lutron_CFlex_Lookup[],MATCH("Lutron Kit PN",Lutron_CFlex_Lookup[#Headers],0),FALSE),"")</f>
        <v/>
      </c>
      <c r="AN510" s="1" t="b">
        <f>NOT(ISNA(VLOOKUP(Master_Reference[[#This Row],[Model Number]],ObsoleteModels[],1,FALSE)))</f>
        <v>1</v>
      </c>
      <c r="AO510" s="1" t="str">
        <f>IF(LEFT(Master_Reference[[#This Row],[Model Number]],1)="U",LEFT(Master_Reference[[#This Row],[Model Number]],4),LEFT(Master_Reference[[#This Row],[Model Number]],3))</f>
        <v>EHD</v>
      </c>
    </row>
    <row r="511" spans="1:41" x14ac:dyDescent="0.25">
      <c r="A511" s="2" t="s">
        <v>792</v>
      </c>
      <c r="B511" s="1" t="b">
        <v>1</v>
      </c>
      <c r="G511" s="1" t="b">
        <f>IF(OR(LEFT(RIGHT(Master_Reference[[#This Row],[Model Number]],3),1)="C",LEFT(RIGHT(Master_Reference[[#This Row],[Model Number]],4),1)="C"),TRUE,"")</f>
        <v>1</v>
      </c>
      <c r="H511" s="1" t="str">
        <f>IF(LEFT(Master_Reference[[#This Row],[Model Number]],1)="U",TRUE,"")</f>
        <v/>
      </c>
      <c r="I511" s="1" t="b">
        <f>IF(Master_Reference[[#This Row],[Lamp Type]]="T4","",IF(Master_Reference[[#This Row],[Case Type]]="M","",TRUE))</f>
        <v>1</v>
      </c>
      <c r="J511" s="1" t="s">
        <v>111</v>
      </c>
      <c r="K511" s="1">
        <v>32</v>
      </c>
      <c r="L511" s="1" t="s">
        <v>118</v>
      </c>
      <c r="M511" s="1">
        <v>2</v>
      </c>
      <c r="N511" s="1" t="s">
        <v>149</v>
      </c>
      <c r="O511" s="1" t="s">
        <v>113</v>
      </c>
      <c r="R511" t="b">
        <f>IF(COUNTBLANK(Master_Reference[[#This Row],[C-Flex 3000K Eco Part Number]:[C-Flex 4000K Eco Part Number]])=3,FALSE,TRUE)</f>
        <v>1</v>
      </c>
      <c r="S511" t="b">
        <f>IF(COUNTBLANK(Master_Reference[[#This Row],[C-Flex 3000K 3W Part Number]:[C-Flex 4000K 3W Part Number]])=3,FALSE,TRUE)</f>
        <v>0</v>
      </c>
      <c r="T511" t="b">
        <f>IF(COUNTBLANK(Master_Reference[[#This Row],[Lutron 3000K Eco Part Number]:[Lutron 4000K Eco Part Number]])=3,FALSE,TRUE)</f>
        <v>1</v>
      </c>
      <c r="U511" t="b">
        <f>IF(COUNTBLANK(Master_Reference[[#This Row],[Lutron 3000K 3W Part Number]:[Lutron 4000K 3W Part Number]])=3,FALSE,TRUE)</f>
        <v>0</v>
      </c>
      <c r="V511" s="12" t="s">
        <v>316</v>
      </c>
      <c r="W511" s="12" t="s">
        <v>317</v>
      </c>
      <c r="X511" s="12" t="s">
        <v>318</v>
      </c>
      <c r="Y511" t="s">
        <v>1745</v>
      </c>
      <c r="Z511" s="12"/>
      <c r="AA511" s="12"/>
      <c r="AB511" s="12"/>
      <c r="AC511" t="s">
        <v>2125</v>
      </c>
      <c r="AD511" t="str">
        <f>SUBSTITUTE(Master_Reference[[#This Row],[C-Flex 4000K Eco Part Number]],"40-","xx-")</f>
        <v>RP-T8-4FT-2L-8xx-E1-M-G2</v>
      </c>
      <c r="AE511" t="str">
        <f>SUBSTITUTE(Master_Reference[[#This Row],[C-Flex 4000K 3W Part Number]],"40-","xx-")</f>
        <v/>
      </c>
      <c r="AF511" s="1" t="str">
        <f>_xlfn.IFNA(VLOOKUP(Master_Reference[[#This Row],[C-Flex 3000K Eco Part Number]],Lutron_CFlex_Lookup[],MATCH("Lutron Kit PN",Lutron_CFlex_Lookup[#Headers],0),FALSE),"")</f>
        <v>ELD4T8-2M30-q</v>
      </c>
      <c r="AG511" s="1" t="str">
        <f>_xlfn.IFNA(VLOOKUP(Master_Reference[[#This Row],[C-Flex 3500K Eco Part Number]],Lutron_CFlex_Lookup[],MATCH("Lutron Kit PN",Lutron_CFlex_Lookup[#Headers],0),FALSE),"")</f>
        <v>ELD4T8-2M35-q</v>
      </c>
      <c r="AH511" s="1" t="str">
        <f>_xlfn.IFNA(VLOOKUP(Master_Reference[[#This Row],[C-Flex 4000K Eco Part Number]],Lutron_CFlex_Lookup[],MATCH("Lutron Kit PN",Lutron_CFlex_Lookup[#Headers],0),FALSE),"")</f>
        <v>ELD4T8-2M40-q</v>
      </c>
      <c r="AI511" s="1" t="str">
        <f>_xlfn.IFNA(VLOOKUP(Master_Reference[[#This Row],[C-Flex 5000K Eco Part Number]],Lutron_CFlex_Lookup[],MATCH("Lutron Kit PN",Lutron_CFlex_Lookup[#Headers],0),FALSE),"")</f>
        <v>ELD4T8-2M50-q</v>
      </c>
      <c r="AJ511" s="1" t="str">
        <f>_xlfn.IFNA(VLOOKUP(Master_Reference[[#This Row],[C-Flex 3000K 3W Part Number]],Lutron_CFlex_Lookup[],MATCH("Lutron Kit PN",Lutron_CFlex_Lookup[#Headers],0),FALSE),"")</f>
        <v/>
      </c>
      <c r="AK511" s="1" t="str">
        <f>_xlfn.IFNA(VLOOKUP(Master_Reference[[#This Row],[C-Flex 3500K 3W Part Number]],Lutron_CFlex_Lookup[],MATCH("Lutron Kit PN",Lutron_CFlex_Lookup[#Headers],0),FALSE),"")</f>
        <v/>
      </c>
      <c r="AL511" s="1" t="str">
        <f>_xlfn.IFNA(VLOOKUP(Master_Reference[[#This Row],[C-Flex 4000K 3W Part Number]],Lutron_CFlex_Lookup[],MATCH("Lutron Kit PN",Lutron_CFlex_Lookup[#Headers],0),FALSE),"")</f>
        <v/>
      </c>
      <c r="AM511" s="1" t="str">
        <f>_xlfn.IFNA(VLOOKUP(Master_Reference[[#This Row],[C-Flex 5000K 3W Part Number]],Lutron_CFlex_Lookup[],MATCH("Lutron Kit PN",Lutron_CFlex_Lookup[#Headers],0),FALSE),"")</f>
        <v/>
      </c>
      <c r="AN511" s="1" t="b">
        <f>NOT(ISNA(VLOOKUP(Master_Reference[[#This Row],[Model Number]],ObsoleteModels[],1,FALSE)))</f>
        <v>1</v>
      </c>
      <c r="AO511" s="1" t="str">
        <f>IF(LEFT(Master_Reference[[#This Row],[Model Number]],1)="U",LEFT(Master_Reference[[#This Row],[Model Number]],4),LEFT(Master_Reference[[#This Row],[Model Number]],3))</f>
        <v>EHD</v>
      </c>
    </row>
    <row r="512" spans="1:41" x14ac:dyDescent="0.25">
      <c r="A512" s="2" t="s">
        <v>793</v>
      </c>
      <c r="B512" s="1" t="b">
        <v>1</v>
      </c>
      <c r="G512" s="1" t="b">
        <f>IF(OR(LEFT(RIGHT(Master_Reference[[#This Row],[Model Number]],3),1)="C",LEFT(RIGHT(Master_Reference[[#This Row],[Model Number]],4),1)="C"),TRUE,"")</f>
        <v>1</v>
      </c>
      <c r="H512" s="1" t="str">
        <f>IF(LEFT(Master_Reference[[#This Row],[Model Number]],1)="U",TRUE,"")</f>
        <v/>
      </c>
      <c r="I512" s="1" t="b">
        <f>IF(Master_Reference[[#This Row],[Lamp Type]]="T4","",IF(Master_Reference[[#This Row],[Case Type]]="M","",TRUE))</f>
        <v>1</v>
      </c>
      <c r="J512" s="1" t="s">
        <v>111</v>
      </c>
      <c r="K512" s="1">
        <v>32</v>
      </c>
      <c r="L512" s="1" t="s">
        <v>118</v>
      </c>
      <c r="M512" s="1">
        <v>2</v>
      </c>
      <c r="N512" s="1" t="s">
        <v>149</v>
      </c>
      <c r="O512" s="1" t="s">
        <v>113</v>
      </c>
      <c r="R512" t="b">
        <f>IF(COUNTBLANK(Master_Reference[[#This Row],[C-Flex 3000K Eco Part Number]:[C-Flex 4000K Eco Part Number]])=3,FALSE,TRUE)</f>
        <v>1</v>
      </c>
      <c r="S512" t="b">
        <f>IF(COUNTBLANK(Master_Reference[[#This Row],[C-Flex 3000K 3W Part Number]:[C-Flex 4000K 3W Part Number]])=3,FALSE,TRUE)</f>
        <v>0</v>
      </c>
      <c r="T512" t="b">
        <f>IF(COUNTBLANK(Master_Reference[[#This Row],[Lutron 3000K Eco Part Number]:[Lutron 4000K Eco Part Number]])=3,FALSE,TRUE)</f>
        <v>1</v>
      </c>
      <c r="U512" t="b">
        <f>IF(COUNTBLANK(Master_Reference[[#This Row],[Lutron 3000K 3W Part Number]:[Lutron 4000K 3W Part Number]])=3,FALSE,TRUE)</f>
        <v>0</v>
      </c>
      <c r="V512" s="12" t="s">
        <v>316</v>
      </c>
      <c r="W512" s="12" t="s">
        <v>317</v>
      </c>
      <c r="X512" s="12" t="s">
        <v>318</v>
      </c>
      <c r="Y512" t="s">
        <v>1745</v>
      </c>
      <c r="Z512" s="12"/>
      <c r="AA512" s="12"/>
      <c r="AB512" s="12"/>
      <c r="AC512" t="s">
        <v>2125</v>
      </c>
      <c r="AD512" t="str">
        <f>SUBSTITUTE(Master_Reference[[#This Row],[C-Flex 4000K Eco Part Number]],"40-","xx-")</f>
        <v>RP-T8-4FT-2L-8xx-E1-M-G2</v>
      </c>
      <c r="AE512" t="str">
        <f>SUBSTITUTE(Master_Reference[[#This Row],[C-Flex 4000K 3W Part Number]],"40-","xx-")</f>
        <v/>
      </c>
      <c r="AF512" s="1" t="str">
        <f>_xlfn.IFNA(VLOOKUP(Master_Reference[[#This Row],[C-Flex 3000K Eco Part Number]],Lutron_CFlex_Lookup[],MATCH("Lutron Kit PN",Lutron_CFlex_Lookup[#Headers],0),FALSE),"")</f>
        <v>ELD4T8-2M30-q</v>
      </c>
      <c r="AG512" s="1" t="str">
        <f>_xlfn.IFNA(VLOOKUP(Master_Reference[[#This Row],[C-Flex 3500K Eco Part Number]],Lutron_CFlex_Lookup[],MATCH("Lutron Kit PN",Lutron_CFlex_Lookup[#Headers],0),FALSE),"")</f>
        <v>ELD4T8-2M35-q</v>
      </c>
      <c r="AH512" s="1" t="str">
        <f>_xlfn.IFNA(VLOOKUP(Master_Reference[[#This Row],[C-Flex 4000K Eco Part Number]],Lutron_CFlex_Lookup[],MATCH("Lutron Kit PN",Lutron_CFlex_Lookup[#Headers],0),FALSE),"")</f>
        <v>ELD4T8-2M40-q</v>
      </c>
      <c r="AI512" s="1" t="str">
        <f>_xlfn.IFNA(VLOOKUP(Master_Reference[[#This Row],[C-Flex 5000K Eco Part Number]],Lutron_CFlex_Lookup[],MATCH("Lutron Kit PN",Lutron_CFlex_Lookup[#Headers],0),FALSE),"")</f>
        <v>ELD4T8-2M50-q</v>
      </c>
      <c r="AJ512" s="1" t="str">
        <f>_xlfn.IFNA(VLOOKUP(Master_Reference[[#This Row],[C-Flex 3000K 3W Part Number]],Lutron_CFlex_Lookup[],MATCH("Lutron Kit PN",Lutron_CFlex_Lookup[#Headers],0),FALSE),"")</f>
        <v/>
      </c>
      <c r="AK512" s="1" t="str">
        <f>_xlfn.IFNA(VLOOKUP(Master_Reference[[#This Row],[C-Flex 3500K 3W Part Number]],Lutron_CFlex_Lookup[],MATCH("Lutron Kit PN",Lutron_CFlex_Lookup[#Headers],0),FALSE),"")</f>
        <v/>
      </c>
      <c r="AL512" s="1" t="str">
        <f>_xlfn.IFNA(VLOOKUP(Master_Reference[[#This Row],[C-Flex 4000K 3W Part Number]],Lutron_CFlex_Lookup[],MATCH("Lutron Kit PN",Lutron_CFlex_Lookup[#Headers],0),FALSE),"")</f>
        <v/>
      </c>
      <c r="AM512" s="1" t="str">
        <f>_xlfn.IFNA(VLOOKUP(Master_Reference[[#This Row],[C-Flex 5000K 3W Part Number]],Lutron_CFlex_Lookup[],MATCH("Lutron Kit PN",Lutron_CFlex_Lookup[#Headers],0),FALSE),"")</f>
        <v/>
      </c>
      <c r="AN512" s="1" t="b">
        <f>NOT(ISNA(VLOOKUP(Master_Reference[[#This Row],[Model Number]],ObsoleteModels[],1,FALSE)))</f>
        <v>1</v>
      </c>
      <c r="AO512" s="1" t="str">
        <f>IF(LEFT(Master_Reference[[#This Row],[Model Number]],1)="U",LEFT(Master_Reference[[#This Row],[Model Number]],4),LEFT(Master_Reference[[#This Row],[Model Number]],3))</f>
        <v>EHD</v>
      </c>
    </row>
    <row r="513" spans="1:41" x14ac:dyDescent="0.25">
      <c r="A513" s="2" t="s">
        <v>794</v>
      </c>
      <c r="B513" s="1" t="b">
        <v>1</v>
      </c>
      <c r="G513" s="1" t="b">
        <f>IF(OR(LEFT(RIGHT(Master_Reference[[#This Row],[Model Number]],3),1)="C",LEFT(RIGHT(Master_Reference[[#This Row],[Model Number]],4),1)="C"),TRUE,"")</f>
        <v>1</v>
      </c>
      <c r="H513" s="1" t="str">
        <f>IF(LEFT(Master_Reference[[#This Row],[Model Number]],1)="U",TRUE,"")</f>
        <v/>
      </c>
      <c r="I513" s="1" t="b">
        <f>IF(Master_Reference[[#This Row],[Lamp Type]]="T4","",IF(Master_Reference[[#This Row],[Case Type]]="M","",TRUE))</f>
        <v>1</v>
      </c>
      <c r="J513" s="1" t="s">
        <v>111</v>
      </c>
      <c r="K513" s="1">
        <v>32</v>
      </c>
      <c r="L513" s="1" t="s">
        <v>118</v>
      </c>
      <c r="M513" s="1">
        <v>2</v>
      </c>
      <c r="N513" s="1" t="s">
        <v>149</v>
      </c>
      <c r="O513" s="1" t="s">
        <v>113</v>
      </c>
      <c r="R513" t="b">
        <f>IF(COUNTBLANK(Master_Reference[[#This Row],[C-Flex 3000K Eco Part Number]:[C-Flex 4000K Eco Part Number]])=3,FALSE,TRUE)</f>
        <v>1</v>
      </c>
      <c r="S513" t="b">
        <f>IF(COUNTBLANK(Master_Reference[[#This Row],[C-Flex 3000K 3W Part Number]:[C-Flex 4000K 3W Part Number]])=3,FALSE,TRUE)</f>
        <v>0</v>
      </c>
      <c r="T513" t="b">
        <f>IF(COUNTBLANK(Master_Reference[[#This Row],[Lutron 3000K Eco Part Number]:[Lutron 4000K Eco Part Number]])=3,FALSE,TRUE)</f>
        <v>1</v>
      </c>
      <c r="U513" t="b">
        <f>IF(COUNTBLANK(Master_Reference[[#This Row],[Lutron 3000K 3W Part Number]:[Lutron 4000K 3W Part Number]])=3,FALSE,TRUE)</f>
        <v>0</v>
      </c>
      <c r="V513" s="12" t="s">
        <v>316</v>
      </c>
      <c r="W513" s="12" t="s">
        <v>317</v>
      </c>
      <c r="X513" s="12" t="s">
        <v>318</v>
      </c>
      <c r="Y513" t="s">
        <v>1745</v>
      </c>
      <c r="Z513" s="12"/>
      <c r="AA513" s="12"/>
      <c r="AB513" s="12"/>
      <c r="AC513" t="s">
        <v>2125</v>
      </c>
      <c r="AD513" t="str">
        <f>SUBSTITUTE(Master_Reference[[#This Row],[C-Flex 4000K Eco Part Number]],"40-","xx-")</f>
        <v>RP-T8-4FT-2L-8xx-E1-M-G2</v>
      </c>
      <c r="AE513" t="str">
        <f>SUBSTITUTE(Master_Reference[[#This Row],[C-Flex 4000K 3W Part Number]],"40-","xx-")</f>
        <v/>
      </c>
      <c r="AF513" s="1" t="str">
        <f>_xlfn.IFNA(VLOOKUP(Master_Reference[[#This Row],[C-Flex 3000K Eco Part Number]],Lutron_CFlex_Lookup[],MATCH("Lutron Kit PN",Lutron_CFlex_Lookup[#Headers],0),FALSE),"")</f>
        <v>ELD4T8-2M30-q</v>
      </c>
      <c r="AG513" s="1" t="str">
        <f>_xlfn.IFNA(VLOOKUP(Master_Reference[[#This Row],[C-Flex 3500K Eco Part Number]],Lutron_CFlex_Lookup[],MATCH("Lutron Kit PN",Lutron_CFlex_Lookup[#Headers],0),FALSE),"")</f>
        <v>ELD4T8-2M35-q</v>
      </c>
      <c r="AH513" s="1" t="str">
        <f>_xlfn.IFNA(VLOOKUP(Master_Reference[[#This Row],[C-Flex 4000K Eco Part Number]],Lutron_CFlex_Lookup[],MATCH("Lutron Kit PN",Lutron_CFlex_Lookup[#Headers],0),FALSE),"")</f>
        <v>ELD4T8-2M40-q</v>
      </c>
      <c r="AI513" s="1" t="str">
        <f>_xlfn.IFNA(VLOOKUP(Master_Reference[[#This Row],[C-Flex 5000K Eco Part Number]],Lutron_CFlex_Lookup[],MATCH("Lutron Kit PN",Lutron_CFlex_Lookup[#Headers],0),FALSE),"")</f>
        <v>ELD4T8-2M50-q</v>
      </c>
      <c r="AJ513" s="1" t="str">
        <f>_xlfn.IFNA(VLOOKUP(Master_Reference[[#This Row],[C-Flex 3000K 3W Part Number]],Lutron_CFlex_Lookup[],MATCH("Lutron Kit PN",Lutron_CFlex_Lookup[#Headers],0),FALSE),"")</f>
        <v/>
      </c>
      <c r="AK513" s="1" t="str">
        <f>_xlfn.IFNA(VLOOKUP(Master_Reference[[#This Row],[C-Flex 3500K 3W Part Number]],Lutron_CFlex_Lookup[],MATCH("Lutron Kit PN",Lutron_CFlex_Lookup[#Headers],0),FALSE),"")</f>
        <v/>
      </c>
      <c r="AL513" s="1" t="str">
        <f>_xlfn.IFNA(VLOOKUP(Master_Reference[[#This Row],[C-Flex 4000K 3W Part Number]],Lutron_CFlex_Lookup[],MATCH("Lutron Kit PN",Lutron_CFlex_Lookup[#Headers],0),FALSE),"")</f>
        <v/>
      </c>
      <c r="AM513" s="1" t="str">
        <f>_xlfn.IFNA(VLOOKUP(Master_Reference[[#This Row],[C-Flex 5000K 3W Part Number]],Lutron_CFlex_Lookup[],MATCH("Lutron Kit PN",Lutron_CFlex_Lookup[#Headers],0),FALSE),"")</f>
        <v/>
      </c>
      <c r="AN513" s="1" t="b">
        <f>NOT(ISNA(VLOOKUP(Master_Reference[[#This Row],[Model Number]],ObsoleteModels[],1,FALSE)))</f>
        <v>1</v>
      </c>
      <c r="AO513" s="1" t="str">
        <f>IF(LEFT(Master_Reference[[#This Row],[Model Number]],1)="U",LEFT(Master_Reference[[#This Row],[Model Number]],4),LEFT(Master_Reference[[#This Row],[Model Number]],3))</f>
        <v>EHD</v>
      </c>
    </row>
    <row r="514" spans="1:41" x14ac:dyDescent="0.25">
      <c r="A514" s="2" t="s">
        <v>795</v>
      </c>
      <c r="B514" s="1" t="b">
        <v>1</v>
      </c>
      <c r="G514" s="1" t="b">
        <f>IF(OR(LEFT(RIGHT(Master_Reference[[#This Row],[Model Number]],3),1)="C",LEFT(RIGHT(Master_Reference[[#This Row],[Model Number]],4),1)="C"),TRUE,"")</f>
        <v>1</v>
      </c>
      <c r="H514" s="1" t="str">
        <f>IF(LEFT(Master_Reference[[#This Row],[Model Number]],1)="U",TRUE,"")</f>
        <v/>
      </c>
      <c r="I514" s="1" t="b">
        <f>IF(Master_Reference[[#This Row],[Lamp Type]]="T4","",IF(Master_Reference[[#This Row],[Case Type]]="M","",TRUE))</f>
        <v>1</v>
      </c>
      <c r="J514" s="1" t="s">
        <v>111</v>
      </c>
      <c r="K514" s="1">
        <v>32</v>
      </c>
      <c r="L514" s="1" t="s">
        <v>118</v>
      </c>
      <c r="M514" s="1">
        <v>2</v>
      </c>
      <c r="N514" s="1" t="s">
        <v>149</v>
      </c>
      <c r="O514" s="1" t="s">
        <v>113</v>
      </c>
      <c r="R514" t="b">
        <f>IF(COUNTBLANK(Master_Reference[[#This Row],[C-Flex 3000K Eco Part Number]:[C-Flex 4000K Eco Part Number]])=3,FALSE,TRUE)</f>
        <v>1</v>
      </c>
      <c r="S514" t="b">
        <f>IF(COUNTBLANK(Master_Reference[[#This Row],[C-Flex 3000K 3W Part Number]:[C-Flex 4000K 3W Part Number]])=3,FALSE,TRUE)</f>
        <v>0</v>
      </c>
      <c r="T514" t="b">
        <f>IF(COUNTBLANK(Master_Reference[[#This Row],[Lutron 3000K Eco Part Number]:[Lutron 4000K Eco Part Number]])=3,FALSE,TRUE)</f>
        <v>1</v>
      </c>
      <c r="U514" t="b">
        <f>IF(COUNTBLANK(Master_Reference[[#This Row],[Lutron 3000K 3W Part Number]:[Lutron 4000K 3W Part Number]])=3,FALSE,TRUE)</f>
        <v>0</v>
      </c>
      <c r="V514" s="12" t="s">
        <v>316</v>
      </c>
      <c r="W514" s="12" t="s">
        <v>317</v>
      </c>
      <c r="X514" s="12" t="s">
        <v>318</v>
      </c>
      <c r="Y514" t="s">
        <v>1745</v>
      </c>
      <c r="Z514" s="12"/>
      <c r="AA514" s="12"/>
      <c r="AB514" s="12"/>
      <c r="AC514" t="s">
        <v>2125</v>
      </c>
      <c r="AD514" t="str">
        <f>SUBSTITUTE(Master_Reference[[#This Row],[C-Flex 4000K Eco Part Number]],"40-","xx-")</f>
        <v>RP-T8-4FT-2L-8xx-E1-M-G2</v>
      </c>
      <c r="AE514" t="str">
        <f>SUBSTITUTE(Master_Reference[[#This Row],[C-Flex 4000K 3W Part Number]],"40-","xx-")</f>
        <v/>
      </c>
      <c r="AF514" s="1" t="str">
        <f>_xlfn.IFNA(VLOOKUP(Master_Reference[[#This Row],[C-Flex 3000K Eco Part Number]],Lutron_CFlex_Lookup[],MATCH("Lutron Kit PN",Lutron_CFlex_Lookup[#Headers],0),FALSE),"")</f>
        <v>ELD4T8-2M30-q</v>
      </c>
      <c r="AG514" s="1" t="str">
        <f>_xlfn.IFNA(VLOOKUP(Master_Reference[[#This Row],[C-Flex 3500K Eco Part Number]],Lutron_CFlex_Lookup[],MATCH("Lutron Kit PN",Lutron_CFlex_Lookup[#Headers],0),FALSE),"")</f>
        <v>ELD4T8-2M35-q</v>
      </c>
      <c r="AH514" s="1" t="str">
        <f>_xlfn.IFNA(VLOOKUP(Master_Reference[[#This Row],[C-Flex 4000K Eco Part Number]],Lutron_CFlex_Lookup[],MATCH("Lutron Kit PN",Lutron_CFlex_Lookup[#Headers],0),FALSE),"")</f>
        <v>ELD4T8-2M40-q</v>
      </c>
      <c r="AI514" s="1" t="str">
        <f>_xlfn.IFNA(VLOOKUP(Master_Reference[[#This Row],[C-Flex 5000K Eco Part Number]],Lutron_CFlex_Lookup[],MATCH("Lutron Kit PN",Lutron_CFlex_Lookup[#Headers],0),FALSE),"")</f>
        <v>ELD4T8-2M50-q</v>
      </c>
      <c r="AJ514" s="1" t="str">
        <f>_xlfn.IFNA(VLOOKUP(Master_Reference[[#This Row],[C-Flex 3000K 3W Part Number]],Lutron_CFlex_Lookup[],MATCH("Lutron Kit PN",Lutron_CFlex_Lookup[#Headers],0),FALSE),"")</f>
        <v/>
      </c>
      <c r="AK514" s="1" t="str">
        <f>_xlfn.IFNA(VLOOKUP(Master_Reference[[#This Row],[C-Flex 3500K 3W Part Number]],Lutron_CFlex_Lookup[],MATCH("Lutron Kit PN",Lutron_CFlex_Lookup[#Headers],0),FALSE),"")</f>
        <v/>
      </c>
      <c r="AL514" s="1" t="str">
        <f>_xlfn.IFNA(VLOOKUP(Master_Reference[[#This Row],[C-Flex 4000K 3W Part Number]],Lutron_CFlex_Lookup[],MATCH("Lutron Kit PN",Lutron_CFlex_Lookup[#Headers],0),FALSE),"")</f>
        <v/>
      </c>
      <c r="AM514" s="1" t="str">
        <f>_xlfn.IFNA(VLOOKUP(Master_Reference[[#This Row],[C-Flex 5000K 3W Part Number]],Lutron_CFlex_Lookup[],MATCH("Lutron Kit PN",Lutron_CFlex_Lookup[#Headers],0),FALSE),"")</f>
        <v/>
      </c>
      <c r="AN514" s="1" t="b">
        <f>NOT(ISNA(VLOOKUP(Master_Reference[[#This Row],[Model Number]],ObsoleteModels[],1,FALSE)))</f>
        <v>1</v>
      </c>
      <c r="AO514" s="1" t="str">
        <f>IF(LEFT(Master_Reference[[#This Row],[Model Number]],1)="U",LEFT(Master_Reference[[#This Row],[Model Number]],4),LEFT(Master_Reference[[#This Row],[Model Number]],3))</f>
        <v>EHD</v>
      </c>
    </row>
    <row r="515" spans="1:41" x14ac:dyDescent="0.25">
      <c r="A515" s="2" t="s">
        <v>796</v>
      </c>
      <c r="B515" s="1" t="b">
        <v>1</v>
      </c>
      <c r="G515" s="1" t="str">
        <f>IF(OR(LEFT(RIGHT(Master_Reference[[#This Row],[Model Number]],3),1)="C",LEFT(RIGHT(Master_Reference[[#This Row],[Model Number]],4),1)="C"),TRUE,"")</f>
        <v/>
      </c>
      <c r="H515" s="1" t="str">
        <f>IF(LEFT(Master_Reference[[#This Row],[Model Number]],1)="U",TRUE,"")</f>
        <v/>
      </c>
      <c r="I515" s="1" t="b">
        <f>IF(Master_Reference[[#This Row],[Lamp Type]]="T4","",IF(Master_Reference[[#This Row],[Case Type]]="M","",TRUE))</f>
        <v>1</v>
      </c>
      <c r="J515" s="1" t="s">
        <v>111</v>
      </c>
      <c r="K515" s="1">
        <v>32</v>
      </c>
      <c r="L515" s="1" t="s">
        <v>118</v>
      </c>
      <c r="M515" s="1">
        <v>3</v>
      </c>
      <c r="N515" s="1" t="s">
        <v>149</v>
      </c>
      <c r="O515" s="1" t="s">
        <v>217</v>
      </c>
      <c r="R515" t="b">
        <f>IF(COUNTBLANK(Master_Reference[[#This Row],[C-Flex 3000K Eco Part Number]:[C-Flex 4000K Eco Part Number]])=3,FALSE,TRUE)</f>
        <v>1</v>
      </c>
      <c r="S515" t="b">
        <f>IF(COUNTBLANK(Master_Reference[[#This Row],[C-Flex 3000K 3W Part Number]:[C-Flex 4000K 3W Part Number]])=3,FALSE,TRUE)</f>
        <v>0</v>
      </c>
      <c r="T515" t="b">
        <f>IF(COUNTBLANK(Master_Reference[[#This Row],[Lutron 3000K Eco Part Number]:[Lutron 4000K Eco Part Number]])=3,FALSE,TRUE)</f>
        <v>1</v>
      </c>
      <c r="U515" t="b">
        <f>IF(COUNTBLANK(Master_Reference[[#This Row],[Lutron 3000K 3W Part Number]:[Lutron 4000K 3W Part Number]])=3,FALSE,TRUE)</f>
        <v>0</v>
      </c>
      <c r="V515" s="12" t="s">
        <v>495</v>
      </c>
      <c r="W515" s="12" t="s">
        <v>496</v>
      </c>
      <c r="X515" s="12" t="s">
        <v>497</v>
      </c>
      <c r="Y515" t="s">
        <v>1746</v>
      </c>
      <c r="Z515" s="12"/>
      <c r="AA515" s="12"/>
      <c r="AB515" s="12"/>
      <c r="AC515" t="s">
        <v>2125</v>
      </c>
      <c r="AD515" t="str">
        <f>SUBSTITUTE(Master_Reference[[#This Row],[C-Flex 4000K Eco Part Number]],"40-","xx-")</f>
        <v>RP-T8-4FT-3L-8xx-E1-M-G2</v>
      </c>
      <c r="AE515" t="str">
        <f>SUBSTITUTE(Master_Reference[[#This Row],[C-Flex 4000K 3W Part Number]],"40-","xx-")</f>
        <v/>
      </c>
      <c r="AF515" s="1" t="str">
        <f>_xlfn.IFNA(VLOOKUP(Master_Reference[[#This Row],[C-Flex 3000K Eco Part Number]],Lutron_CFlex_Lookup[],MATCH("Lutron Kit PN",Lutron_CFlex_Lookup[#Headers],0),FALSE),"")</f>
        <v>ELD4T8-3M30-q</v>
      </c>
      <c r="AG515" s="1" t="str">
        <f>_xlfn.IFNA(VLOOKUP(Master_Reference[[#This Row],[C-Flex 3500K Eco Part Number]],Lutron_CFlex_Lookup[],MATCH("Lutron Kit PN",Lutron_CFlex_Lookup[#Headers],0),FALSE),"")</f>
        <v>ELD4T8-3M35-q</v>
      </c>
      <c r="AH515" s="1" t="str">
        <f>_xlfn.IFNA(VLOOKUP(Master_Reference[[#This Row],[C-Flex 4000K Eco Part Number]],Lutron_CFlex_Lookup[],MATCH("Lutron Kit PN",Lutron_CFlex_Lookup[#Headers],0),FALSE),"")</f>
        <v>ELD4T8-3M40-q</v>
      </c>
      <c r="AI515" s="1" t="str">
        <f>_xlfn.IFNA(VLOOKUP(Master_Reference[[#This Row],[C-Flex 5000K Eco Part Number]],Lutron_CFlex_Lookup[],MATCH("Lutron Kit PN",Lutron_CFlex_Lookup[#Headers],0),FALSE),"")</f>
        <v>ELD4T8-3M50-q</v>
      </c>
      <c r="AJ515" s="1" t="str">
        <f>_xlfn.IFNA(VLOOKUP(Master_Reference[[#This Row],[C-Flex 3000K 3W Part Number]],Lutron_CFlex_Lookup[],MATCH("Lutron Kit PN",Lutron_CFlex_Lookup[#Headers],0),FALSE),"")</f>
        <v/>
      </c>
      <c r="AK515" s="1" t="str">
        <f>_xlfn.IFNA(VLOOKUP(Master_Reference[[#This Row],[C-Flex 3500K 3W Part Number]],Lutron_CFlex_Lookup[],MATCH("Lutron Kit PN",Lutron_CFlex_Lookup[#Headers],0),FALSE),"")</f>
        <v/>
      </c>
      <c r="AL515" s="1" t="str">
        <f>_xlfn.IFNA(VLOOKUP(Master_Reference[[#This Row],[C-Flex 4000K 3W Part Number]],Lutron_CFlex_Lookup[],MATCH("Lutron Kit PN",Lutron_CFlex_Lookup[#Headers],0),FALSE),"")</f>
        <v/>
      </c>
      <c r="AM515" s="1" t="str">
        <f>_xlfn.IFNA(VLOOKUP(Master_Reference[[#This Row],[C-Flex 5000K 3W Part Number]],Lutron_CFlex_Lookup[],MATCH("Lutron Kit PN",Lutron_CFlex_Lookup[#Headers],0),FALSE),"")</f>
        <v/>
      </c>
      <c r="AN515" s="1" t="b">
        <f>NOT(ISNA(VLOOKUP(Master_Reference[[#This Row],[Model Number]],ObsoleteModels[],1,FALSE)))</f>
        <v>1</v>
      </c>
      <c r="AO515" s="1" t="str">
        <f>IF(LEFT(Master_Reference[[#This Row],[Model Number]],1)="U",LEFT(Master_Reference[[#This Row],[Model Number]],4),LEFT(Master_Reference[[#This Row],[Model Number]],3))</f>
        <v>EHD</v>
      </c>
    </row>
    <row r="516" spans="1:41" x14ac:dyDescent="0.25">
      <c r="A516" s="2" t="s">
        <v>797</v>
      </c>
      <c r="B516" s="1" t="b">
        <v>1</v>
      </c>
      <c r="G516" s="1" t="b">
        <v>1</v>
      </c>
      <c r="H516" s="1" t="str">
        <f>IF(LEFT(Master_Reference[[#This Row],[Model Number]],1)="U",TRUE,"")</f>
        <v/>
      </c>
      <c r="I516" s="1" t="b">
        <f>IF(Master_Reference[[#This Row],[Lamp Type]]="T4","",IF(Master_Reference[[#This Row],[Case Type]]="M","",TRUE))</f>
        <v>1</v>
      </c>
      <c r="J516" s="1" t="s">
        <v>111</v>
      </c>
      <c r="K516" s="1">
        <v>32</v>
      </c>
      <c r="L516" s="1" t="s">
        <v>118</v>
      </c>
      <c r="M516" s="1">
        <v>3</v>
      </c>
      <c r="N516" s="1" t="s">
        <v>149</v>
      </c>
      <c r="O516" s="1" t="s">
        <v>217</v>
      </c>
      <c r="R516" t="b">
        <f>IF(COUNTBLANK(Master_Reference[[#This Row],[C-Flex 3000K Eco Part Number]:[C-Flex 4000K Eco Part Number]])=3,FALSE,TRUE)</f>
        <v>1</v>
      </c>
      <c r="S516" t="b">
        <f>IF(COUNTBLANK(Master_Reference[[#This Row],[C-Flex 3000K 3W Part Number]:[C-Flex 4000K 3W Part Number]])=3,FALSE,TRUE)</f>
        <v>0</v>
      </c>
      <c r="T516" t="b">
        <f>IF(COUNTBLANK(Master_Reference[[#This Row],[Lutron 3000K Eco Part Number]:[Lutron 4000K Eco Part Number]])=3,FALSE,TRUE)</f>
        <v>1</v>
      </c>
      <c r="U516" t="b">
        <f>IF(COUNTBLANK(Master_Reference[[#This Row],[Lutron 3000K 3W Part Number]:[Lutron 4000K 3W Part Number]])=3,FALSE,TRUE)</f>
        <v>0</v>
      </c>
      <c r="V516" s="12" t="s">
        <v>495</v>
      </c>
      <c r="W516" s="12" t="s">
        <v>496</v>
      </c>
      <c r="X516" s="12" t="s">
        <v>497</v>
      </c>
      <c r="Y516" t="s">
        <v>1746</v>
      </c>
      <c r="Z516" s="12"/>
      <c r="AA516" s="12"/>
      <c r="AB516" s="12"/>
      <c r="AC516" t="s">
        <v>2125</v>
      </c>
      <c r="AD516" t="str">
        <f>SUBSTITUTE(Master_Reference[[#This Row],[C-Flex 4000K Eco Part Number]],"40-","xx-")</f>
        <v>RP-T8-4FT-3L-8xx-E1-M-G2</v>
      </c>
      <c r="AE516" t="str">
        <f>SUBSTITUTE(Master_Reference[[#This Row],[C-Flex 4000K 3W Part Number]],"40-","xx-")</f>
        <v/>
      </c>
      <c r="AF516" s="1" t="str">
        <f>_xlfn.IFNA(VLOOKUP(Master_Reference[[#This Row],[C-Flex 3000K Eco Part Number]],Lutron_CFlex_Lookup[],MATCH("Lutron Kit PN",Lutron_CFlex_Lookup[#Headers],0),FALSE),"")</f>
        <v>ELD4T8-3M30-q</v>
      </c>
      <c r="AG516" s="1" t="str">
        <f>_xlfn.IFNA(VLOOKUP(Master_Reference[[#This Row],[C-Flex 3500K Eco Part Number]],Lutron_CFlex_Lookup[],MATCH("Lutron Kit PN",Lutron_CFlex_Lookup[#Headers],0),FALSE),"")</f>
        <v>ELD4T8-3M35-q</v>
      </c>
      <c r="AH516" s="1" t="str">
        <f>_xlfn.IFNA(VLOOKUP(Master_Reference[[#This Row],[C-Flex 4000K Eco Part Number]],Lutron_CFlex_Lookup[],MATCH("Lutron Kit PN",Lutron_CFlex_Lookup[#Headers],0),FALSE),"")</f>
        <v>ELD4T8-3M40-q</v>
      </c>
      <c r="AI516" s="1" t="str">
        <f>_xlfn.IFNA(VLOOKUP(Master_Reference[[#This Row],[C-Flex 5000K Eco Part Number]],Lutron_CFlex_Lookup[],MATCH("Lutron Kit PN",Lutron_CFlex_Lookup[#Headers],0),FALSE),"")</f>
        <v>ELD4T8-3M50-q</v>
      </c>
      <c r="AJ516" s="1" t="str">
        <f>_xlfn.IFNA(VLOOKUP(Master_Reference[[#This Row],[C-Flex 3000K 3W Part Number]],Lutron_CFlex_Lookup[],MATCH("Lutron Kit PN",Lutron_CFlex_Lookup[#Headers],0),FALSE),"")</f>
        <v/>
      </c>
      <c r="AK516" s="1" t="str">
        <f>_xlfn.IFNA(VLOOKUP(Master_Reference[[#This Row],[C-Flex 3500K 3W Part Number]],Lutron_CFlex_Lookup[],MATCH("Lutron Kit PN",Lutron_CFlex_Lookup[#Headers],0),FALSE),"")</f>
        <v/>
      </c>
      <c r="AL516" s="1" t="str">
        <f>_xlfn.IFNA(VLOOKUP(Master_Reference[[#This Row],[C-Flex 4000K 3W Part Number]],Lutron_CFlex_Lookup[],MATCH("Lutron Kit PN",Lutron_CFlex_Lookup[#Headers],0),FALSE),"")</f>
        <v/>
      </c>
      <c r="AM516" s="1" t="str">
        <f>_xlfn.IFNA(VLOOKUP(Master_Reference[[#This Row],[C-Flex 5000K 3W Part Number]],Lutron_CFlex_Lookup[],MATCH("Lutron Kit PN",Lutron_CFlex_Lookup[#Headers],0),FALSE),"")</f>
        <v/>
      </c>
      <c r="AN516" s="1" t="b">
        <f>NOT(ISNA(VLOOKUP(Master_Reference[[#This Row],[Model Number]],ObsoleteModels[],1,FALSE)))</f>
        <v>1</v>
      </c>
      <c r="AO516" s="1" t="str">
        <f>IF(LEFT(Master_Reference[[#This Row],[Model Number]],1)="U",LEFT(Master_Reference[[#This Row],[Model Number]],4),LEFT(Master_Reference[[#This Row],[Model Number]],3))</f>
        <v>EHD</v>
      </c>
    </row>
    <row r="517" spans="1:41" x14ac:dyDescent="0.25">
      <c r="A517" s="2" t="s">
        <v>798</v>
      </c>
      <c r="B517" s="1" t="b">
        <v>1</v>
      </c>
      <c r="G517" s="1" t="b">
        <f>IF(OR(LEFT(RIGHT(Master_Reference[[#This Row],[Model Number]],3),1)="C",LEFT(RIGHT(Master_Reference[[#This Row],[Model Number]],4),1)="C"),TRUE,"")</f>
        <v>1</v>
      </c>
      <c r="H517" s="1" t="str">
        <f>IF(LEFT(Master_Reference[[#This Row],[Model Number]],1)="U",TRUE,"")</f>
        <v/>
      </c>
      <c r="I517" s="1" t="b">
        <f>IF(Master_Reference[[#This Row],[Lamp Type]]="T4","",IF(Master_Reference[[#This Row],[Case Type]]="M","",TRUE))</f>
        <v>1</v>
      </c>
      <c r="J517" s="1" t="s">
        <v>111</v>
      </c>
      <c r="K517" s="1">
        <v>32</v>
      </c>
      <c r="L517" s="1" t="s">
        <v>118</v>
      </c>
      <c r="M517" s="1">
        <v>3</v>
      </c>
      <c r="N517" s="1" t="s">
        <v>149</v>
      </c>
      <c r="O517" s="1" t="s">
        <v>217</v>
      </c>
      <c r="R517" t="b">
        <f>IF(COUNTBLANK(Master_Reference[[#This Row],[C-Flex 3000K Eco Part Number]:[C-Flex 4000K Eco Part Number]])=3,FALSE,TRUE)</f>
        <v>1</v>
      </c>
      <c r="S517" t="b">
        <f>IF(COUNTBLANK(Master_Reference[[#This Row],[C-Flex 3000K 3W Part Number]:[C-Flex 4000K 3W Part Number]])=3,FALSE,TRUE)</f>
        <v>0</v>
      </c>
      <c r="T517" t="b">
        <f>IF(COUNTBLANK(Master_Reference[[#This Row],[Lutron 3000K Eco Part Number]:[Lutron 4000K Eco Part Number]])=3,FALSE,TRUE)</f>
        <v>1</v>
      </c>
      <c r="U517" t="b">
        <f>IF(COUNTBLANK(Master_Reference[[#This Row],[Lutron 3000K 3W Part Number]:[Lutron 4000K 3W Part Number]])=3,FALSE,TRUE)</f>
        <v>0</v>
      </c>
      <c r="V517" s="12" t="s">
        <v>495</v>
      </c>
      <c r="W517" s="12" t="s">
        <v>496</v>
      </c>
      <c r="X517" s="12" t="s">
        <v>497</v>
      </c>
      <c r="Y517" t="s">
        <v>1746</v>
      </c>
      <c r="Z517" s="12"/>
      <c r="AA517" s="12"/>
      <c r="AB517" s="12"/>
      <c r="AC517" t="s">
        <v>2125</v>
      </c>
      <c r="AD517" t="str">
        <f>SUBSTITUTE(Master_Reference[[#This Row],[C-Flex 4000K Eco Part Number]],"40-","xx-")</f>
        <v>RP-T8-4FT-3L-8xx-E1-M-G2</v>
      </c>
      <c r="AE517" t="str">
        <f>SUBSTITUTE(Master_Reference[[#This Row],[C-Flex 4000K 3W Part Number]],"40-","xx-")</f>
        <v/>
      </c>
      <c r="AF517" s="1" t="str">
        <f>_xlfn.IFNA(VLOOKUP(Master_Reference[[#This Row],[C-Flex 3000K Eco Part Number]],Lutron_CFlex_Lookup[],MATCH("Lutron Kit PN",Lutron_CFlex_Lookup[#Headers],0),FALSE),"")</f>
        <v>ELD4T8-3M30-q</v>
      </c>
      <c r="AG517" s="1" t="str">
        <f>_xlfn.IFNA(VLOOKUP(Master_Reference[[#This Row],[C-Flex 3500K Eco Part Number]],Lutron_CFlex_Lookup[],MATCH("Lutron Kit PN",Lutron_CFlex_Lookup[#Headers],0),FALSE),"")</f>
        <v>ELD4T8-3M35-q</v>
      </c>
      <c r="AH517" s="1" t="str">
        <f>_xlfn.IFNA(VLOOKUP(Master_Reference[[#This Row],[C-Flex 4000K Eco Part Number]],Lutron_CFlex_Lookup[],MATCH("Lutron Kit PN",Lutron_CFlex_Lookup[#Headers],0),FALSE),"")</f>
        <v>ELD4T8-3M40-q</v>
      </c>
      <c r="AI517" s="1" t="str">
        <f>_xlfn.IFNA(VLOOKUP(Master_Reference[[#This Row],[C-Flex 5000K Eco Part Number]],Lutron_CFlex_Lookup[],MATCH("Lutron Kit PN",Lutron_CFlex_Lookup[#Headers],0),FALSE),"")</f>
        <v>ELD4T8-3M50-q</v>
      </c>
      <c r="AJ517" s="1" t="str">
        <f>_xlfn.IFNA(VLOOKUP(Master_Reference[[#This Row],[C-Flex 3000K 3W Part Number]],Lutron_CFlex_Lookup[],MATCH("Lutron Kit PN",Lutron_CFlex_Lookup[#Headers],0),FALSE),"")</f>
        <v/>
      </c>
      <c r="AK517" s="1" t="str">
        <f>_xlfn.IFNA(VLOOKUP(Master_Reference[[#This Row],[C-Flex 3500K 3W Part Number]],Lutron_CFlex_Lookup[],MATCH("Lutron Kit PN",Lutron_CFlex_Lookup[#Headers],0),FALSE),"")</f>
        <v/>
      </c>
      <c r="AL517" s="1" t="str">
        <f>_xlfn.IFNA(VLOOKUP(Master_Reference[[#This Row],[C-Flex 4000K 3W Part Number]],Lutron_CFlex_Lookup[],MATCH("Lutron Kit PN",Lutron_CFlex_Lookup[#Headers],0),FALSE),"")</f>
        <v/>
      </c>
      <c r="AM517" s="1" t="str">
        <f>_xlfn.IFNA(VLOOKUP(Master_Reference[[#This Row],[C-Flex 5000K 3W Part Number]],Lutron_CFlex_Lookup[],MATCH("Lutron Kit PN",Lutron_CFlex_Lookup[#Headers],0),FALSE),"")</f>
        <v/>
      </c>
      <c r="AN517" s="1" t="b">
        <f>NOT(ISNA(VLOOKUP(Master_Reference[[#This Row],[Model Number]],ObsoleteModels[],1,FALSE)))</f>
        <v>1</v>
      </c>
      <c r="AO517" s="1" t="str">
        <f>IF(LEFT(Master_Reference[[#This Row],[Model Number]],1)="U",LEFT(Master_Reference[[#This Row],[Model Number]],4),LEFT(Master_Reference[[#This Row],[Model Number]],3))</f>
        <v>EHD</v>
      </c>
    </row>
    <row r="518" spans="1:41" x14ac:dyDescent="0.25">
      <c r="A518" s="2" t="s">
        <v>799</v>
      </c>
      <c r="B518" s="1" t="b">
        <v>1</v>
      </c>
      <c r="G518" s="1" t="b">
        <f>IF(OR(LEFT(RIGHT(Master_Reference[[#This Row],[Model Number]],3),1)="C",LEFT(RIGHT(Master_Reference[[#This Row],[Model Number]],4),1)="C"),TRUE,"")</f>
        <v>1</v>
      </c>
      <c r="H518" s="1" t="str">
        <f>IF(LEFT(Master_Reference[[#This Row],[Model Number]],1)="U",TRUE,"")</f>
        <v/>
      </c>
      <c r="I518" s="1" t="b">
        <f>IF(Master_Reference[[#This Row],[Lamp Type]]="T4","",IF(Master_Reference[[#This Row],[Case Type]]="M","",TRUE))</f>
        <v>1</v>
      </c>
      <c r="J518" s="1" t="s">
        <v>111</v>
      </c>
      <c r="K518" s="1">
        <v>32</v>
      </c>
      <c r="L518" s="1" t="s">
        <v>118</v>
      </c>
      <c r="M518" s="1">
        <v>3</v>
      </c>
      <c r="N518" s="1" t="s">
        <v>149</v>
      </c>
      <c r="O518" s="1" t="s">
        <v>217</v>
      </c>
      <c r="R518" t="b">
        <f>IF(COUNTBLANK(Master_Reference[[#This Row],[C-Flex 3000K Eco Part Number]:[C-Flex 4000K Eco Part Number]])=3,FALSE,TRUE)</f>
        <v>1</v>
      </c>
      <c r="S518" t="b">
        <f>IF(COUNTBLANK(Master_Reference[[#This Row],[C-Flex 3000K 3W Part Number]:[C-Flex 4000K 3W Part Number]])=3,FALSE,TRUE)</f>
        <v>0</v>
      </c>
      <c r="T518" t="b">
        <f>IF(COUNTBLANK(Master_Reference[[#This Row],[Lutron 3000K Eco Part Number]:[Lutron 4000K Eco Part Number]])=3,FALSE,TRUE)</f>
        <v>1</v>
      </c>
      <c r="U518" t="b">
        <f>IF(COUNTBLANK(Master_Reference[[#This Row],[Lutron 3000K 3W Part Number]:[Lutron 4000K 3W Part Number]])=3,FALSE,TRUE)</f>
        <v>0</v>
      </c>
      <c r="V518" s="12" t="s">
        <v>495</v>
      </c>
      <c r="W518" s="12" t="s">
        <v>496</v>
      </c>
      <c r="X518" s="12" t="s">
        <v>497</v>
      </c>
      <c r="Y518" t="s">
        <v>1746</v>
      </c>
      <c r="Z518" s="12"/>
      <c r="AA518" s="12"/>
      <c r="AB518" s="12"/>
      <c r="AC518" t="s">
        <v>2125</v>
      </c>
      <c r="AD518" t="str">
        <f>SUBSTITUTE(Master_Reference[[#This Row],[C-Flex 4000K Eco Part Number]],"40-","xx-")</f>
        <v>RP-T8-4FT-3L-8xx-E1-M-G2</v>
      </c>
      <c r="AE518" t="str">
        <f>SUBSTITUTE(Master_Reference[[#This Row],[C-Flex 4000K 3W Part Number]],"40-","xx-")</f>
        <v/>
      </c>
      <c r="AF518" s="1" t="str">
        <f>_xlfn.IFNA(VLOOKUP(Master_Reference[[#This Row],[C-Flex 3000K Eco Part Number]],Lutron_CFlex_Lookup[],MATCH("Lutron Kit PN",Lutron_CFlex_Lookup[#Headers],0),FALSE),"")</f>
        <v>ELD4T8-3M30-q</v>
      </c>
      <c r="AG518" s="1" t="str">
        <f>_xlfn.IFNA(VLOOKUP(Master_Reference[[#This Row],[C-Flex 3500K Eco Part Number]],Lutron_CFlex_Lookup[],MATCH("Lutron Kit PN",Lutron_CFlex_Lookup[#Headers],0),FALSE),"")</f>
        <v>ELD4T8-3M35-q</v>
      </c>
      <c r="AH518" s="1" t="str">
        <f>_xlfn.IFNA(VLOOKUP(Master_Reference[[#This Row],[C-Flex 4000K Eco Part Number]],Lutron_CFlex_Lookup[],MATCH("Lutron Kit PN",Lutron_CFlex_Lookup[#Headers],0),FALSE),"")</f>
        <v>ELD4T8-3M40-q</v>
      </c>
      <c r="AI518" s="1" t="str">
        <f>_xlfn.IFNA(VLOOKUP(Master_Reference[[#This Row],[C-Flex 5000K Eco Part Number]],Lutron_CFlex_Lookup[],MATCH("Lutron Kit PN",Lutron_CFlex_Lookup[#Headers],0),FALSE),"")</f>
        <v>ELD4T8-3M50-q</v>
      </c>
      <c r="AJ518" s="1" t="str">
        <f>_xlfn.IFNA(VLOOKUP(Master_Reference[[#This Row],[C-Flex 3000K 3W Part Number]],Lutron_CFlex_Lookup[],MATCH("Lutron Kit PN",Lutron_CFlex_Lookup[#Headers],0),FALSE),"")</f>
        <v/>
      </c>
      <c r="AK518" s="1" t="str">
        <f>_xlfn.IFNA(VLOOKUP(Master_Reference[[#This Row],[C-Flex 3500K 3W Part Number]],Lutron_CFlex_Lookup[],MATCH("Lutron Kit PN",Lutron_CFlex_Lookup[#Headers],0),FALSE),"")</f>
        <v/>
      </c>
      <c r="AL518" s="1" t="str">
        <f>_xlfn.IFNA(VLOOKUP(Master_Reference[[#This Row],[C-Flex 4000K 3W Part Number]],Lutron_CFlex_Lookup[],MATCH("Lutron Kit PN",Lutron_CFlex_Lookup[#Headers],0),FALSE),"")</f>
        <v/>
      </c>
      <c r="AM518" s="1" t="str">
        <f>_xlfn.IFNA(VLOOKUP(Master_Reference[[#This Row],[C-Flex 5000K 3W Part Number]],Lutron_CFlex_Lookup[],MATCH("Lutron Kit PN",Lutron_CFlex_Lookup[#Headers],0),FALSE),"")</f>
        <v/>
      </c>
      <c r="AN518" s="1" t="b">
        <f>NOT(ISNA(VLOOKUP(Master_Reference[[#This Row],[Model Number]],ObsoleteModels[],1,FALSE)))</f>
        <v>1</v>
      </c>
      <c r="AO518" s="1" t="str">
        <f>IF(LEFT(Master_Reference[[#This Row],[Model Number]],1)="U",LEFT(Master_Reference[[#This Row],[Model Number]],4),LEFT(Master_Reference[[#This Row],[Model Number]],3))</f>
        <v>EHD</v>
      </c>
    </row>
    <row r="519" spans="1:41" x14ac:dyDescent="0.25">
      <c r="A519" s="2" t="s">
        <v>800</v>
      </c>
      <c r="B519" s="1" t="b">
        <v>1</v>
      </c>
      <c r="G519" s="1" t="b">
        <f>IF(OR(LEFT(RIGHT(Master_Reference[[#This Row],[Model Number]],3),1)="C",LEFT(RIGHT(Master_Reference[[#This Row],[Model Number]],4),1)="C"),TRUE,"")</f>
        <v>1</v>
      </c>
      <c r="H519" s="1" t="str">
        <f>IF(LEFT(Master_Reference[[#This Row],[Model Number]],1)="U",TRUE,"")</f>
        <v/>
      </c>
      <c r="I519" s="1" t="b">
        <f>IF(Master_Reference[[#This Row],[Lamp Type]]="T4","",IF(Master_Reference[[#This Row],[Case Type]]="M","",TRUE))</f>
        <v>1</v>
      </c>
      <c r="J519" s="1" t="s">
        <v>111</v>
      </c>
      <c r="K519" s="1">
        <v>32</v>
      </c>
      <c r="L519" s="1" t="s">
        <v>118</v>
      </c>
      <c r="M519" s="1">
        <v>3</v>
      </c>
      <c r="N519" s="1" t="s">
        <v>149</v>
      </c>
      <c r="O519" s="1" t="s">
        <v>217</v>
      </c>
      <c r="R519" t="b">
        <f>IF(COUNTBLANK(Master_Reference[[#This Row],[C-Flex 3000K Eco Part Number]:[C-Flex 4000K Eco Part Number]])=3,FALSE,TRUE)</f>
        <v>1</v>
      </c>
      <c r="S519" t="b">
        <f>IF(COUNTBLANK(Master_Reference[[#This Row],[C-Flex 3000K 3W Part Number]:[C-Flex 4000K 3W Part Number]])=3,FALSE,TRUE)</f>
        <v>0</v>
      </c>
      <c r="T519" t="b">
        <f>IF(COUNTBLANK(Master_Reference[[#This Row],[Lutron 3000K Eco Part Number]:[Lutron 4000K Eco Part Number]])=3,FALSE,TRUE)</f>
        <v>1</v>
      </c>
      <c r="U519" t="b">
        <f>IF(COUNTBLANK(Master_Reference[[#This Row],[Lutron 3000K 3W Part Number]:[Lutron 4000K 3W Part Number]])=3,FALSE,TRUE)</f>
        <v>0</v>
      </c>
      <c r="V519" s="12" t="s">
        <v>495</v>
      </c>
      <c r="W519" s="12" t="s">
        <v>496</v>
      </c>
      <c r="X519" s="12" t="s">
        <v>497</v>
      </c>
      <c r="Y519" t="s">
        <v>1746</v>
      </c>
      <c r="Z519" s="12"/>
      <c r="AA519" s="12"/>
      <c r="AB519" s="12"/>
      <c r="AC519" t="s">
        <v>2125</v>
      </c>
      <c r="AD519" t="str">
        <f>SUBSTITUTE(Master_Reference[[#This Row],[C-Flex 4000K Eco Part Number]],"40-","xx-")</f>
        <v>RP-T8-4FT-3L-8xx-E1-M-G2</v>
      </c>
      <c r="AE519" t="str">
        <f>SUBSTITUTE(Master_Reference[[#This Row],[C-Flex 4000K 3W Part Number]],"40-","xx-")</f>
        <v/>
      </c>
      <c r="AF519" s="1" t="str">
        <f>_xlfn.IFNA(VLOOKUP(Master_Reference[[#This Row],[C-Flex 3000K Eco Part Number]],Lutron_CFlex_Lookup[],MATCH("Lutron Kit PN",Lutron_CFlex_Lookup[#Headers],0),FALSE),"")</f>
        <v>ELD4T8-3M30-q</v>
      </c>
      <c r="AG519" s="1" t="str">
        <f>_xlfn.IFNA(VLOOKUP(Master_Reference[[#This Row],[C-Flex 3500K Eco Part Number]],Lutron_CFlex_Lookup[],MATCH("Lutron Kit PN",Lutron_CFlex_Lookup[#Headers],0),FALSE),"")</f>
        <v>ELD4T8-3M35-q</v>
      </c>
      <c r="AH519" s="1" t="str">
        <f>_xlfn.IFNA(VLOOKUP(Master_Reference[[#This Row],[C-Flex 4000K Eco Part Number]],Lutron_CFlex_Lookup[],MATCH("Lutron Kit PN",Lutron_CFlex_Lookup[#Headers],0),FALSE),"")</f>
        <v>ELD4T8-3M40-q</v>
      </c>
      <c r="AI519" s="1" t="str">
        <f>_xlfn.IFNA(VLOOKUP(Master_Reference[[#This Row],[C-Flex 5000K Eco Part Number]],Lutron_CFlex_Lookup[],MATCH("Lutron Kit PN",Lutron_CFlex_Lookup[#Headers],0),FALSE),"")</f>
        <v>ELD4T8-3M50-q</v>
      </c>
      <c r="AJ519" s="1" t="str">
        <f>_xlfn.IFNA(VLOOKUP(Master_Reference[[#This Row],[C-Flex 3000K 3W Part Number]],Lutron_CFlex_Lookup[],MATCH("Lutron Kit PN",Lutron_CFlex_Lookup[#Headers],0),FALSE),"")</f>
        <v/>
      </c>
      <c r="AK519" s="1" t="str">
        <f>_xlfn.IFNA(VLOOKUP(Master_Reference[[#This Row],[C-Flex 3500K 3W Part Number]],Lutron_CFlex_Lookup[],MATCH("Lutron Kit PN",Lutron_CFlex_Lookup[#Headers],0),FALSE),"")</f>
        <v/>
      </c>
      <c r="AL519" s="1" t="str">
        <f>_xlfn.IFNA(VLOOKUP(Master_Reference[[#This Row],[C-Flex 4000K 3W Part Number]],Lutron_CFlex_Lookup[],MATCH("Lutron Kit PN",Lutron_CFlex_Lookup[#Headers],0),FALSE),"")</f>
        <v/>
      </c>
      <c r="AM519" s="1" t="str">
        <f>_xlfn.IFNA(VLOOKUP(Master_Reference[[#This Row],[C-Flex 5000K 3W Part Number]],Lutron_CFlex_Lookup[],MATCH("Lutron Kit PN",Lutron_CFlex_Lookup[#Headers],0),FALSE),"")</f>
        <v/>
      </c>
      <c r="AN519" s="1" t="b">
        <f>NOT(ISNA(VLOOKUP(Master_Reference[[#This Row],[Model Number]],ObsoleteModels[],1,FALSE)))</f>
        <v>1</v>
      </c>
      <c r="AO519" s="1" t="str">
        <f>IF(LEFT(Master_Reference[[#This Row],[Model Number]],1)="U",LEFT(Master_Reference[[#This Row],[Model Number]],4),LEFT(Master_Reference[[#This Row],[Model Number]],3))</f>
        <v>EHD</v>
      </c>
    </row>
    <row r="520" spans="1:41" x14ac:dyDescent="0.25">
      <c r="A520" s="2" t="s">
        <v>801</v>
      </c>
      <c r="B520" s="1" t="b">
        <v>1</v>
      </c>
      <c r="G520" s="1" t="str">
        <f>IF(OR(LEFT(RIGHT(Master_Reference[[#This Row],[Model Number]],3),1)="C",LEFT(RIGHT(Master_Reference[[#This Row],[Model Number]],4),1)="C"),TRUE,"")</f>
        <v/>
      </c>
      <c r="H520" s="1" t="str">
        <f>IF(LEFT(Master_Reference[[#This Row],[Model Number]],1)="U",TRUE,"")</f>
        <v/>
      </c>
      <c r="I520" s="1" t="str">
        <f>IF(Master_Reference[[#This Row],[Lamp Type]]="T4","",IF(Master_Reference[[#This Row],[Case Type]]="M","",TRUE))</f>
        <v/>
      </c>
      <c r="J520" s="1" t="s">
        <v>111</v>
      </c>
      <c r="K520" s="1">
        <v>32</v>
      </c>
      <c r="L520" s="1" t="s">
        <v>118</v>
      </c>
      <c r="M520" s="1">
        <v>1</v>
      </c>
      <c r="N520" s="1" t="s">
        <v>631</v>
      </c>
      <c r="O520" s="1" t="s">
        <v>632</v>
      </c>
      <c r="Q520" s="1" t="s">
        <v>643</v>
      </c>
      <c r="R520" t="b">
        <f>IF(COUNTBLANK(Master_Reference[[#This Row],[C-Flex 3000K Eco Part Number]:[C-Flex 4000K Eco Part Number]])=3,FALSE,TRUE)</f>
        <v>0</v>
      </c>
      <c r="S520" t="b">
        <f>IF(COUNTBLANK(Master_Reference[[#This Row],[C-Flex 3000K 3W Part Number]:[C-Flex 4000K 3W Part Number]])=3,FALSE,TRUE)</f>
        <v>0</v>
      </c>
      <c r="T520" t="b">
        <f>IF(COUNTBLANK(Master_Reference[[#This Row],[Lutron 3000K Eco Part Number]:[Lutron 4000K Eco Part Number]])=3,FALSE,TRUE)</f>
        <v>0</v>
      </c>
      <c r="U520" t="b">
        <f>IF(COUNTBLANK(Master_Reference[[#This Row],[Lutron 3000K 3W Part Number]:[Lutron 4000K 3W Part Number]])=3,FALSE,TRUE)</f>
        <v>0</v>
      </c>
      <c r="V520" s="12"/>
      <c r="W520" s="12"/>
      <c r="X520" s="12"/>
      <c r="Y520" t="s">
        <v>2125</v>
      </c>
      <c r="Z520" s="12"/>
      <c r="AA520" s="12"/>
      <c r="AB520" s="12"/>
      <c r="AC520" t="s">
        <v>2125</v>
      </c>
      <c r="AD520" t="str">
        <f>SUBSTITUTE(Master_Reference[[#This Row],[C-Flex 4000K Eco Part Number]],"40-","xx-")</f>
        <v/>
      </c>
      <c r="AE520" t="str">
        <f>SUBSTITUTE(Master_Reference[[#This Row],[C-Flex 4000K 3W Part Number]],"40-","xx-")</f>
        <v/>
      </c>
      <c r="AF520" s="1" t="str">
        <f>_xlfn.IFNA(VLOOKUP(Master_Reference[[#This Row],[C-Flex 3000K Eco Part Number]],Lutron_CFlex_Lookup[],MATCH("Lutron Kit PN",Lutron_CFlex_Lookup[#Headers],0),FALSE),"")</f>
        <v/>
      </c>
      <c r="AG520" s="1" t="str">
        <f>_xlfn.IFNA(VLOOKUP(Master_Reference[[#This Row],[C-Flex 3500K Eco Part Number]],Lutron_CFlex_Lookup[],MATCH("Lutron Kit PN",Lutron_CFlex_Lookup[#Headers],0),FALSE),"")</f>
        <v/>
      </c>
      <c r="AH520" s="1" t="str">
        <f>_xlfn.IFNA(VLOOKUP(Master_Reference[[#This Row],[C-Flex 4000K Eco Part Number]],Lutron_CFlex_Lookup[],MATCH("Lutron Kit PN",Lutron_CFlex_Lookup[#Headers],0),FALSE),"")</f>
        <v/>
      </c>
      <c r="AI520" s="1" t="str">
        <f>_xlfn.IFNA(VLOOKUP(Master_Reference[[#This Row],[C-Flex 5000K Eco Part Number]],Lutron_CFlex_Lookup[],MATCH("Lutron Kit PN",Lutron_CFlex_Lookup[#Headers],0),FALSE),"")</f>
        <v/>
      </c>
      <c r="AJ520" s="1" t="str">
        <f>_xlfn.IFNA(VLOOKUP(Master_Reference[[#This Row],[C-Flex 3000K 3W Part Number]],Lutron_CFlex_Lookup[],MATCH("Lutron Kit PN",Lutron_CFlex_Lookup[#Headers],0),FALSE),"")</f>
        <v/>
      </c>
      <c r="AK520" s="1" t="str">
        <f>_xlfn.IFNA(VLOOKUP(Master_Reference[[#This Row],[C-Flex 3500K 3W Part Number]],Lutron_CFlex_Lookup[],MATCH("Lutron Kit PN",Lutron_CFlex_Lookup[#Headers],0),FALSE),"")</f>
        <v/>
      </c>
      <c r="AL520" s="1" t="str">
        <f>_xlfn.IFNA(VLOOKUP(Master_Reference[[#This Row],[C-Flex 4000K 3W Part Number]],Lutron_CFlex_Lookup[],MATCH("Lutron Kit PN",Lutron_CFlex_Lookup[#Headers],0),FALSE),"")</f>
        <v/>
      </c>
      <c r="AM520" s="1" t="str">
        <f>_xlfn.IFNA(VLOOKUP(Master_Reference[[#This Row],[C-Flex 5000K 3W Part Number]],Lutron_CFlex_Lookup[],MATCH("Lutron Kit PN",Lutron_CFlex_Lookup[#Headers],0),FALSE),"")</f>
        <v/>
      </c>
      <c r="AN520" s="1" t="b">
        <f>NOT(ISNA(VLOOKUP(Master_Reference[[#This Row],[Model Number]],ObsoleteModels[],1,FALSE)))</f>
        <v>1</v>
      </c>
      <c r="AO520" s="1" t="str">
        <f>IF(LEFT(Master_Reference[[#This Row],[Model Number]],1)="U",LEFT(Master_Reference[[#This Row],[Model Number]],4),LEFT(Master_Reference[[#This Row],[Model Number]],3))</f>
        <v>EHD</v>
      </c>
    </row>
    <row r="521" spans="1:41" x14ac:dyDescent="0.25">
      <c r="A521" s="2" t="s">
        <v>802</v>
      </c>
      <c r="B521" s="1" t="b">
        <v>1</v>
      </c>
      <c r="G521" s="1" t="str">
        <f>IF(OR(LEFT(RIGHT(Master_Reference[[#This Row],[Model Number]],3),1)="C",LEFT(RIGHT(Master_Reference[[#This Row],[Model Number]],4),1)="C"),TRUE,"")</f>
        <v/>
      </c>
      <c r="H521" s="1" t="str">
        <f>IF(LEFT(Master_Reference[[#This Row],[Model Number]],1)="U",TRUE,"")</f>
        <v/>
      </c>
      <c r="I521" s="1" t="str">
        <f>IF(Master_Reference[[#This Row],[Lamp Type]]="T4","",IF(Master_Reference[[#This Row],[Case Type]]="M","",TRUE))</f>
        <v/>
      </c>
      <c r="J521" s="1" t="s">
        <v>111</v>
      </c>
      <c r="K521" s="1">
        <v>32</v>
      </c>
      <c r="L521" s="1" t="s">
        <v>118</v>
      </c>
      <c r="M521" s="1">
        <v>2</v>
      </c>
      <c r="N521" s="1" t="s">
        <v>631</v>
      </c>
      <c r="O521" s="1" t="s">
        <v>632</v>
      </c>
      <c r="Q521" s="1" t="s">
        <v>643</v>
      </c>
      <c r="R521" t="b">
        <f>IF(COUNTBLANK(Master_Reference[[#This Row],[C-Flex 3000K Eco Part Number]:[C-Flex 4000K Eco Part Number]])=3,FALSE,TRUE)</f>
        <v>0</v>
      </c>
      <c r="S521" t="b">
        <f>IF(COUNTBLANK(Master_Reference[[#This Row],[C-Flex 3000K 3W Part Number]:[C-Flex 4000K 3W Part Number]])=3,FALSE,TRUE)</f>
        <v>0</v>
      </c>
      <c r="T521" t="b">
        <f>IF(COUNTBLANK(Master_Reference[[#This Row],[Lutron 3000K Eco Part Number]:[Lutron 4000K Eco Part Number]])=3,FALSE,TRUE)</f>
        <v>0</v>
      </c>
      <c r="U521" t="b">
        <f>IF(COUNTBLANK(Master_Reference[[#This Row],[Lutron 3000K 3W Part Number]:[Lutron 4000K 3W Part Number]])=3,FALSE,TRUE)</f>
        <v>0</v>
      </c>
      <c r="V521" s="12"/>
      <c r="W521" s="12"/>
      <c r="X521" s="12"/>
      <c r="Y521" t="s">
        <v>2125</v>
      </c>
      <c r="Z521" s="12"/>
      <c r="AA521" s="12"/>
      <c r="AB521" s="12"/>
      <c r="AC521" t="s">
        <v>2125</v>
      </c>
      <c r="AD521" t="str">
        <f>SUBSTITUTE(Master_Reference[[#This Row],[C-Flex 4000K Eco Part Number]],"40-","xx-")</f>
        <v/>
      </c>
      <c r="AE521" t="str">
        <f>SUBSTITUTE(Master_Reference[[#This Row],[C-Flex 4000K 3W Part Number]],"40-","xx-")</f>
        <v/>
      </c>
      <c r="AF521" s="1" t="str">
        <f>_xlfn.IFNA(VLOOKUP(Master_Reference[[#This Row],[C-Flex 3000K Eco Part Number]],Lutron_CFlex_Lookup[],MATCH("Lutron Kit PN",Lutron_CFlex_Lookup[#Headers],0),FALSE),"")</f>
        <v/>
      </c>
      <c r="AG521" s="1" t="str">
        <f>_xlfn.IFNA(VLOOKUP(Master_Reference[[#This Row],[C-Flex 3500K Eco Part Number]],Lutron_CFlex_Lookup[],MATCH("Lutron Kit PN",Lutron_CFlex_Lookup[#Headers],0),FALSE),"")</f>
        <v/>
      </c>
      <c r="AH521" s="1" t="str">
        <f>_xlfn.IFNA(VLOOKUP(Master_Reference[[#This Row],[C-Flex 4000K Eco Part Number]],Lutron_CFlex_Lookup[],MATCH("Lutron Kit PN",Lutron_CFlex_Lookup[#Headers],0),FALSE),"")</f>
        <v/>
      </c>
      <c r="AI521" s="1" t="str">
        <f>_xlfn.IFNA(VLOOKUP(Master_Reference[[#This Row],[C-Flex 5000K Eco Part Number]],Lutron_CFlex_Lookup[],MATCH("Lutron Kit PN",Lutron_CFlex_Lookup[#Headers],0),FALSE),"")</f>
        <v/>
      </c>
      <c r="AJ521" s="1" t="str">
        <f>_xlfn.IFNA(VLOOKUP(Master_Reference[[#This Row],[C-Flex 3000K 3W Part Number]],Lutron_CFlex_Lookup[],MATCH("Lutron Kit PN",Lutron_CFlex_Lookup[#Headers],0),FALSE),"")</f>
        <v/>
      </c>
      <c r="AK521" s="1" t="str">
        <f>_xlfn.IFNA(VLOOKUP(Master_Reference[[#This Row],[C-Flex 3500K 3W Part Number]],Lutron_CFlex_Lookup[],MATCH("Lutron Kit PN",Lutron_CFlex_Lookup[#Headers],0),FALSE),"")</f>
        <v/>
      </c>
      <c r="AL521" s="1" t="str">
        <f>_xlfn.IFNA(VLOOKUP(Master_Reference[[#This Row],[C-Flex 4000K 3W Part Number]],Lutron_CFlex_Lookup[],MATCH("Lutron Kit PN",Lutron_CFlex_Lookup[#Headers],0),FALSE),"")</f>
        <v/>
      </c>
      <c r="AM521" s="1" t="str">
        <f>_xlfn.IFNA(VLOOKUP(Master_Reference[[#This Row],[C-Flex 5000K 3W Part Number]],Lutron_CFlex_Lookup[],MATCH("Lutron Kit PN",Lutron_CFlex_Lookup[#Headers],0),FALSE),"")</f>
        <v/>
      </c>
      <c r="AN521" s="1" t="b">
        <f>NOT(ISNA(VLOOKUP(Master_Reference[[#This Row],[Model Number]],ObsoleteModels[],1,FALSE)))</f>
        <v>1</v>
      </c>
      <c r="AO521" s="1" t="str">
        <f>IF(LEFT(Master_Reference[[#This Row],[Model Number]],1)="U",LEFT(Master_Reference[[#This Row],[Model Number]],4),LEFT(Master_Reference[[#This Row],[Model Number]],3))</f>
        <v>EHD</v>
      </c>
    </row>
    <row r="522" spans="1:41" x14ac:dyDescent="0.25">
      <c r="A522" s="2" t="s">
        <v>803</v>
      </c>
      <c r="B522" s="1" t="b">
        <v>1</v>
      </c>
      <c r="G522" s="1" t="str">
        <f>IF(OR(LEFT(RIGHT(Master_Reference[[#This Row],[Model Number]],3),1)="C",LEFT(RIGHT(Master_Reference[[#This Row],[Model Number]],4),1)="C"),TRUE,"")</f>
        <v/>
      </c>
      <c r="H522" s="1" t="str">
        <f>IF(LEFT(Master_Reference[[#This Row],[Model Number]],1)="U",TRUE,"")</f>
        <v/>
      </c>
      <c r="I522" s="1" t="str">
        <f>IF(Master_Reference[[#This Row],[Lamp Type]]="T4","",IF(Master_Reference[[#This Row],[Case Type]]="M","",TRUE))</f>
        <v/>
      </c>
      <c r="J522" s="1" t="s">
        <v>111</v>
      </c>
      <c r="K522" s="1">
        <v>32</v>
      </c>
      <c r="L522" s="1" t="s">
        <v>118</v>
      </c>
      <c r="M522" s="1">
        <v>1</v>
      </c>
      <c r="N522" s="1" t="s">
        <v>149</v>
      </c>
      <c r="O522" s="1" t="s">
        <v>632</v>
      </c>
      <c r="R522" t="b">
        <f>IF(COUNTBLANK(Master_Reference[[#This Row],[C-Flex 3000K Eco Part Number]:[C-Flex 4000K Eco Part Number]])=3,FALSE,TRUE)</f>
        <v>1</v>
      </c>
      <c r="S522" t="b">
        <f>IF(COUNTBLANK(Master_Reference[[#This Row],[C-Flex 3000K 3W Part Number]:[C-Flex 4000K 3W Part Number]])=3,FALSE,TRUE)</f>
        <v>0</v>
      </c>
      <c r="T522" t="b">
        <f>IF(COUNTBLANK(Master_Reference[[#This Row],[Lutron 3000K Eco Part Number]:[Lutron 4000K Eco Part Number]])=3,FALSE,TRUE)</f>
        <v>1</v>
      </c>
      <c r="U522" t="b">
        <f>IF(COUNTBLANK(Master_Reference[[#This Row],[Lutron 3000K 3W Part Number]:[Lutron 4000K 3W Part Number]])=3,FALSE,TRUE)</f>
        <v>0</v>
      </c>
      <c r="V522" s="12" t="s">
        <v>312</v>
      </c>
      <c r="W522" s="12" t="s">
        <v>313</v>
      </c>
      <c r="X522" s="12" t="s">
        <v>314</v>
      </c>
      <c r="Y522" t="s">
        <v>1744</v>
      </c>
      <c r="Z522" s="12"/>
      <c r="AA522" s="12"/>
      <c r="AB522" s="12"/>
      <c r="AC522" t="s">
        <v>2125</v>
      </c>
      <c r="AD522" t="str">
        <f>SUBSTITUTE(Master_Reference[[#This Row],[C-Flex 4000K Eco Part Number]],"40-","xx-")</f>
        <v>RP-T8-4FT-1L-8xx-E1-M-G2</v>
      </c>
      <c r="AE522" t="str">
        <f>SUBSTITUTE(Master_Reference[[#This Row],[C-Flex 4000K 3W Part Number]],"40-","xx-")</f>
        <v/>
      </c>
      <c r="AF522" s="1" t="str">
        <f>_xlfn.IFNA(VLOOKUP(Master_Reference[[#This Row],[C-Flex 3000K Eco Part Number]],Lutron_CFlex_Lookup[],MATCH("Lutron Kit PN",Lutron_CFlex_Lookup[#Headers],0),FALSE),"")</f>
        <v>ELD4T8-1M30-q</v>
      </c>
      <c r="AG522" s="1" t="str">
        <f>_xlfn.IFNA(VLOOKUP(Master_Reference[[#This Row],[C-Flex 3500K Eco Part Number]],Lutron_CFlex_Lookup[],MATCH("Lutron Kit PN",Lutron_CFlex_Lookup[#Headers],0),FALSE),"")</f>
        <v>ELD4T8-1M35-q</v>
      </c>
      <c r="AH522" s="1" t="str">
        <f>_xlfn.IFNA(VLOOKUP(Master_Reference[[#This Row],[C-Flex 4000K Eco Part Number]],Lutron_CFlex_Lookup[],MATCH("Lutron Kit PN",Lutron_CFlex_Lookup[#Headers],0),FALSE),"")</f>
        <v>ELD4T8-1M40-q</v>
      </c>
      <c r="AI522" s="1" t="str">
        <f>_xlfn.IFNA(VLOOKUP(Master_Reference[[#This Row],[C-Flex 5000K Eco Part Number]],Lutron_CFlex_Lookup[],MATCH("Lutron Kit PN",Lutron_CFlex_Lookup[#Headers],0),FALSE),"")</f>
        <v>ELD4T8-1M50-q</v>
      </c>
      <c r="AJ522" s="1" t="str">
        <f>_xlfn.IFNA(VLOOKUP(Master_Reference[[#This Row],[C-Flex 3000K 3W Part Number]],Lutron_CFlex_Lookup[],MATCH("Lutron Kit PN",Lutron_CFlex_Lookup[#Headers],0),FALSE),"")</f>
        <v/>
      </c>
      <c r="AK522" s="1" t="str">
        <f>_xlfn.IFNA(VLOOKUP(Master_Reference[[#This Row],[C-Flex 3500K 3W Part Number]],Lutron_CFlex_Lookup[],MATCH("Lutron Kit PN",Lutron_CFlex_Lookup[#Headers],0),FALSE),"")</f>
        <v/>
      </c>
      <c r="AL522" s="1" t="str">
        <f>_xlfn.IFNA(VLOOKUP(Master_Reference[[#This Row],[C-Flex 4000K 3W Part Number]],Lutron_CFlex_Lookup[],MATCH("Lutron Kit PN",Lutron_CFlex_Lookup[#Headers],0),FALSE),"")</f>
        <v/>
      </c>
      <c r="AM522" s="1" t="str">
        <f>_xlfn.IFNA(VLOOKUP(Master_Reference[[#This Row],[C-Flex 5000K 3W Part Number]],Lutron_CFlex_Lookup[],MATCH("Lutron Kit PN",Lutron_CFlex_Lookup[#Headers],0),FALSE),"")</f>
        <v/>
      </c>
      <c r="AN522" s="1" t="b">
        <f>NOT(ISNA(VLOOKUP(Master_Reference[[#This Row],[Model Number]],ObsoleteModels[],1,FALSE)))</f>
        <v>1</v>
      </c>
      <c r="AO522" s="1" t="str">
        <f>IF(LEFT(Master_Reference[[#This Row],[Model Number]],1)="U",LEFT(Master_Reference[[#This Row],[Model Number]],4),LEFT(Master_Reference[[#This Row],[Model Number]],3))</f>
        <v>EHD</v>
      </c>
    </row>
    <row r="523" spans="1:41" x14ac:dyDescent="0.25">
      <c r="A523" s="2" t="s">
        <v>804</v>
      </c>
      <c r="B523" s="1" t="b">
        <v>1</v>
      </c>
      <c r="G523" s="1" t="str">
        <f>IF(OR(LEFT(RIGHT(Master_Reference[[#This Row],[Model Number]],3),1)="C",LEFT(RIGHT(Master_Reference[[#This Row],[Model Number]],4),1)="C"),TRUE,"")</f>
        <v/>
      </c>
      <c r="H523" s="1" t="str">
        <f>IF(LEFT(Master_Reference[[#This Row],[Model Number]],1)="U",TRUE,"")</f>
        <v/>
      </c>
      <c r="I523" s="1" t="str">
        <f>IF(Master_Reference[[#This Row],[Lamp Type]]="T4","",IF(Master_Reference[[#This Row],[Case Type]]="M","",TRUE))</f>
        <v/>
      </c>
      <c r="J523" s="1" t="s">
        <v>111</v>
      </c>
      <c r="K523" s="1">
        <v>32</v>
      </c>
      <c r="L523" s="1" t="s">
        <v>118</v>
      </c>
      <c r="M523" s="1">
        <v>1</v>
      </c>
      <c r="N523" s="1" t="s">
        <v>149</v>
      </c>
      <c r="O523" s="1" t="s">
        <v>632</v>
      </c>
      <c r="Q523" s="1" t="s">
        <v>91</v>
      </c>
      <c r="R523" t="b">
        <f>IF(COUNTBLANK(Master_Reference[[#This Row],[C-Flex 3000K Eco Part Number]:[C-Flex 4000K Eco Part Number]])=3,FALSE,TRUE)</f>
        <v>0</v>
      </c>
      <c r="S523" t="b">
        <f>IF(COUNTBLANK(Master_Reference[[#This Row],[C-Flex 3000K 3W Part Number]:[C-Flex 4000K 3W Part Number]])=3,FALSE,TRUE)</f>
        <v>0</v>
      </c>
      <c r="T523" t="b">
        <f>IF(COUNTBLANK(Master_Reference[[#This Row],[Lutron 3000K Eco Part Number]:[Lutron 4000K Eco Part Number]])=3,FALSE,TRUE)</f>
        <v>0</v>
      </c>
      <c r="U523" t="b">
        <f>IF(COUNTBLANK(Master_Reference[[#This Row],[Lutron 3000K 3W Part Number]:[Lutron 4000K 3W Part Number]])=3,FALSE,TRUE)</f>
        <v>0</v>
      </c>
      <c r="V523" s="12"/>
      <c r="W523" s="12"/>
      <c r="X523" s="12"/>
      <c r="Y523" t="s">
        <v>2125</v>
      </c>
      <c r="Z523" s="12"/>
      <c r="AA523" s="12"/>
      <c r="AB523" s="12"/>
      <c r="AC523" t="s">
        <v>2125</v>
      </c>
      <c r="AD523" t="str">
        <f>SUBSTITUTE(Master_Reference[[#This Row],[C-Flex 4000K Eco Part Number]],"40-","xx-")</f>
        <v/>
      </c>
      <c r="AE523" t="str">
        <f>SUBSTITUTE(Master_Reference[[#This Row],[C-Flex 4000K 3W Part Number]],"40-","xx-")</f>
        <v/>
      </c>
      <c r="AF523" s="1" t="str">
        <f>_xlfn.IFNA(VLOOKUP(Master_Reference[[#This Row],[C-Flex 3000K Eco Part Number]],Lutron_CFlex_Lookup[],MATCH("Lutron Kit PN",Lutron_CFlex_Lookup[#Headers],0),FALSE),"")</f>
        <v/>
      </c>
      <c r="AG523" s="1" t="str">
        <f>_xlfn.IFNA(VLOOKUP(Master_Reference[[#This Row],[C-Flex 3500K Eco Part Number]],Lutron_CFlex_Lookup[],MATCH("Lutron Kit PN",Lutron_CFlex_Lookup[#Headers],0),FALSE),"")</f>
        <v/>
      </c>
      <c r="AH523" s="1" t="str">
        <f>_xlfn.IFNA(VLOOKUP(Master_Reference[[#This Row],[C-Flex 4000K Eco Part Number]],Lutron_CFlex_Lookup[],MATCH("Lutron Kit PN",Lutron_CFlex_Lookup[#Headers],0),FALSE),"")</f>
        <v/>
      </c>
      <c r="AI523" s="1" t="str">
        <f>_xlfn.IFNA(VLOOKUP(Master_Reference[[#This Row],[C-Flex 5000K Eco Part Number]],Lutron_CFlex_Lookup[],MATCH("Lutron Kit PN",Lutron_CFlex_Lookup[#Headers],0),FALSE),"")</f>
        <v/>
      </c>
      <c r="AJ523" s="1" t="str">
        <f>_xlfn.IFNA(VLOOKUP(Master_Reference[[#This Row],[C-Flex 3000K 3W Part Number]],Lutron_CFlex_Lookup[],MATCH("Lutron Kit PN",Lutron_CFlex_Lookup[#Headers],0),FALSE),"")</f>
        <v/>
      </c>
      <c r="AK523" s="1" t="str">
        <f>_xlfn.IFNA(VLOOKUP(Master_Reference[[#This Row],[C-Flex 3500K 3W Part Number]],Lutron_CFlex_Lookup[],MATCH("Lutron Kit PN",Lutron_CFlex_Lookup[#Headers],0),FALSE),"")</f>
        <v/>
      </c>
      <c r="AL523" s="1" t="str">
        <f>_xlfn.IFNA(VLOOKUP(Master_Reference[[#This Row],[C-Flex 4000K 3W Part Number]],Lutron_CFlex_Lookup[],MATCH("Lutron Kit PN",Lutron_CFlex_Lookup[#Headers],0),FALSE),"")</f>
        <v/>
      </c>
      <c r="AM523" s="1" t="str">
        <f>_xlfn.IFNA(VLOOKUP(Master_Reference[[#This Row],[C-Flex 5000K 3W Part Number]],Lutron_CFlex_Lookup[],MATCH("Lutron Kit PN",Lutron_CFlex_Lookup[#Headers],0),FALSE),"")</f>
        <v/>
      </c>
      <c r="AN523" s="1" t="b">
        <f>NOT(ISNA(VLOOKUP(Master_Reference[[#This Row],[Model Number]],ObsoleteModels[],1,FALSE)))</f>
        <v>1</v>
      </c>
      <c r="AO523" s="1" t="str">
        <f>IF(LEFT(Master_Reference[[#This Row],[Model Number]],1)="U",LEFT(Master_Reference[[#This Row],[Model Number]],4),LEFT(Master_Reference[[#This Row],[Model Number]],3))</f>
        <v>EHD</v>
      </c>
    </row>
    <row r="524" spans="1:41" x14ac:dyDescent="0.25">
      <c r="A524" s="2" t="s">
        <v>805</v>
      </c>
      <c r="B524" s="1" t="b">
        <v>1</v>
      </c>
      <c r="G524" s="1" t="b">
        <v>1</v>
      </c>
      <c r="H524" s="1" t="str">
        <f>IF(LEFT(Master_Reference[[#This Row],[Model Number]],1)="U",TRUE,"")</f>
        <v/>
      </c>
      <c r="I524" s="1" t="str">
        <f>IF(Master_Reference[[#This Row],[Lamp Type]]="T4","",IF(Master_Reference[[#This Row],[Case Type]]="M","",TRUE))</f>
        <v/>
      </c>
      <c r="J524" s="1" t="s">
        <v>111</v>
      </c>
      <c r="K524" s="1">
        <v>32</v>
      </c>
      <c r="L524" s="1" t="s">
        <v>118</v>
      </c>
      <c r="M524" s="1">
        <v>1</v>
      </c>
      <c r="N524" s="1" t="s">
        <v>149</v>
      </c>
      <c r="O524" s="1" t="s">
        <v>632</v>
      </c>
      <c r="R524" t="b">
        <f>IF(COUNTBLANK(Master_Reference[[#This Row],[C-Flex 3000K Eco Part Number]:[C-Flex 4000K Eco Part Number]])=3,FALSE,TRUE)</f>
        <v>1</v>
      </c>
      <c r="S524" t="b">
        <f>IF(COUNTBLANK(Master_Reference[[#This Row],[C-Flex 3000K 3W Part Number]:[C-Flex 4000K 3W Part Number]])=3,FALSE,TRUE)</f>
        <v>0</v>
      </c>
      <c r="T524" t="b">
        <f>IF(COUNTBLANK(Master_Reference[[#This Row],[Lutron 3000K Eco Part Number]:[Lutron 4000K Eco Part Number]])=3,FALSE,TRUE)</f>
        <v>1</v>
      </c>
      <c r="U524" t="b">
        <f>IF(COUNTBLANK(Master_Reference[[#This Row],[Lutron 3000K 3W Part Number]:[Lutron 4000K 3W Part Number]])=3,FALSE,TRUE)</f>
        <v>0</v>
      </c>
      <c r="V524" s="12" t="s">
        <v>312</v>
      </c>
      <c r="W524" s="12" t="s">
        <v>313</v>
      </c>
      <c r="X524" s="12" t="s">
        <v>314</v>
      </c>
      <c r="Y524" t="s">
        <v>1744</v>
      </c>
      <c r="Z524" s="12"/>
      <c r="AA524" s="12"/>
      <c r="AB524" s="12"/>
      <c r="AC524" t="s">
        <v>2125</v>
      </c>
      <c r="AD524" t="str">
        <f>SUBSTITUTE(Master_Reference[[#This Row],[C-Flex 4000K Eco Part Number]],"40-","xx-")</f>
        <v>RP-T8-4FT-1L-8xx-E1-M-G2</v>
      </c>
      <c r="AE524" t="str">
        <f>SUBSTITUTE(Master_Reference[[#This Row],[C-Flex 4000K 3W Part Number]],"40-","xx-")</f>
        <v/>
      </c>
      <c r="AF524" s="1" t="str">
        <f>_xlfn.IFNA(VLOOKUP(Master_Reference[[#This Row],[C-Flex 3000K Eco Part Number]],Lutron_CFlex_Lookup[],MATCH("Lutron Kit PN",Lutron_CFlex_Lookup[#Headers],0),FALSE),"")</f>
        <v>ELD4T8-1M30-q</v>
      </c>
      <c r="AG524" s="1" t="str">
        <f>_xlfn.IFNA(VLOOKUP(Master_Reference[[#This Row],[C-Flex 3500K Eco Part Number]],Lutron_CFlex_Lookup[],MATCH("Lutron Kit PN",Lutron_CFlex_Lookup[#Headers],0),FALSE),"")</f>
        <v>ELD4T8-1M35-q</v>
      </c>
      <c r="AH524" s="1" t="str">
        <f>_xlfn.IFNA(VLOOKUP(Master_Reference[[#This Row],[C-Flex 4000K Eco Part Number]],Lutron_CFlex_Lookup[],MATCH("Lutron Kit PN",Lutron_CFlex_Lookup[#Headers],0),FALSE),"")</f>
        <v>ELD4T8-1M40-q</v>
      </c>
      <c r="AI524" s="1" t="str">
        <f>_xlfn.IFNA(VLOOKUP(Master_Reference[[#This Row],[C-Flex 5000K Eco Part Number]],Lutron_CFlex_Lookup[],MATCH("Lutron Kit PN",Lutron_CFlex_Lookup[#Headers],0),FALSE),"")</f>
        <v>ELD4T8-1M50-q</v>
      </c>
      <c r="AJ524" s="1" t="str">
        <f>_xlfn.IFNA(VLOOKUP(Master_Reference[[#This Row],[C-Flex 3000K 3W Part Number]],Lutron_CFlex_Lookup[],MATCH("Lutron Kit PN",Lutron_CFlex_Lookup[#Headers],0),FALSE),"")</f>
        <v/>
      </c>
      <c r="AK524" s="1" t="str">
        <f>_xlfn.IFNA(VLOOKUP(Master_Reference[[#This Row],[C-Flex 3500K 3W Part Number]],Lutron_CFlex_Lookup[],MATCH("Lutron Kit PN",Lutron_CFlex_Lookup[#Headers],0),FALSE),"")</f>
        <v/>
      </c>
      <c r="AL524" s="1" t="str">
        <f>_xlfn.IFNA(VLOOKUP(Master_Reference[[#This Row],[C-Flex 4000K 3W Part Number]],Lutron_CFlex_Lookup[],MATCH("Lutron Kit PN",Lutron_CFlex_Lookup[#Headers],0),FALSE),"")</f>
        <v/>
      </c>
      <c r="AM524" s="1" t="str">
        <f>_xlfn.IFNA(VLOOKUP(Master_Reference[[#This Row],[C-Flex 5000K 3W Part Number]],Lutron_CFlex_Lookup[],MATCH("Lutron Kit PN",Lutron_CFlex_Lookup[#Headers],0),FALSE),"")</f>
        <v/>
      </c>
      <c r="AN524" s="1" t="b">
        <f>NOT(ISNA(VLOOKUP(Master_Reference[[#This Row],[Model Number]],ObsoleteModels[],1,FALSE)))</f>
        <v>1</v>
      </c>
      <c r="AO524" s="1" t="str">
        <f>IF(LEFT(Master_Reference[[#This Row],[Model Number]],1)="U",LEFT(Master_Reference[[#This Row],[Model Number]],4),LEFT(Master_Reference[[#This Row],[Model Number]],3))</f>
        <v>EHD</v>
      </c>
    </row>
    <row r="525" spans="1:41" x14ac:dyDescent="0.25">
      <c r="A525" s="2" t="s">
        <v>806</v>
      </c>
      <c r="B525" s="1" t="b">
        <v>1</v>
      </c>
      <c r="G525" s="1" t="b">
        <f>IF(OR(LEFT(RIGHT(Master_Reference[[#This Row],[Model Number]],3),1)="C",LEFT(RIGHT(Master_Reference[[#This Row],[Model Number]],4),1)="C"),TRUE,"")</f>
        <v>1</v>
      </c>
      <c r="H525" s="1" t="str">
        <f>IF(LEFT(Master_Reference[[#This Row],[Model Number]],1)="U",TRUE,"")</f>
        <v/>
      </c>
      <c r="I525" s="1" t="str">
        <f>IF(Master_Reference[[#This Row],[Lamp Type]]="T4","",IF(Master_Reference[[#This Row],[Case Type]]="M","",TRUE))</f>
        <v/>
      </c>
      <c r="J525" s="1" t="s">
        <v>111</v>
      </c>
      <c r="K525" s="1">
        <v>32</v>
      </c>
      <c r="L525" s="1" t="s">
        <v>118</v>
      </c>
      <c r="M525" s="1">
        <v>1</v>
      </c>
      <c r="N525" s="1" t="s">
        <v>149</v>
      </c>
      <c r="O525" s="1" t="s">
        <v>632</v>
      </c>
      <c r="R525" t="b">
        <f>IF(COUNTBLANK(Master_Reference[[#This Row],[C-Flex 3000K Eco Part Number]:[C-Flex 4000K Eco Part Number]])=3,FALSE,TRUE)</f>
        <v>1</v>
      </c>
      <c r="S525" t="b">
        <f>IF(COUNTBLANK(Master_Reference[[#This Row],[C-Flex 3000K 3W Part Number]:[C-Flex 4000K 3W Part Number]])=3,FALSE,TRUE)</f>
        <v>0</v>
      </c>
      <c r="T525" t="b">
        <f>IF(COUNTBLANK(Master_Reference[[#This Row],[Lutron 3000K Eco Part Number]:[Lutron 4000K Eco Part Number]])=3,FALSE,TRUE)</f>
        <v>1</v>
      </c>
      <c r="U525" t="b">
        <f>IF(COUNTBLANK(Master_Reference[[#This Row],[Lutron 3000K 3W Part Number]:[Lutron 4000K 3W Part Number]])=3,FALSE,TRUE)</f>
        <v>0</v>
      </c>
      <c r="V525" s="12" t="s">
        <v>312</v>
      </c>
      <c r="W525" s="12" t="s">
        <v>313</v>
      </c>
      <c r="X525" s="12" t="s">
        <v>314</v>
      </c>
      <c r="Y525" t="s">
        <v>1744</v>
      </c>
      <c r="Z525" s="12"/>
      <c r="AA525" s="12"/>
      <c r="AB525" s="12"/>
      <c r="AC525" t="s">
        <v>2125</v>
      </c>
      <c r="AD525" t="str">
        <f>SUBSTITUTE(Master_Reference[[#This Row],[C-Flex 4000K Eco Part Number]],"40-","xx-")</f>
        <v>RP-T8-4FT-1L-8xx-E1-M-G2</v>
      </c>
      <c r="AE525" t="str">
        <f>SUBSTITUTE(Master_Reference[[#This Row],[C-Flex 4000K 3W Part Number]],"40-","xx-")</f>
        <v/>
      </c>
      <c r="AF525" s="1" t="str">
        <f>_xlfn.IFNA(VLOOKUP(Master_Reference[[#This Row],[C-Flex 3000K Eco Part Number]],Lutron_CFlex_Lookup[],MATCH("Lutron Kit PN",Lutron_CFlex_Lookup[#Headers],0),FALSE),"")</f>
        <v>ELD4T8-1M30-q</v>
      </c>
      <c r="AG525" s="1" t="str">
        <f>_xlfn.IFNA(VLOOKUP(Master_Reference[[#This Row],[C-Flex 3500K Eco Part Number]],Lutron_CFlex_Lookup[],MATCH("Lutron Kit PN",Lutron_CFlex_Lookup[#Headers],0),FALSE),"")</f>
        <v>ELD4T8-1M35-q</v>
      </c>
      <c r="AH525" s="1" t="str">
        <f>_xlfn.IFNA(VLOOKUP(Master_Reference[[#This Row],[C-Flex 4000K Eco Part Number]],Lutron_CFlex_Lookup[],MATCH("Lutron Kit PN",Lutron_CFlex_Lookup[#Headers],0),FALSE),"")</f>
        <v>ELD4T8-1M40-q</v>
      </c>
      <c r="AI525" s="1" t="str">
        <f>_xlfn.IFNA(VLOOKUP(Master_Reference[[#This Row],[C-Flex 5000K Eco Part Number]],Lutron_CFlex_Lookup[],MATCH("Lutron Kit PN",Lutron_CFlex_Lookup[#Headers],0),FALSE),"")</f>
        <v>ELD4T8-1M50-q</v>
      </c>
      <c r="AJ525" s="1" t="str">
        <f>_xlfn.IFNA(VLOOKUP(Master_Reference[[#This Row],[C-Flex 3000K 3W Part Number]],Lutron_CFlex_Lookup[],MATCH("Lutron Kit PN",Lutron_CFlex_Lookup[#Headers],0),FALSE),"")</f>
        <v/>
      </c>
      <c r="AK525" s="1" t="str">
        <f>_xlfn.IFNA(VLOOKUP(Master_Reference[[#This Row],[C-Flex 3500K 3W Part Number]],Lutron_CFlex_Lookup[],MATCH("Lutron Kit PN",Lutron_CFlex_Lookup[#Headers],0),FALSE),"")</f>
        <v/>
      </c>
      <c r="AL525" s="1" t="str">
        <f>_xlfn.IFNA(VLOOKUP(Master_Reference[[#This Row],[C-Flex 4000K 3W Part Number]],Lutron_CFlex_Lookup[],MATCH("Lutron Kit PN",Lutron_CFlex_Lookup[#Headers],0),FALSE),"")</f>
        <v/>
      </c>
      <c r="AM525" s="1" t="str">
        <f>_xlfn.IFNA(VLOOKUP(Master_Reference[[#This Row],[C-Flex 5000K 3W Part Number]],Lutron_CFlex_Lookup[],MATCH("Lutron Kit PN",Lutron_CFlex_Lookup[#Headers],0),FALSE),"")</f>
        <v/>
      </c>
      <c r="AN525" s="1" t="b">
        <f>NOT(ISNA(VLOOKUP(Master_Reference[[#This Row],[Model Number]],ObsoleteModels[],1,FALSE)))</f>
        <v>1</v>
      </c>
      <c r="AO525" s="1" t="str">
        <f>IF(LEFT(Master_Reference[[#This Row],[Model Number]],1)="U",LEFT(Master_Reference[[#This Row],[Model Number]],4),LEFT(Master_Reference[[#This Row],[Model Number]],3))</f>
        <v>EHD</v>
      </c>
    </row>
    <row r="526" spans="1:41" x14ac:dyDescent="0.25">
      <c r="A526" s="2" t="s">
        <v>807</v>
      </c>
      <c r="B526" s="1" t="b">
        <v>1</v>
      </c>
      <c r="G526" s="1" t="b">
        <f>IF(OR(LEFT(RIGHT(Master_Reference[[#This Row],[Model Number]],3),1)="C",LEFT(RIGHT(Master_Reference[[#This Row],[Model Number]],4),1)="C"),TRUE,"")</f>
        <v>1</v>
      </c>
      <c r="H526" s="1" t="str">
        <f>IF(LEFT(Master_Reference[[#This Row],[Model Number]],1)="U",TRUE,"")</f>
        <v/>
      </c>
      <c r="I526" s="1" t="str">
        <f>IF(Master_Reference[[#This Row],[Lamp Type]]="T4","",IF(Master_Reference[[#This Row],[Case Type]]="M","",TRUE))</f>
        <v/>
      </c>
      <c r="J526" s="1" t="s">
        <v>111</v>
      </c>
      <c r="K526" s="1">
        <v>32</v>
      </c>
      <c r="L526" s="1" t="s">
        <v>118</v>
      </c>
      <c r="M526" s="1">
        <v>1</v>
      </c>
      <c r="N526" s="1" t="s">
        <v>149</v>
      </c>
      <c r="O526" s="1" t="s">
        <v>632</v>
      </c>
      <c r="R526" t="b">
        <f>IF(COUNTBLANK(Master_Reference[[#This Row],[C-Flex 3000K Eco Part Number]:[C-Flex 4000K Eco Part Number]])=3,FALSE,TRUE)</f>
        <v>1</v>
      </c>
      <c r="S526" t="b">
        <f>IF(COUNTBLANK(Master_Reference[[#This Row],[C-Flex 3000K 3W Part Number]:[C-Flex 4000K 3W Part Number]])=3,FALSE,TRUE)</f>
        <v>0</v>
      </c>
      <c r="T526" t="b">
        <f>IF(COUNTBLANK(Master_Reference[[#This Row],[Lutron 3000K Eco Part Number]:[Lutron 4000K Eco Part Number]])=3,FALSE,TRUE)</f>
        <v>1</v>
      </c>
      <c r="U526" t="b">
        <f>IF(COUNTBLANK(Master_Reference[[#This Row],[Lutron 3000K 3W Part Number]:[Lutron 4000K 3W Part Number]])=3,FALSE,TRUE)</f>
        <v>0</v>
      </c>
      <c r="V526" s="12" t="s">
        <v>312</v>
      </c>
      <c r="W526" s="12" t="s">
        <v>313</v>
      </c>
      <c r="X526" s="12" t="s">
        <v>314</v>
      </c>
      <c r="Y526" t="s">
        <v>1744</v>
      </c>
      <c r="Z526" s="12"/>
      <c r="AA526" s="12"/>
      <c r="AB526" s="12"/>
      <c r="AC526" t="s">
        <v>2125</v>
      </c>
      <c r="AD526" t="str">
        <f>SUBSTITUTE(Master_Reference[[#This Row],[C-Flex 4000K Eco Part Number]],"40-","xx-")</f>
        <v>RP-T8-4FT-1L-8xx-E1-M-G2</v>
      </c>
      <c r="AE526" t="str">
        <f>SUBSTITUTE(Master_Reference[[#This Row],[C-Flex 4000K 3W Part Number]],"40-","xx-")</f>
        <v/>
      </c>
      <c r="AF526" s="1" t="str">
        <f>_xlfn.IFNA(VLOOKUP(Master_Reference[[#This Row],[C-Flex 3000K Eco Part Number]],Lutron_CFlex_Lookup[],MATCH("Lutron Kit PN",Lutron_CFlex_Lookup[#Headers],0),FALSE),"")</f>
        <v>ELD4T8-1M30-q</v>
      </c>
      <c r="AG526" s="1" t="str">
        <f>_xlfn.IFNA(VLOOKUP(Master_Reference[[#This Row],[C-Flex 3500K Eco Part Number]],Lutron_CFlex_Lookup[],MATCH("Lutron Kit PN",Lutron_CFlex_Lookup[#Headers],0),FALSE),"")</f>
        <v>ELD4T8-1M35-q</v>
      </c>
      <c r="AH526" s="1" t="str">
        <f>_xlfn.IFNA(VLOOKUP(Master_Reference[[#This Row],[C-Flex 4000K Eco Part Number]],Lutron_CFlex_Lookup[],MATCH("Lutron Kit PN",Lutron_CFlex_Lookup[#Headers],0),FALSE),"")</f>
        <v>ELD4T8-1M40-q</v>
      </c>
      <c r="AI526" s="1" t="str">
        <f>_xlfn.IFNA(VLOOKUP(Master_Reference[[#This Row],[C-Flex 5000K Eco Part Number]],Lutron_CFlex_Lookup[],MATCH("Lutron Kit PN",Lutron_CFlex_Lookup[#Headers],0),FALSE),"")</f>
        <v>ELD4T8-1M50-q</v>
      </c>
      <c r="AJ526" s="1" t="str">
        <f>_xlfn.IFNA(VLOOKUP(Master_Reference[[#This Row],[C-Flex 3000K 3W Part Number]],Lutron_CFlex_Lookup[],MATCH("Lutron Kit PN",Lutron_CFlex_Lookup[#Headers],0),FALSE),"")</f>
        <v/>
      </c>
      <c r="AK526" s="1" t="str">
        <f>_xlfn.IFNA(VLOOKUP(Master_Reference[[#This Row],[C-Flex 3500K 3W Part Number]],Lutron_CFlex_Lookup[],MATCH("Lutron Kit PN",Lutron_CFlex_Lookup[#Headers],0),FALSE),"")</f>
        <v/>
      </c>
      <c r="AL526" s="1" t="str">
        <f>_xlfn.IFNA(VLOOKUP(Master_Reference[[#This Row],[C-Flex 4000K 3W Part Number]],Lutron_CFlex_Lookup[],MATCH("Lutron Kit PN",Lutron_CFlex_Lookup[#Headers],0),FALSE),"")</f>
        <v/>
      </c>
      <c r="AM526" s="1" t="str">
        <f>_xlfn.IFNA(VLOOKUP(Master_Reference[[#This Row],[C-Flex 5000K 3W Part Number]],Lutron_CFlex_Lookup[],MATCH("Lutron Kit PN",Lutron_CFlex_Lookup[#Headers],0),FALSE),"")</f>
        <v/>
      </c>
      <c r="AN526" s="1" t="b">
        <f>NOT(ISNA(VLOOKUP(Master_Reference[[#This Row],[Model Number]],ObsoleteModels[],1,FALSE)))</f>
        <v>1</v>
      </c>
      <c r="AO526" s="1" t="str">
        <f>IF(LEFT(Master_Reference[[#This Row],[Model Number]],1)="U",LEFT(Master_Reference[[#This Row],[Model Number]],4),LEFT(Master_Reference[[#This Row],[Model Number]],3))</f>
        <v>EHD</v>
      </c>
    </row>
    <row r="527" spans="1:41" x14ac:dyDescent="0.25">
      <c r="A527" s="2" t="s">
        <v>808</v>
      </c>
      <c r="B527" s="1" t="b">
        <v>1</v>
      </c>
      <c r="G527" s="1" t="b">
        <f>IF(OR(LEFT(RIGHT(Master_Reference[[#This Row],[Model Number]],3),1)="C",LEFT(RIGHT(Master_Reference[[#This Row],[Model Number]],4),1)="C"),TRUE,"")</f>
        <v>1</v>
      </c>
      <c r="H527" s="1" t="str">
        <f>IF(LEFT(Master_Reference[[#This Row],[Model Number]],1)="U",TRUE,"")</f>
        <v/>
      </c>
      <c r="I527" s="1" t="str">
        <f>IF(Master_Reference[[#This Row],[Lamp Type]]="T4","",IF(Master_Reference[[#This Row],[Case Type]]="M","",TRUE))</f>
        <v/>
      </c>
      <c r="J527" s="1" t="s">
        <v>111</v>
      </c>
      <c r="K527" s="1">
        <v>32</v>
      </c>
      <c r="L527" s="1" t="s">
        <v>118</v>
      </c>
      <c r="M527" s="1">
        <v>1</v>
      </c>
      <c r="N527" s="1" t="s">
        <v>149</v>
      </c>
      <c r="O527" s="1" t="s">
        <v>632</v>
      </c>
      <c r="R527" t="b">
        <f>IF(COUNTBLANK(Master_Reference[[#This Row],[C-Flex 3000K Eco Part Number]:[C-Flex 4000K Eco Part Number]])=3,FALSE,TRUE)</f>
        <v>1</v>
      </c>
      <c r="S527" t="b">
        <f>IF(COUNTBLANK(Master_Reference[[#This Row],[C-Flex 3000K 3W Part Number]:[C-Flex 4000K 3W Part Number]])=3,FALSE,TRUE)</f>
        <v>0</v>
      </c>
      <c r="T527" t="b">
        <f>IF(COUNTBLANK(Master_Reference[[#This Row],[Lutron 3000K Eco Part Number]:[Lutron 4000K Eco Part Number]])=3,FALSE,TRUE)</f>
        <v>1</v>
      </c>
      <c r="U527" t="b">
        <f>IF(COUNTBLANK(Master_Reference[[#This Row],[Lutron 3000K 3W Part Number]:[Lutron 4000K 3W Part Number]])=3,FALSE,TRUE)</f>
        <v>0</v>
      </c>
      <c r="V527" s="12" t="s">
        <v>312</v>
      </c>
      <c r="W527" s="12" t="s">
        <v>313</v>
      </c>
      <c r="X527" s="12" t="s">
        <v>314</v>
      </c>
      <c r="Y527" t="s">
        <v>1744</v>
      </c>
      <c r="Z527" s="12"/>
      <c r="AA527" s="12"/>
      <c r="AB527" s="12"/>
      <c r="AC527" t="s">
        <v>2125</v>
      </c>
      <c r="AD527" t="str">
        <f>SUBSTITUTE(Master_Reference[[#This Row],[C-Flex 4000K Eco Part Number]],"40-","xx-")</f>
        <v>RP-T8-4FT-1L-8xx-E1-M-G2</v>
      </c>
      <c r="AE527" t="str">
        <f>SUBSTITUTE(Master_Reference[[#This Row],[C-Flex 4000K 3W Part Number]],"40-","xx-")</f>
        <v/>
      </c>
      <c r="AF527" s="1" t="str">
        <f>_xlfn.IFNA(VLOOKUP(Master_Reference[[#This Row],[C-Flex 3000K Eco Part Number]],Lutron_CFlex_Lookup[],MATCH("Lutron Kit PN",Lutron_CFlex_Lookup[#Headers],0),FALSE),"")</f>
        <v>ELD4T8-1M30-q</v>
      </c>
      <c r="AG527" s="1" t="str">
        <f>_xlfn.IFNA(VLOOKUP(Master_Reference[[#This Row],[C-Flex 3500K Eco Part Number]],Lutron_CFlex_Lookup[],MATCH("Lutron Kit PN",Lutron_CFlex_Lookup[#Headers],0),FALSE),"")</f>
        <v>ELD4T8-1M35-q</v>
      </c>
      <c r="AH527" s="1" t="str">
        <f>_xlfn.IFNA(VLOOKUP(Master_Reference[[#This Row],[C-Flex 4000K Eco Part Number]],Lutron_CFlex_Lookup[],MATCH("Lutron Kit PN",Lutron_CFlex_Lookup[#Headers],0),FALSE),"")</f>
        <v>ELD4T8-1M40-q</v>
      </c>
      <c r="AI527" s="1" t="str">
        <f>_xlfn.IFNA(VLOOKUP(Master_Reference[[#This Row],[C-Flex 5000K Eco Part Number]],Lutron_CFlex_Lookup[],MATCH("Lutron Kit PN",Lutron_CFlex_Lookup[#Headers],0),FALSE),"")</f>
        <v>ELD4T8-1M50-q</v>
      </c>
      <c r="AJ527" s="1" t="str">
        <f>_xlfn.IFNA(VLOOKUP(Master_Reference[[#This Row],[C-Flex 3000K 3W Part Number]],Lutron_CFlex_Lookup[],MATCH("Lutron Kit PN",Lutron_CFlex_Lookup[#Headers],0),FALSE),"")</f>
        <v/>
      </c>
      <c r="AK527" s="1" t="str">
        <f>_xlfn.IFNA(VLOOKUP(Master_Reference[[#This Row],[C-Flex 3500K 3W Part Number]],Lutron_CFlex_Lookup[],MATCH("Lutron Kit PN",Lutron_CFlex_Lookup[#Headers],0),FALSE),"")</f>
        <v/>
      </c>
      <c r="AL527" s="1" t="str">
        <f>_xlfn.IFNA(VLOOKUP(Master_Reference[[#This Row],[C-Flex 4000K 3W Part Number]],Lutron_CFlex_Lookup[],MATCH("Lutron Kit PN",Lutron_CFlex_Lookup[#Headers],0),FALSE),"")</f>
        <v/>
      </c>
      <c r="AM527" s="1" t="str">
        <f>_xlfn.IFNA(VLOOKUP(Master_Reference[[#This Row],[C-Flex 5000K 3W Part Number]],Lutron_CFlex_Lookup[],MATCH("Lutron Kit PN",Lutron_CFlex_Lookup[#Headers],0),FALSE),"")</f>
        <v/>
      </c>
      <c r="AN527" s="1" t="b">
        <f>NOT(ISNA(VLOOKUP(Master_Reference[[#This Row],[Model Number]],ObsoleteModels[],1,FALSE)))</f>
        <v>1</v>
      </c>
      <c r="AO527" s="1" t="str">
        <f>IF(LEFT(Master_Reference[[#This Row],[Model Number]],1)="U",LEFT(Master_Reference[[#This Row],[Model Number]],4),LEFT(Master_Reference[[#This Row],[Model Number]],3))</f>
        <v>EHD</v>
      </c>
    </row>
    <row r="528" spans="1:41" x14ac:dyDescent="0.25">
      <c r="A528" s="2" t="s">
        <v>809</v>
      </c>
      <c r="B528" s="1" t="b">
        <v>1</v>
      </c>
      <c r="G528" s="1" t="b">
        <f>IF(OR(LEFT(RIGHT(Master_Reference[[#This Row],[Model Number]],3),1)="C",LEFT(RIGHT(Master_Reference[[#This Row],[Model Number]],4),1)="C"),TRUE,"")</f>
        <v>1</v>
      </c>
      <c r="H528" s="1" t="str">
        <f>IF(LEFT(Master_Reference[[#This Row],[Model Number]],1)="U",TRUE,"")</f>
        <v/>
      </c>
      <c r="I528" s="1" t="str">
        <f>IF(Master_Reference[[#This Row],[Lamp Type]]="T4","",IF(Master_Reference[[#This Row],[Case Type]]="M","",TRUE))</f>
        <v/>
      </c>
      <c r="J528" s="1" t="s">
        <v>111</v>
      </c>
      <c r="K528" s="1">
        <v>32</v>
      </c>
      <c r="L528" s="1" t="s">
        <v>118</v>
      </c>
      <c r="M528" s="1">
        <v>1</v>
      </c>
      <c r="N528" s="1" t="s">
        <v>149</v>
      </c>
      <c r="O528" s="1" t="s">
        <v>632</v>
      </c>
      <c r="R528" t="b">
        <f>IF(COUNTBLANK(Master_Reference[[#This Row],[C-Flex 3000K Eco Part Number]:[C-Flex 4000K Eco Part Number]])=3,FALSE,TRUE)</f>
        <v>1</v>
      </c>
      <c r="S528" t="b">
        <f>IF(COUNTBLANK(Master_Reference[[#This Row],[C-Flex 3000K 3W Part Number]:[C-Flex 4000K 3W Part Number]])=3,FALSE,TRUE)</f>
        <v>0</v>
      </c>
      <c r="T528" t="b">
        <f>IF(COUNTBLANK(Master_Reference[[#This Row],[Lutron 3000K Eco Part Number]:[Lutron 4000K Eco Part Number]])=3,FALSE,TRUE)</f>
        <v>1</v>
      </c>
      <c r="U528" t="b">
        <f>IF(COUNTBLANK(Master_Reference[[#This Row],[Lutron 3000K 3W Part Number]:[Lutron 4000K 3W Part Number]])=3,FALSE,TRUE)</f>
        <v>0</v>
      </c>
      <c r="V528" s="12" t="s">
        <v>312</v>
      </c>
      <c r="W528" s="12" t="s">
        <v>313</v>
      </c>
      <c r="X528" s="12" t="s">
        <v>314</v>
      </c>
      <c r="Y528" t="s">
        <v>1744</v>
      </c>
      <c r="Z528" s="12"/>
      <c r="AA528" s="12"/>
      <c r="AB528" s="12"/>
      <c r="AC528" t="s">
        <v>2125</v>
      </c>
      <c r="AD528" t="str">
        <f>SUBSTITUTE(Master_Reference[[#This Row],[C-Flex 4000K Eco Part Number]],"40-","xx-")</f>
        <v>RP-T8-4FT-1L-8xx-E1-M-G2</v>
      </c>
      <c r="AE528" t="str">
        <f>SUBSTITUTE(Master_Reference[[#This Row],[C-Flex 4000K 3W Part Number]],"40-","xx-")</f>
        <v/>
      </c>
      <c r="AF528" s="1" t="str">
        <f>_xlfn.IFNA(VLOOKUP(Master_Reference[[#This Row],[C-Flex 3000K Eco Part Number]],Lutron_CFlex_Lookup[],MATCH("Lutron Kit PN",Lutron_CFlex_Lookup[#Headers],0),FALSE),"")</f>
        <v>ELD4T8-1M30-q</v>
      </c>
      <c r="AG528" s="1" t="str">
        <f>_xlfn.IFNA(VLOOKUP(Master_Reference[[#This Row],[C-Flex 3500K Eco Part Number]],Lutron_CFlex_Lookup[],MATCH("Lutron Kit PN",Lutron_CFlex_Lookup[#Headers],0),FALSE),"")</f>
        <v>ELD4T8-1M35-q</v>
      </c>
      <c r="AH528" s="1" t="str">
        <f>_xlfn.IFNA(VLOOKUP(Master_Reference[[#This Row],[C-Flex 4000K Eco Part Number]],Lutron_CFlex_Lookup[],MATCH("Lutron Kit PN",Lutron_CFlex_Lookup[#Headers],0),FALSE),"")</f>
        <v>ELD4T8-1M40-q</v>
      </c>
      <c r="AI528" s="1" t="str">
        <f>_xlfn.IFNA(VLOOKUP(Master_Reference[[#This Row],[C-Flex 5000K Eco Part Number]],Lutron_CFlex_Lookup[],MATCH("Lutron Kit PN",Lutron_CFlex_Lookup[#Headers],0),FALSE),"")</f>
        <v>ELD4T8-1M50-q</v>
      </c>
      <c r="AJ528" s="1" t="str">
        <f>_xlfn.IFNA(VLOOKUP(Master_Reference[[#This Row],[C-Flex 3000K 3W Part Number]],Lutron_CFlex_Lookup[],MATCH("Lutron Kit PN",Lutron_CFlex_Lookup[#Headers],0),FALSE),"")</f>
        <v/>
      </c>
      <c r="AK528" s="1" t="str">
        <f>_xlfn.IFNA(VLOOKUP(Master_Reference[[#This Row],[C-Flex 3500K 3W Part Number]],Lutron_CFlex_Lookup[],MATCH("Lutron Kit PN",Lutron_CFlex_Lookup[#Headers],0),FALSE),"")</f>
        <v/>
      </c>
      <c r="AL528" s="1" t="str">
        <f>_xlfn.IFNA(VLOOKUP(Master_Reference[[#This Row],[C-Flex 4000K 3W Part Number]],Lutron_CFlex_Lookup[],MATCH("Lutron Kit PN",Lutron_CFlex_Lookup[#Headers],0),FALSE),"")</f>
        <v/>
      </c>
      <c r="AM528" s="1" t="str">
        <f>_xlfn.IFNA(VLOOKUP(Master_Reference[[#This Row],[C-Flex 5000K 3W Part Number]],Lutron_CFlex_Lookup[],MATCH("Lutron Kit PN",Lutron_CFlex_Lookup[#Headers],0),FALSE),"")</f>
        <v/>
      </c>
      <c r="AN528" s="1" t="b">
        <f>NOT(ISNA(VLOOKUP(Master_Reference[[#This Row],[Model Number]],ObsoleteModels[],1,FALSE)))</f>
        <v>1</v>
      </c>
      <c r="AO528" s="1" t="str">
        <f>IF(LEFT(Master_Reference[[#This Row],[Model Number]],1)="U",LEFT(Master_Reference[[#This Row],[Model Number]],4),LEFT(Master_Reference[[#This Row],[Model Number]],3))</f>
        <v>EHD</v>
      </c>
    </row>
    <row r="529" spans="1:41" x14ac:dyDescent="0.25">
      <c r="A529" s="2" t="s">
        <v>810</v>
      </c>
      <c r="B529" s="1" t="b">
        <v>1</v>
      </c>
      <c r="G529" s="1" t="b">
        <f>IF(OR(LEFT(RIGHT(Master_Reference[[#This Row],[Model Number]],3),1)="C",LEFT(RIGHT(Master_Reference[[#This Row],[Model Number]],4),1)="C"),TRUE,"")</f>
        <v>1</v>
      </c>
      <c r="H529" s="1" t="str">
        <f>IF(LEFT(Master_Reference[[#This Row],[Model Number]],1)="U",TRUE,"")</f>
        <v/>
      </c>
      <c r="I529" s="1" t="str">
        <f>IF(Master_Reference[[#This Row],[Lamp Type]]="T4","",IF(Master_Reference[[#This Row],[Case Type]]="M","",TRUE))</f>
        <v/>
      </c>
      <c r="J529" s="1" t="s">
        <v>111</v>
      </c>
      <c r="K529" s="1">
        <v>32</v>
      </c>
      <c r="L529" s="1" t="s">
        <v>118</v>
      </c>
      <c r="M529" s="1">
        <v>1</v>
      </c>
      <c r="N529" s="1" t="s">
        <v>149</v>
      </c>
      <c r="O529" s="1" t="s">
        <v>632</v>
      </c>
      <c r="R529" t="b">
        <f>IF(COUNTBLANK(Master_Reference[[#This Row],[C-Flex 3000K Eco Part Number]:[C-Flex 4000K Eco Part Number]])=3,FALSE,TRUE)</f>
        <v>1</v>
      </c>
      <c r="S529" t="b">
        <f>IF(COUNTBLANK(Master_Reference[[#This Row],[C-Flex 3000K 3W Part Number]:[C-Flex 4000K 3W Part Number]])=3,FALSE,TRUE)</f>
        <v>0</v>
      </c>
      <c r="T529" t="b">
        <f>IF(COUNTBLANK(Master_Reference[[#This Row],[Lutron 3000K Eco Part Number]:[Lutron 4000K Eco Part Number]])=3,FALSE,TRUE)</f>
        <v>1</v>
      </c>
      <c r="U529" t="b">
        <f>IF(COUNTBLANK(Master_Reference[[#This Row],[Lutron 3000K 3W Part Number]:[Lutron 4000K 3W Part Number]])=3,FALSE,TRUE)</f>
        <v>0</v>
      </c>
      <c r="V529" s="12" t="s">
        <v>312</v>
      </c>
      <c r="W529" s="12" t="s">
        <v>313</v>
      </c>
      <c r="X529" s="12" t="s">
        <v>314</v>
      </c>
      <c r="Y529" t="s">
        <v>1744</v>
      </c>
      <c r="Z529" s="12"/>
      <c r="AA529" s="12"/>
      <c r="AB529" s="12"/>
      <c r="AC529" t="s">
        <v>2125</v>
      </c>
      <c r="AD529" t="str">
        <f>SUBSTITUTE(Master_Reference[[#This Row],[C-Flex 4000K Eco Part Number]],"40-","xx-")</f>
        <v>RP-T8-4FT-1L-8xx-E1-M-G2</v>
      </c>
      <c r="AE529" t="str">
        <f>SUBSTITUTE(Master_Reference[[#This Row],[C-Flex 4000K 3W Part Number]],"40-","xx-")</f>
        <v/>
      </c>
      <c r="AF529" s="1" t="str">
        <f>_xlfn.IFNA(VLOOKUP(Master_Reference[[#This Row],[C-Flex 3000K Eco Part Number]],Lutron_CFlex_Lookup[],MATCH("Lutron Kit PN",Lutron_CFlex_Lookup[#Headers],0),FALSE),"")</f>
        <v>ELD4T8-1M30-q</v>
      </c>
      <c r="AG529" s="1" t="str">
        <f>_xlfn.IFNA(VLOOKUP(Master_Reference[[#This Row],[C-Flex 3500K Eco Part Number]],Lutron_CFlex_Lookup[],MATCH("Lutron Kit PN",Lutron_CFlex_Lookup[#Headers],0),FALSE),"")</f>
        <v>ELD4T8-1M35-q</v>
      </c>
      <c r="AH529" s="1" t="str">
        <f>_xlfn.IFNA(VLOOKUP(Master_Reference[[#This Row],[C-Flex 4000K Eco Part Number]],Lutron_CFlex_Lookup[],MATCH("Lutron Kit PN",Lutron_CFlex_Lookup[#Headers],0),FALSE),"")</f>
        <v>ELD4T8-1M40-q</v>
      </c>
      <c r="AI529" s="1" t="str">
        <f>_xlfn.IFNA(VLOOKUP(Master_Reference[[#This Row],[C-Flex 5000K Eco Part Number]],Lutron_CFlex_Lookup[],MATCH("Lutron Kit PN",Lutron_CFlex_Lookup[#Headers],0),FALSE),"")</f>
        <v>ELD4T8-1M50-q</v>
      </c>
      <c r="AJ529" s="1" t="str">
        <f>_xlfn.IFNA(VLOOKUP(Master_Reference[[#This Row],[C-Flex 3000K 3W Part Number]],Lutron_CFlex_Lookup[],MATCH("Lutron Kit PN",Lutron_CFlex_Lookup[#Headers],0),FALSE),"")</f>
        <v/>
      </c>
      <c r="AK529" s="1" t="str">
        <f>_xlfn.IFNA(VLOOKUP(Master_Reference[[#This Row],[C-Flex 3500K 3W Part Number]],Lutron_CFlex_Lookup[],MATCH("Lutron Kit PN",Lutron_CFlex_Lookup[#Headers],0),FALSE),"")</f>
        <v/>
      </c>
      <c r="AL529" s="1" t="str">
        <f>_xlfn.IFNA(VLOOKUP(Master_Reference[[#This Row],[C-Flex 4000K 3W Part Number]],Lutron_CFlex_Lookup[],MATCH("Lutron Kit PN",Lutron_CFlex_Lookup[#Headers],0),FALSE),"")</f>
        <v/>
      </c>
      <c r="AM529" s="1" t="str">
        <f>_xlfn.IFNA(VLOOKUP(Master_Reference[[#This Row],[C-Flex 5000K 3W Part Number]],Lutron_CFlex_Lookup[],MATCH("Lutron Kit PN",Lutron_CFlex_Lookup[#Headers],0),FALSE),"")</f>
        <v/>
      </c>
      <c r="AN529" s="1" t="b">
        <f>NOT(ISNA(VLOOKUP(Master_Reference[[#This Row],[Model Number]],ObsoleteModels[],1,FALSE)))</f>
        <v>1</v>
      </c>
      <c r="AO529" s="1" t="str">
        <f>IF(LEFT(Master_Reference[[#This Row],[Model Number]],1)="U",LEFT(Master_Reference[[#This Row],[Model Number]],4),LEFT(Master_Reference[[#This Row],[Model Number]],3))</f>
        <v>EHD</v>
      </c>
    </row>
    <row r="530" spans="1:41" x14ac:dyDescent="0.25">
      <c r="A530" s="2" t="s">
        <v>811</v>
      </c>
      <c r="B530" s="1" t="b">
        <v>1</v>
      </c>
      <c r="G530" s="1" t="b">
        <f>IF(OR(LEFT(RIGHT(Master_Reference[[#This Row],[Model Number]],3),1)="C",LEFT(RIGHT(Master_Reference[[#This Row],[Model Number]],4),1)="C"),TRUE,"")</f>
        <v>1</v>
      </c>
      <c r="H530" s="1" t="str">
        <f>IF(LEFT(Master_Reference[[#This Row],[Model Number]],1)="U",TRUE,"")</f>
        <v/>
      </c>
      <c r="I530" s="1" t="str">
        <f>IF(Master_Reference[[#This Row],[Lamp Type]]="T4","",IF(Master_Reference[[#This Row],[Case Type]]="M","",TRUE))</f>
        <v/>
      </c>
      <c r="J530" s="1" t="s">
        <v>111</v>
      </c>
      <c r="K530" s="1">
        <v>32</v>
      </c>
      <c r="L530" s="1" t="s">
        <v>118</v>
      </c>
      <c r="M530" s="1">
        <v>1</v>
      </c>
      <c r="N530" s="1" t="s">
        <v>149</v>
      </c>
      <c r="O530" s="1" t="s">
        <v>632</v>
      </c>
      <c r="R530" t="b">
        <f>IF(COUNTBLANK(Master_Reference[[#This Row],[C-Flex 3000K Eco Part Number]:[C-Flex 4000K Eco Part Number]])=3,FALSE,TRUE)</f>
        <v>1</v>
      </c>
      <c r="S530" t="b">
        <f>IF(COUNTBLANK(Master_Reference[[#This Row],[C-Flex 3000K 3W Part Number]:[C-Flex 4000K 3W Part Number]])=3,FALSE,TRUE)</f>
        <v>0</v>
      </c>
      <c r="T530" t="b">
        <f>IF(COUNTBLANK(Master_Reference[[#This Row],[Lutron 3000K Eco Part Number]:[Lutron 4000K Eco Part Number]])=3,FALSE,TRUE)</f>
        <v>1</v>
      </c>
      <c r="U530" t="b">
        <f>IF(COUNTBLANK(Master_Reference[[#This Row],[Lutron 3000K 3W Part Number]:[Lutron 4000K 3W Part Number]])=3,FALSE,TRUE)</f>
        <v>0</v>
      </c>
      <c r="V530" s="12" t="s">
        <v>312</v>
      </c>
      <c r="W530" s="12" t="s">
        <v>313</v>
      </c>
      <c r="X530" s="12" t="s">
        <v>314</v>
      </c>
      <c r="Y530" t="s">
        <v>1744</v>
      </c>
      <c r="Z530" s="12"/>
      <c r="AA530" s="12"/>
      <c r="AB530" s="12"/>
      <c r="AC530" t="s">
        <v>2125</v>
      </c>
      <c r="AD530" t="str">
        <f>SUBSTITUTE(Master_Reference[[#This Row],[C-Flex 4000K Eco Part Number]],"40-","xx-")</f>
        <v>RP-T8-4FT-1L-8xx-E1-M-G2</v>
      </c>
      <c r="AE530" t="str">
        <f>SUBSTITUTE(Master_Reference[[#This Row],[C-Flex 4000K 3W Part Number]],"40-","xx-")</f>
        <v/>
      </c>
      <c r="AF530" s="1" t="str">
        <f>_xlfn.IFNA(VLOOKUP(Master_Reference[[#This Row],[C-Flex 3000K Eco Part Number]],Lutron_CFlex_Lookup[],MATCH("Lutron Kit PN",Lutron_CFlex_Lookup[#Headers],0),FALSE),"")</f>
        <v>ELD4T8-1M30-q</v>
      </c>
      <c r="AG530" s="1" t="str">
        <f>_xlfn.IFNA(VLOOKUP(Master_Reference[[#This Row],[C-Flex 3500K Eco Part Number]],Lutron_CFlex_Lookup[],MATCH("Lutron Kit PN",Lutron_CFlex_Lookup[#Headers],0),FALSE),"")</f>
        <v>ELD4T8-1M35-q</v>
      </c>
      <c r="AH530" s="1" t="str">
        <f>_xlfn.IFNA(VLOOKUP(Master_Reference[[#This Row],[C-Flex 4000K Eco Part Number]],Lutron_CFlex_Lookup[],MATCH("Lutron Kit PN",Lutron_CFlex_Lookup[#Headers],0),FALSE),"")</f>
        <v>ELD4T8-1M40-q</v>
      </c>
      <c r="AI530" s="1" t="str">
        <f>_xlfn.IFNA(VLOOKUP(Master_Reference[[#This Row],[C-Flex 5000K Eco Part Number]],Lutron_CFlex_Lookup[],MATCH("Lutron Kit PN",Lutron_CFlex_Lookup[#Headers],0),FALSE),"")</f>
        <v>ELD4T8-1M50-q</v>
      </c>
      <c r="AJ530" s="1" t="str">
        <f>_xlfn.IFNA(VLOOKUP(Master_Reference[[#This Row],[C-Flex 3000K 3W Part Number]],Lutron_CFlex_Lookup[],MATCH("Lutron Kit PN",Lutron_CFlex_Lookup[#Headers],0),FALSE),"")</f>
        <v/>
      </c>
      <c r="AK530" s="1" t="str">
        <f>_xlfn.IFNA(VLOOKUP(Master_Reference[[#This Row],[C-Flex 3500K 3W Part Number]],Lutron_CFlex_Lookup[],MATCH("Lutron Kit PN",Lutron_CFlex_Lookup[#Headers],0),FALSE),"")</f>
        <v/>
      </c>
      <c r="AL530" s="1" t="str">
        <f>_xlfn.IFNA(VLOOKUP(Master_Reference[[#This Row],[C-Flex 4000K 3W Part Number]],Lutron_CFlex_Lookup[],MATCH("Lutron Kit PN",Lutron_CFlex_Lookup[#Headers],0),FALSE),"")</f>
        <v/>
      </c>
      <c r="AM530" s="1" t="str">
        <f>_xlfn.IFNA(VLOOKUP(Master_Reference[[#This Row],[C-Flex 5000K 3W Part Number]],Lutron_CFlex_Lookup[],MATCH("Lutron Kit PN",Lutron_CFlex_Lookup[#Headers],0),FALSE),"")</f>
        <v/>
      </c>
      <c r="AN530" s="1" t="b">
        <f>NOT(ISNA(VLOOKUP(Master_Reference[[#This Row],[Model Number]],ObsoleteModels[],1,FALSE)))</f>
        <v>1</v>
      </c>
      <c r="AO530" s="1" t="str">
        <f>IF(LEFT(Master_Reference[[#This Row],[Model Number]],1)="U",LEFT(Master_Reference[[#This Row],[Model Number]],4),LEFT(Master_Reference[[#This Row],[Model Number]],3))</f>
        <v>EHD</v>
      </c>
    </row>
    <row r="531" spans="1:41" x14ac:dyDescent="0.25">
      <c r="A531" s="2" t="s">
        <v>812</v>
      </c>
      <c r="B531" s="1" t="b">
        <v>1</v>
      </c>
      <c r="G531" s="1" t="b">
        <f>IF(OR(LEFT(RIGHT(Master_Reference[[#This Row],[Model Number]],3),1)="C",LEFT(RIGHT(Master_Reference[[#This Row],[Model Number]],4),1)="C"),TRUE,"")</f>
        <v>1</v>
      </c>
      <c r="H531" s="1" t="str">
        <f>IF(LEFT(Master_Reference[[#This Row],[Model Number]],1)="U",TRUE,"")</f>
        <v/>
      </c>
      <c r="I531" s="1" t="str">
        <f>IF(Master_Reference[[#This Row],[Lamp Type]]="T4","",IF(Master_Reference[[#This Row],[Case Type]]="M","",TRUE))</f>
        <v/>
      </c>
      <c r="J531" s="1" t="s">
        <v>111</v>
      </c>
      <c r="K531" s="1">
        <v>32</v>
      </c>
      <c r="L531" s="1" t="s">
        <v>118</v>
      </c>
      <c r="M531" s="1">
        <v>1</v>
      </c>
      <c r="N531" s="1" t="s">
        <v>149</v>
      </c>
      <c r="O531" s="1" t="s">
        <v>632</v>
      </c>
      <c r="R531" t="b">
        <f>IF(COUNTBLANK(Master_Reference[[#This Row],[C-Flex 3000K Eco Part Number]:[C-Flex 4000K Eco Part Number]])=3,FALSE,TRUE)</f>
        <v>1</v>
      </c>
      <c r="S531" t="b">
        <f>IF(COUNTBLANK(Master_Reference[[#This Row],[C-Flex 3000K 3W Part Number]:[C-Flex 4000K 3W Part Number]])=3,FALSE,TRUE)</f>
        <v>0</v>
      </c>
      <c r="T531" t="b">
        <f>IF(COUNTBLANK(Master_Reference[[#This Row],[Lutron 3000K Eco Part Number]:[Lutron 4000K Eco Part Number]])=3,FALSE,TRUE)</f>
        <v>1</v>
      </c>
      <c r="U531" t="b">
        <f>IF(COUNTBLANK(Master_Reference[[#This Row],[Lutron 3000K 3W Part Number]:[Lutron 4000K 3W Part Number]])=3,FALSE,TRUE)</f>
        <v>0</v>
      </c>
      <c r="V531" s="12" t="s">
        <v>312</v>
      </c>
      <c r="W531" s="12" t="s">
        <v>313</v>
      </c>
      <c r="X531" s="12" t="s">
        <v>314</v>
      </c>
      <c r="Y531" t="s">
        <v>1744</v>
      </c>
      <c r="Z531" s="12"/>
      <c r="AA531" s="12"/>
      <c r="AB531" s="12"/>
      <c r="AC531" t="s">
        <v>2125</v>
      </c>
      <c r="AD531" t="str">
        <f>SUBSTITUTE(Master_Reference[[#This Row],[C-Flex 4000K Eco Part Number]],"40-","xx-")</f>
        <v>RP-T8-4FT-1L-8xx-E1-M-G2</v>
      </c>
      <c r="AE531" t="str">
        <f>SUBSTITUTE(Master_Reference[[#This Row],[C-Flex 4000K 3W Part Number]],"40-","xx-")</f>
        <v/>
      </c>
      <c r="AF531" s="1" t="str">
        <f>_xlfn.IFNA(VLOOKUP(Master_Reference[[#This Row],[C-Flex 3000K Eco Part Number]],Lutron_CFlex_Lookup[],MATCH("Lutron Kit PN",Lutron_CFlex_Lookup[#Headers],0),FALSE),"")</f>
        <v>ELD4T8-1M30-q</v>
      </c>
      <c r="AG531" s="1" t="str">
        <f>_xlfn.IFNA(VLOOKUP(Master_Reference[[#This Row],[C-Flex 3500K Eco Part Number]],Lutron_CFlex_Lookup[],MATCH("Lutron Kit PN",Lutron_CFlex_Lookup[#Headers],0),FALSE),"")</f>
        <v>ELD4T8-1M35-q</v>
      </c>
      <c r="AH531" s="1" t="str">
        <f>_xlfn.IFNA(VLOOKUP(Master_Reference[[#This Row],[C-Flex 4000K Eco Part Number]],Lutron_CFlex_Lookup[],MATCH("Lutron Kit PN",Lutron_CFlex_Lookup[#Headers],0),FALSE),"")</f>
        <v>ELD4T8-1M40-q</v>
      </c>
      <c r="AI531" s="1" t="str">
        <f>_xlfn.IFNA(VLOOKUP(Master_Reference[[#This Row],[C-Flex 5000K Eco Part Number]],Lutron_CFlex_Lookup[],MATCH("Lutron Kit PN",Lutron_CFlex_Lookup[#Headers],0),FALSE),"")</f>
        <v>ELD4T8-1M50-q</v>
      </c>
      <c r="AJ531" s="1" t="str">
        <f>_xlfn.IFNA(VLOOKUP(Master_Reference[[#This Row],[C-Flex 3000K 3W Part Number]],Lutron_CFlex_Lookup[],MATCH("Lutron Kit PN",Lutron_CFlex_Lookup[#Headers],0),FALSE),"")</f>
        <v/>
      </c>
      <c r="AK531" s="1" t="str">
        <f>_xlfn.IFNA(VLOOKUP(Master_Reference[[#This Row],[C-Flex 3500K 3W Part Number]],Lutron_CFlex_Lookup[],MATCH("Lutron Kit PN",Lutron_CFlex_Lookup[#Headers],0),FALSE),"")</f>
        <v/>
      </c>
      <c r="AL531" s="1" t="str">
        <f>_xlfn.IFNA(VLOOKUP(Master_Reference[[#This Row],[C-Flex 4000K 3W Part Number]],Lutron_CFlex_Lookup[],MATCH("Lutron Kit PN",Lutron_CFlex_Lookup[#Headers],0),FALSE),"")</f>
        <v/>
      </c>
      <c r="AM531" s="1" t="str">
        <f>_xlfn.IFNA(VLOOKUP(Master_Reference[[#This Row],[C-Flex 5000K 3W Part Number]],Lutron_CFlex_Lookup[],MATCH("Lutron Kit PN",Lutron_CFlex_Lookup[#Headers],0),FALSE),"")</f>
        <v/>
      </c>
      <c r="AN531" s="1" t="b">
        <f>NOT(ISNA(VLOOKUP(Master_Reference[[#This Row],[Model Number]],ObsoleteModels[],1,FALSE)))</f>
        <v>1</v>
      </c>
      <c r="AO531" s="1" t="str">
        <f>IF(LEFT(Master_Reference[[#This Row],[Model Number]],1)="U",LEFT(Master_Reference[[#This Row],[Model Number]],4),LEFT(Master_Reference[[#This Row],[Model Number]],3))</f>
        <v>EHD</v>
      </c>
    </row>
    <row r="532" spans="1:41" x14ac:dyDescent="0.25">
      <c r="A532" s="2" t="s">
        <v>813</v>
      </c>
      <c r="B532" s="1" t="b">
        <v>1</v>
      </c>
      <c r="G532" s="1" t="b">
        <f>IF(OR(LEFT(RIGHT(Master_Reference[[#This Row],[Model Number]],3),1)="C",LEFT(RIGHT(Master_Reference[[#This Row],[Model Number]],4),1)="C"),TRUE,"")</f>
        <v>1</v>
      </c>
      <c r="H532" s="1" t="str">
        <f>IF(LEFT(Master_Reference[[#This Row],[Model Number]],1)="U",TRUE,"")</f>
        <v/>
      </c>
      <c r="I532" s="1" t="str">
        <f>IF(Master_Reference[[#This Row],[Lamp Type]]="T4","",IF(Master_Reference[[#This Row],[Case Type]]="M","",TRUE))</f>
        <v/>
      </c>
      <c r="J532" s="1" t="s">
        <v>111</v>
      </c>
      <c r="K532" s="1">
        <v>32</v>
      </c>
      <c r="L532" s="1" t="s">
        <v>118</v>
      </c>
      <c r="M532" s="1">
        <v>1</v>
      </c>
      <c r="N532" s="1" t="s">
        <v>149</v>
      </c>
      <c r="O532" s="1" t="s">
        <v>632</v>
      </c>
      <c r="R532" t="b">
        <f>IF(COUNTBLANK(Master_Reference[[#This Row],[C-Flex 3000K Eco Part Number]:[C-Flex 4000K Eco Part Number]])=3,FALSE,TRUE)</f>
        <v>1</v>
      </c>
      <c r="S532" t="b">
        <f>IF(COUNTBLANK(Master_Reference[[#This Row],[C-Flex 3000K 3W Part Number]:[C-Flex 4000K 3W Part Number]])=3,FALSE,TRUE)</f>
        <v>0</v>
      </c>
      <c r="T532" t="b">
        <f>IF(COUNTBLANK(Master_Reference[[#This Row],[Lutron 3000K Eco Part Number]:[Lutron 4000K Eco Part Number]])=3,FALSE,TRUE)</f>
        <v>1</v>
      </c>
      <c r="U532" t="b">
        <f>IF(COUNTBLANK(Master_Reference[[#This Row],[Lutron 3000K 3W Part Number]:[Lutron 4000K 3W Part Number]])=3,FALSE,TRUE)</f>
        <v>0</v>
      </c>
      <c r="V532" s="12" t="s">
        <v>312</v>
      </c>
      <c r="W532" s="12" t="s">
        <v>313</v>
      </c>
      <c r="X532" s="12" t="s">
        <v>314</v>
      </c>
      <c r="Y532" t="s">
        <v>1744</v>
      </c>
      <c r="Z532" s="12"/>
      <c r="AA532" s="12"/>
      <c r="AB532" s="12"/>
      <c r="AC532" t="s">
        <v>2125</v>
      </c>
      <c r="AD532" t="str">
        <f>SUBSTITUTE(Master_Reference[[#This Row],[C-Flex 4000K Eco Part Number]],"40-","xx-")</f>
        <v>RP-T8-4FT-1L-8xx-E1-M-G2</v>
      </c>
      <c r="AE532" t="str">
        <f>SUBSTITUTE(Master_Reference[[#This Row],[C-Flex 4000K 3W Part Number]],"40-","xx-")</f>
        <v/>
      </c>
      <c r="AF532" s="1" t="str">
        <f>_xlfn.IFNA(VLOOKUP(Master_Reference[[#This Row],[C-Flex 3000K Eco Part Number]],Lutron_CFlex_Lookup[],MATCH("Lutron Kit PN",Lutron_CFlex_Lookup[#Headers],0),FALSE),"")</f>
        <v>ELD4T8-1M30-q</v>
      </c>
      <c r="AG532" s="1" t="str">
        <f>_xlfn.IFNA(VLOOKUP(Master_Reference[[#This Row],[C-Flex 3500K Eco Part Number]],Lutron_CFlex_Lookup[],MATCH("Lutron Kit PN",Lutron_CFlex_Lookup[#Headers],0),FALSE),"")</f>
        <v>ELD4T8-1M35-q</v>
      </c>
      <c r="AH532" s="1" t="str">
        <f>_xlfn.IFNA(VLOOKUP(Master_Reference[[#This Row],[C-Flex 4000K Eco Part Number]],Lutron_CFlex_Lookup[],MATCH("Lutron Kit PN",Lutron_CFlex_Lookup[#Headers],0),FALSE),"")</f>
        <v>ELD4T8-1M40-q</v>
      </c>
      <c r="AI532" s="1" t="str">
        <f>_xlfn.IFNA(VLOOKUP(Master_Reference[[#This Row],[C-Flex 5000K Eco Part Number]],Lutron_CFlex_Lookup[],MATCH("Lutron Kit PN",Lutron_CFlex_Lookup[#Headers],0),FALSE),"")</f>
        <v>ELD4T8-1M50-q</v>
      </c>
      <c r="AJ532" s="1" t="str">
        <f>_xlfn.IFNA(VLOOKUP(Master_Reference[[#This Row],[C-Flex 3000K 3W Part Number]],Lutron_CFlex_Lookup[],MATCH("Lutron Kit PN",Lutron_CFlex_Lookup[#Headers],0),FALSE),"")</f>
        <v/>
      </c>
      <c r="AK532" s="1" t="str">
        <f>_xlfn.IFNA(VLOOKUP(Master_Reference[[#This Row],[C-Flex 3500K 3W Part Number]],Lutron_CFlex_Lookup[],MATCH("Lutron Kit PN",Lutron_CFlex_Lookup[#Headers],0),FALSE),"")</f>
        <v/>
      </c>
      <c r="AL532" s="1" t="str">
        <f>_xlfn.IFNA(VLOOKUP(Master_Reference[[#This Row],[C-Flex 4000K 3W Part Number]],Lutron_CFlex_Lookup[],MATCH("Lutron Kit PN",Lutron_CFlex_Lookup[#Headers],0),FALSE),"")</f>
        <v/>
      </c>
      <c r="AM532" s="1" t="str">
        <f>_xlfn.IFNA(VLOOKUP(Master_Reference[[#This Row],[C-Flex 5000K 3W Part Number]],Lutron_CFlex_Lookup[],MATCH("Lutron Kit PN",Lutron_CFlex_Lookup[#Headers],0),FALSE),"")</f>
        <v/>
      </c>
      <c r="AN532" s="1" t="b">
        <f>NOT(ISNA(VLOOKUP(Master_Reference[[#This Row],[Model Number]],ObsoleteModels[],1,FALSE)))</f>
        <v>1</v>
      </c>
      <c r="AO532" s="1" t="str">
        <f>IF(LEFT(Master_Reference[[#This Row],[Model Number]],1)="U",LEFT(Master_Reference[[#This Row],[Model Number]],4),LEFT(Master_Reference[[#This Row],[Model Number]],3))</f>
        <v>EHD</v>
      </c>
    </row>
    <row r="533" spans="1:41" x14ac:dyDescent="0.25">
      <c r="A533" s="2" t="s">
        <v>814</v>
      </c>
      <c r="B533" s="1" t="b">
        <v>1</v>
      </c>
      <c r="G533" s="1" t="b">
        <f>IF(OR(LEFT(RIGHT(Master_Reference[[#This Row],[Model Number]],3),1)="C",LEFT(RIGHT(Master_Reference[[#This Row],[Model Number]],4),1)="C"),TRUE,"")</f>
        <v>1</v>
      </c>
      <c r="H533" s="1" t="str">
        <f>IF(LEFT(Master_Reference[[#This Row],[Model Number]],1)="U",TRUE,"")</f>
        <v/>
      </c>
      <c r="I533" s="1" t="str">
        <f>IF(Master_Reference[[#This Row],[Lamp Type]]="T4","",IF(Master_Reference[[#This Row],[Case Type]]="M","",TRUE))</f>
        <v/>
      </c>
      <c r="J533" s="1" t="s">
        <v>111</v>
      </c>
      <c r="K533" s="1">
        <v>32</v>
      </c>
      <c r="L533" s="1" t="s">
        <v>118</v>
      </c>
      <c r="M533" s="1">
        <v>1</v>
      </c>
      <c r="N533" s="1" t="s">
        <v>149</v>
      </c>
      <c r="O533" s="1" t="s">
        <v>632</v>
      </c>
      <c r="R533" t="b">
        <f>IF(COUNTBLANK(Master_Reference[[#This Row],[C-Flex 3000K Eco Part Number]:[C-Flex 4000K Eco Part Number]])=3,FALSE,TRUE)</f>
        <v>1</v>
      </c>
      <c r="S533" t="b">
        <f>IF(COUNTBLANK(Master_Reference[[#This Row],[C-Flex 3000K 3W Part Number]:[C-Flex 4000K 3W Part Number]])=3,FALSE,TRUE)</f>
        <v>0</v>
      </c>
      <c r="T533" t="b">
        <f>IF(COUNTBLANK(Master_Reference[[#This Row],[Lutron 3000K Eco Part Number]:[Lutron 4000K Eco Part Number]])=3,FALSE,TRUE)</f>
        <v>1</v>
      </c>
      <c r="U533" t="b">
        <f>IF(COUNTBLANK(Master_Reference[[#This Row],[Lutron 3000K 3W Part Number]:[Lutron 4000K 3W Part Number]])=3,FALSE,TRUE)</f>
        <v>0</v>
      </c>
      <c r="V533" s="12" t="s">
        <v>312</v>
      </c>
      <c r="W533" s="12" t="s">
        <v>313</v>
      </c>
      <c r="X533" s="12" t="s">
        <v>314</v>
      </c>
      <c r="Y533" t="s">
        <v>1744</v>
      </c>
      <c r="Z533" s="12"/>
      <c r="AA533" s="12"/>
      <c r="AB533" s="12"/>
      <c r="AC533" t="s">
        <v>2125</v>
      </c>
      <c r="AD533" t="str">
        <f>SUBSTITUTE(Master_Reference[[#This Row],[C-Flex 4000K Eco Part Number]],"40-","xx-")</f>
        <v>RP-T8-4FT-1L-8xx-E1-M-G2</v>
      </c>
      <c r="AE533" t="str">
        <f>SUBSTITUTE(Master_Reference[[#This Row],[C-Flex 4000K 3W Part Number]],"40-","xx-")</f>
        <v/>
      </c>
      <c r="AF533" s="1" t="str">
        <f>_xlfn.IFNA(VLOOKUP(Master_Reference[[#This Row],[C-Flex 3000K Eco Part Number]],Lutron_CFlex_Lookup[],MATCH("Lutron Kit PN",Lutron_CFlex_Lookup[#Headers],0),FALSE),"")</f>
        <v>ELD4T8-1M30-q</v>
      </c>
      <c r="AG533" s="1" t="str">
        <f>_xlfn.IFNA(VLOOKUP(Master_Reference[[#This Row],[C-Flex 3500K Eco Part Number]],Lutron_CFlex_Lookup[],MATCH("Lutron Kit PN",Lutron_CFlex_Lookup[#Headers],0),FALSE),"")</f>
        <v>ELD4T8-1M35-q</v>
      </c>
      <c r="AH533" s="1" t="str">
        <f>_xlfn.IFNA(VLOOKUP(Master_Reference[[#This Row],[C-Flex 4000K Eco Part Number]],Lutron_CFlex_Lookup[],MATCH("Lutron Kit PN",Lutron_CFlex_Lookup[#Headers],0),FALSE),"")</f>
        <v>ELD4T8-1M40-q</v>
      </c>
      <c r="AI533" s="1" t="str">
        <f>_xlfn.IFNA(VLOOKUP(Master_Reference[[#This Row],[C-Flex 5000K Eco Part Number]],Lutron_CFlex_Lookup[],MATCH("Lutron Kit PN",Lutron_CFlex_Lookup[#Headers],0),FALSE),"")</f>
        <v>ELD4T8-1M50-q</v>
      </c>
      <c r="AJ533" s="1" t="str">
        <f>_xlfn.IFNA(VLOOKUP(Master_Reference[[#This Row],[C-Flex 3000K 3W Part Number]],Lutron_CFlex_Lookup[],MATCH("Lutron Kit PN",Lutron_CFlex_Lookup[#Headers],0),FALSE),"")</f>
        <v/>
      </c>
      <c r="AK533" s="1" t="str">
        <f>_xlfn.IFNA(VLOOKUP(Master_Reference[[#This Row],[C-Flex 3500K 3W Part Number]],Lutron_CFlex_Lookup[],MATCH("Lutron Kit PN",Lutron_CFlex_Lookup[#Headers],0),FALSE),"")</f>
        <v/>
      </c>
      <c r="AL533" s="1" t="str">
        <f>_xlfn.IFNA(VLOOKUP(Master_Reference[[#This Row],[C-Flex 4000K 3W Part Number]],Lutron_CFlex_Lookup[],MATCH("Lutron Kit PN",Lutron_CFlex_Lookup[#Headers],0),FALSE),"")</f>
        <v/>
      </c>
      <c r="AM533" s="1" t="str">
        <f>_xlfn.IFNA(VLOOKUP(Master_Reference[[#This Row],[C-Flex 5000K 3W Part Number]],Lutron_CFlex_Lookup[],MATCH("Lutron Kit PN",Lutron_CFlex_Lookup[#Headers],0),FALSE),"")</f>
        <v/>
      </c>
      <c r="AN533" s="1" t="b">
        <f>NOT(ISNA(VLOOKUP(Master_Reference[[#This Row],[Model Number]],ObsoleteModels[],1,FALSE)))</f>
        <v>1</v>
      </c>
      <c r="AO533" s="1" t="str">
        <f>IF(LEFT(Master_Reference[[#This Row],[Model Number]],1)="U",LEFT(Master_Reference[[#This Row],[Model Number]],4),LEFT(Master_Reference[[#This Row],[Model Number]],3))</f>
        <v>EHD</v>
      </c>
    </row>
    <row r="534" spans="1:41" x14ac:dyDescent="0.25">
      <c r="A534" s="2" t="s">
        <v>815</v>
      </c>
      <c r="B534" s="1" t="b">
        <v>1</v>
      </c>
      <c r="G534" s="1" t="str">
        <f>IF(OR(LEFT(RIGHT(Master_Reference[[#This Row],[Model Number]],3),1)="C",LEFT(RIGHT(Master_Reference[[#This Row],[Model Number]],4),1)="C"),TRUE,"")</f>
        <v/>
      </c>
      <c r="H534" s="1" t="str">
        <f>IF(LEFT(Master_Reference[[#This Row],[Model Number]],1)="U",TRUE,"")</f>
        <v/>
      </c>
      <c r="I534" s="1" t="str">
        <f>IF(Master_Reference[[#This Row],[Lamp Type]]="T4","",IF(Master_Reference[[#This Row],[Case Type]]="M","",TRUE))</f>
        <v/>
      </c>
      <c r="J534" s="1" t="s">
        <v>111</v>
      </c>
      <c r="K534" s="1">
        <v>32</v>
      </c>
      <c r="L534" s="1" t="s">
        <v>118</v>
      </c>
      <c r="M534" s="1">
        <v>2</v>
      </c>
      <c r="N534" s="1" t="s">
        <v>149</v>
      </c>
      <c r="O534" s="1" t="s">
        <v>632</v>
      </c>
      <c r="R534" t="b">
        <f>IF(COUNTBLANK(Master_Reference[[#This Row],[C-Flex 3000K Eco Part Number]:[C-Flex 4000K Eco Part Number]])=3,FALSE,TRUE)</f>
        <v>1</v>
      </c>
      <c r="S534" t="b">
        <f>IF(COUNTBLANK(Master_Reference[[#This Row],[C-Flex 3000K 3W Part Number]:[C-Flex 4000K 3W Part Number]])=3,FALSE,TRUE)</f>
        <v>0</v>
      </c>
      <c r="T534" t="b">
        <f>IF(COUNTBLANK(Master_Reference[[#This Row],[Lutron 3000K Eco Part Number]:[Lutron 4000K Eco Part Number]])=3,FALSE,TRUE)</f>
        <v>1</v>
      </c>
      <c r="U534" t="b">
        <f>IF(COUNTBLANK(Master_Reference[[#This Row],[Lutron 3000K 3W Part Number]:[Lutron 4000K 3W Part Number]])=3,FALSE,TRUE)</f>
        <v>0</v>
      </c>
      <c r="V534" s="12" t="s">
        <v>316</v>
      </c>
      <c r="W534" s="12" t="s">
        <v>317</v>
      </c>
      <c r="X534" s="12" t="s">
        <v>318</v>
      </c>
      <c r="Y534" t="s">
        <v>1745</v>
      </c>
      <c r="Z534" s="12"/>
      <c r="AA534" s="12"/>
      <c r="AB534" s="12"/>
      <c r="AC534" t="s">
        <v>2125</v>
      </c>
      <c r="AD534" t="str">
        <f>SUBSTITUTE(Master_Reference[[#This Row],[C-Flex 4000K Eco Part Number]],"40-","xx-")</f>
        <v>RP-T8-4FT-2L-8xx-E1-M-G2</v>
      </c>
      <c r="AE534" t="str">
        <f>SUBSTITUTE(Master_Reference[[#This Row],[C-Flex 4000K 3W Part Number]],"40-","xx-")</f>
        <v/>
      </c>
      <c r="AF534" s="1" t="str">
        <f>_xlfn.IFNA(VLOOKUP(Master_Reference[[#This Row],[C-Flex 3000K Eco Part Number]],Lutron_CFlex_Lookup[],MATCH("Lutron Kit PN",Lutron_CFlex_Lookup[#Headers],0),FALSE),"")</f>
        <v>ELD4T8-2M30-q</v>
      </c>
      <c r="AG534" s="1" t="str">
        <f>_xlfn.IFNA(VLOOKUP(Master_Reference[[#This Row],[C-Flex 3500K Eco Part Number]],Lutron_CFlex_Lookup[],MATCH("Lutron Kit PN",Lutron_CFlex_Lookup[#Headers],0),FALSE),"")</f>
        <v>ELD4T8-2M35-q</v>
      </c>
      <c r="AH534" s="1" t="str">
        <f>_xlfn.IFNA(VLOOKUP(Master_Reference[[#This Row],[C-Flex 4000K Eco Part Number]],Lutron_CFlex_Lookup[],MATCH("Lutron Kit PN",Lutron_CFlex_Lookup[#Headers],0),FALSE),"")</f>
        <v>ELD4T8-2M40-q</v>
      </c>
      <c r="AI534" s="1" t="str">
        <f>_xlfn.IFNA(VLOOKUP(Master_Reference[[#This Row],[C-Flex 5000K Eco Part Number]],Lutron_CFlex_Lookup[],MATCH("Lutron Kit PN",Lutron_CFlex_Lookup[#Headers],0),FALSE),"")</f>
        <v>ELD4T8-2M50-q</v>
      </c>
      <c r="AJ534" s="1" t="str">
        <f>_xlfn.IFNA(VLOOKUP(Master_Reference[[#This Row],[C-Flex 3000K 3W Part Number]],Lutron_CFlex_Lookup[],MATCH("Lutron Kit PN",Lutron_CFlex_Lookup[#Headers],0),FALSE),"")</f>
        <v/>
      </c>
      <c r="AK534" s="1" t="str">
        <f>_xlfn.IFNA(VLOOKUP(Master_Reference[[#This Row],[C-Flex 3500K 3W Part Number]],Lutron_CFlex_Lookup[],MATCH("Lutron Kit PN",Lutron_CFlex_Lookup[#Headers],0),FALSE),"")</f>
        <v/>
      </c>
      <c r="AL534" s="1" t="str">
        <f>_xlfn.IFNA(VLOOKUP(Master_Reference[[#This Row],[C-Flex 4000K 3W Part Number]],Lutron_CFlex_Lookup[],MATCH("Lutron Kit PN",Lutron_CFlex_Lookup[#Headers],0),FALSE),"")</f>
        <v/>
      </c>
      <c r="AM534" s="1" t="str">
        <f>_xlfn.IFNA(VLOOKUP(Master_Reference[[#This Row],[C-Flex 5000K 3W Part Number]],Lutron_CFlex_Lookup[],MATCH("Lutron Kit PN",Lutron_CFlex_Lookup[#Headers],0),FALSE),"")</f>
        <v/>
      </c>
      <c r="AN534" s="1" t="b">
        <f>NOT(ISNA(VLOOKUP(Master_Reference[[#This Row],[Model Number]],ObsoleteModels[],1,FALSE)))</f>
        <v>1</v>
      </c>
      <c r="AO534" s="1" t="str">
        <f>IF(LEFT(Master_Reference[[#This Row],[Model Number]],1)="U",LEFT(Master_Reference[[#This Row],[Model Number]],4),LEFT(Master_Reference[[#This Row],[Model Number]],3))</f>
        <v>EHD</v>
      </c>
    </row>
    <row r="535" spans="1:41" x14ac:dyDescent="0.25">
      <c r="A535" s="2" t="s">
        <v>816</v>
      </c>
      <c r="B535" s="1" t="b">
        <v>1</v>
      </c>
      <c r="G535" s="1" t="str">
        <f>IF(OR(LEFT(RIGHT(Master_Reference[[#This Row],[Model Number]],3),1)="C",LEFT(RIGHT(Master_Reference[[#This Row],[Model Number]],4),1)="C"),TRUE,"")</f>
        <v/>
      </c>
      <c r="H535" s="1" t="str">
        <f>IF(LEFT(Master_Reference[[#This Row],[Model Number]],1)="U",TRUE,"")</f>
        <v/>
      </c>
      <c r="I535" s="1" t="str">
        <f>IF(Master_Reference[[#This Row],[Lamp Type]]="T4","",IF(Master_Reference[[#This Row],[Case Type]]="M","",TRUE))</f>
        <v/>
      </c>
      <c r="J535" s="1" t="s">
        <v>111</v>
      </c>
      <c r="K535" s="1">
        <v>32</v>
      </c>
      <c r="L535" s="1" t="s">
        <v>118</v>
      </c>
      <c r="M535" s="1">
        <v>2</v>
      </c>
      <c r="N535" s="1" t="s">
        <v>149</v>
      </c>
      <c r="O535" s="1" t="s">
        <v>632</v>
      </c>
      <c r="Q535" s="1" t="s">
        <v>91</v>
      </c>
      <c r="R535" t="b">
        <f>IF(COUNTBLANK(Master_Reference[[#This Row],[C-Flex 3000K Eco Part Number]:[C-Flex 4000K Eco Part Number]])=3,FALSE,TRUE)</f>
        <v>0</v>
      </c>
      <c r="S535" t="b">
        <f>IF(COUNTBLANK(Master_Reference[[#This Row],[C-Flex 3000K 3W Part Number]:[C-Flex 4000K 3W Part Number]])=3,FALSE,TRUE)</f>
        <v>0</v>
      </c>
      <c r="T535" t="b">
        <f>IF(COUNTBLANK(Master_Reference[[#This Row],[Lutron 3000K Eco Part Number]:[Lutron 4000K Eco Part Number]])=3,FALSE,TRUE)</f>
        <v>0</v>
      </c>
      <c r="U535" t="b">
        <f>IF(COUNTBLANK(Master_Reference[[#This Row],[Lutron 3000K 3W Part Number]:[Lutron 4000K 3W Part Number]])=3,FALSE,TRUE)</f>
        <v>0</v>
      </c>
      <c r="V535" s="12"/>
      <c r="W535" s="12"/>
      <c r="X535" s="12"/>
      <c r="Y535" t="s">
        <v>2125</v>
      </c>
      <c r="Z535" s="12"/>
      <c r="AA535" s="12"/>
      <c r="AB535" s="12"/>
      <c r="AC535" t="s">
        <v>2125</v>
      </c>
      <c r="AD535" t="str">
        <f>SUBSTITUTE(Master_Reference[[#This Row],[C-Flex 4000K Eco Part Number]],"40-","xx-")</f>
        <v/>
      </c>
      <c r="AE535" t="str">
        <f>SUBSTITUTE(Master_Reference[[#This Row],[C-Flex 4000K 3W Part Number]],"40-","xx-")</f>
        <v/>
      </c>
      <c r="AF535" s="1" t="str">
        <f>_xlfn.IFNA(VLOOKUP(Master_Reference[[#This Row],[C-Flex 3000K Eco Part Number]],Lutron_CFlex_Lookup[],MATCH("Lutron Kit PN",Lutron_CFlex_Lookup[#Headers],0),FALSE),"")</f>
        <v/>
      </c>
      <c r="AG535" s="1" t="str">
        <f>_xlfn.IFNA(VLOOKUP(Master_Reference[[#This Row],[C-Flex 3500K Eco Part Number]],Lutron_CFlex_Lookup[],MATCH("Lutron Kit PN",Lutron_CFlex_Lookup[#Headers],0),FALSE),"")</f>
        <v/>
      </c>
      <c r="AH535" s="1" t="str">
        <f>_xlfn.IFNA(VLOOKUP(Master_Reference[[#This Row],[C-Flex 4000K Eco Part Number]],Lutron_CFlex_Lookup[],MATCH("Lutron Kit PN",Lutron_CFlex_Lookup[#Headers],0),FALSE),"")</f>
        <v/>
      </c>
      <c r="AI535" s="1" t="str">
        <f>_xlfn.IFNA(VLOOKUP(Master_Reference[[#This Row],[C-Flex 5000K Eco Part Number]],Lutron_CFlex_Lookup[],MATCH("Lutron Kit PN",Lutron_CFlex_Lookup[#Headers],0),FALSE),"")</f>
        <v/>
      </c>
      <c r="AJ535" s="1" t="str">
        <f>_xlfn.IFNA(VLOOKUP(Master_Reference[[#This Row],[C-Flex 3000K 3W Part Number]],Lutron_CFlex_Lookup[],MATCH("Lutron Kit PN",Lutron_CFlex_Lookup[#Headers],0),FALSE),"")</f>
        <v/>
      </c>
      <c r="AK535" s="1" t="str">
        <f>_xlfn.IFNA(VLOOKUP(Master_Reference[[#This Row],[C-Flex 3500K 3W Part Number]],Lutron_CFlex_Lookup[],MATCH("Lutron Kit PN",Lutron_CFlex_Lookup[#Headers],0),FALSE),"")</f>
        <v/>
      </c>
      <c r="AL535" s="1" t="str">
        <f>_xlfn.IFNA(VLOOKUP(Master_Reference[[#This Row],[C-Flex 4000K 3W Part Number]],Lutron_CFlex_Lookup[],MATCH("Lutron Kit PN",Lutron_CFlex_Lookup[#Headers],0),FALSE),"")</f>
        <v/>
      </c>
      <c r="AM535" s="1" t="str">
        <f>_xlfn.IFNA(VLOOKUP(Master_Reference[[#This Row],[C-Flex 5000K 3W Part Number]],Lutron_CFlex_Lookup[],MATCH("Lutron Kit PN",Lutron_CFlex_Lookup[#Headers],0),FALSE),"")</f>
        <v/>
      </c>
      <c r="AN535" s="1" t="b">
        <f>NOT(ISNA(VLOOKUP(Master_Reference[[#This Row],[Model Number]],ObsoleteModels[],1,FALSE)))</f>
        <v>1</v>
      </c>
      <c r="AO535" s="1" t="str">
        <f>IF(LEFT(Master_Reference[[#This Row],[Model Number]],1)="U",LEFT(Master_Reference[[#This Row],[Model Number]],4),LEFT(Master_Reference[[#This Row],[Model Number]],3))</f>
        <v>EHD</v>
      </c>
    </row>
    <row r="536" spans="1:41" x14ac:dyDescent="0.25">
      <c r="A536" s="2" t="s">
        <v>817</v>
      </c>
      <c r="B536" s="1" t="b">
        <v>1</v>
      </c>
      <c r="G536" s="1" t="b">
        <v>1</v>
      </c>
      <c r="H536" s="1" t="str">
        <f>IF(LEFT(Master_Reference[[#This Row],[Model Number]],1)="U",TRUE,"")</f>
        <v/>
      </c>
      <c r="I536" s="1" t="str">
        <f>IF(Master_Reference[[#This Row],[Lamp Type]]="T4","",IF(Master_Reference[[#This Row],[Case Type]]="M","",TRUE))</f>
        <v/>
      </c>
      <c r="J536" s="1" t="s">
        <v>111</v>
      </c>
      <c r="K536" s="1">
        <v>32</v>
      </c>
      <c r="L536" s="1" t="s">
        <v>118</v>
      </c>
      <c r="M536" s="1">
        <v>2</v>
      </c>
      <c r="N536" s="1" t="s">
        <v>149</v>
      </c>
      <c r="O536" s="1" t="s">
        <v>632</v>
      </c>
      <c r="R536" t="b">
        <f>IF(COUNTBLANK(Master_Reference[[#This Row],[C-Flex 3000K Eco Part Number]:[C-Flex 4000K Eco Part Number]])=3,FALSE,TRUE)</f>
        <v>1</v>
      </c>
      <c r="S536" t="b">
        <f>IF(COUNTBLANK(Master_Reference[[#This Row],[C-Flex 3000K 3W Part Number]:[C-Flex 4000K 3W Part Number]])=3,FALSE,TRUE)</f>
        <v>0</v>
      </c>
      <c r="T536" t="b">
        <f>IF(COUNTBLANK(Master_Reference[[#This Row],[Lutron 3000K Eco Part Number]:[Lutron 4000K Eco Part Number]])=3,FALSE,TRUE)</f>
        <v>1</v>
      </c>
      <c r="U536" t="b">
        <f>IF(COUNTBLANK(Master_Reference[[#This Row],[Lutron 3000K 3W Part Number]:[Lutron 4000K 3W Part Number]])=3,FALSE,TRUE)</f>
        <v>0</v>
      </c>
      <c r="V536" s="12" t="s">
        <v>316</v>
      </c>
      <c r="W536" s="12" t="s">
        <v>317</v>
      </c>
      <c r="X536" s="12" t="s">
        <v>318</v>
      </c>
      <c r="Y536" t="s">
        <v>1745</v>
      </c>
      <c r="Z536" s="12"/>
      <c r="AA536" s="12"/>
      <c r="AB536" s="12"/>
      <c r="AC536" t="s">
        <v>2125</v>
      </c>
      <c r="AD536" t="str">
        <f>SUBSTITUTE(Master_Reference[[#This Row],[C-Flex 4000K Eco Part Number]],"40-","xx-")</f>
        <v>RP-T8-4FT-2L-8xx-E1-M-G2</v>
      </c>
      <c r="AE536" t="str">
        <f>SUBSTITUTE(Master_Reference[[#This Row],[C-Flex 4000K 3W Part Number]],"40-","xx-")</f>
        <v/>
      </c>
      <c r="AF536" s="1" t="str">
        <f>_xlfn.IFNA(VLOOKUP(Master_Reference[[#This Row],[C-Flex 3000K Eco Part Number]],Lutron_CFlex_Lookup[],MATCH("Lutron Kit PN",Lutron_CFlex_Lookup[#Headers],0),FALSE),"")</f>
        <v>ELD4T8-2M30-q</v>
      </c>
      <c r="AG536" s="1" t="str">
        <f>_xlfn.IFNA(VLOOKUP(Master_Reference[[#This Row],[C-Flex 3500K Eco Part Number]],Lutron_CFlex_Lookup[],MATCH("Lutron Kit PN",Lutron_CFlex_Lookup[#Headers],0),FALSE),"")</f>
        <v>ELD4T8-2M35-q</v>
      </c>
      <c r="AH536" s="1" t="str">
        <f>_xlfn.IFNA(VLOOKUP(Master_Reference[[#This Row],[C-Flex 4000K Eco Part Number]],Lutron_CFlex_Lookup[],MATCH("Lutron Kit PN",Lutron_CFlex_Lookup[#Headers],0),FALSE),"")</f>
        <v>ELD4T8-2M40-q</v>
      </c>
      <c r="AI536" s="1" t="str">
        <f>_xlfn.IFNA(VLOOKUP(Master_Reference[[#This Row],[C-Flex 5000K Eco Part Number]],Lutron_CFlex_Lookup[],MATCH("Lutron Kit PN",Lutron_CFlex_Lookup[#Headers],0),FALSE),"")</f>
        <v>ELD4T8-2M50-q</v>
      </c>
      <c r="AJ536" s="1" t="str">
        <f>_xlfn.IFNA(VLOOKUP(Master_Reference[[#This Row],[C-Flex 3000K 3W Part Number]],Lutron_CFlex_Lookup[],MATCH("Lutron Kit PN",Lutron_CFlex_Lookup[#Headers],0),FALSE),"")</f>
        <v/>
      </c>
      <c r="AK536" s="1" t="str">
        <f>_xlfn.IFNA(VLOOKUP(Master_Reference[[#This Row],[C-Flex 3500K 3W Part Number]],Lutron_CFlex_Lookup[],MATCH("Lutron Kit PN",Lutron_CFlex_Lookup[#Headers],0),FALSE),"")</f>
        <v/>
      </c>
      <c r="AL536" s="1" t="str">
        <f>_xlfn.IFNA(VLOOKUP(Master_Reference[[#This Row],[C-Flex 4000K 3W Part Number]],Lutron_CFlex_Lookup[],MATCH("Lutron Kit PN",Lutron_CFlex_Lookup[#Headers],0),FALSE),"")</f>
        <v/>
      </c>
      <c r="AM536" s="1" t="str">
        <f>_xlfn.IFNA(VLOOKUP(Master_Reference[[#This Row],[C-Flex 5000K 3W Part Number]],Lutron_CFlex_Lookup[],MATCH("Lutron Kit PN",Lutron_CFlex_Lookup[#Headers],0),FALSE),"")</f>
        <v/>
      </c>
      <c r="AN536" s="1" t="b">
        <f>NOT(ISNA(VLOOKUP(Master_Reference[[#This Row],[Model Number]],ObsoleteModels[],1,FALSE)))</f>
        <v>1</v>
      </c>
      <c r="AO536" s="1" t="str">
        <f>IF(LEFT(Master_Reference[[#This Row],[Model Number]],1)="U",LEFT(Master_Reference[[#This Row],[Model Number]],4),LEFT(Master_Reference[[#This Row],[Model Number]],3))</f>
        <v>EHD</v>
      </c>
    </row>
    <row r="537" spans="1:41" x14ac:dyDescent="0.25">
      <c r="A537" s="2" t="s">
        <v>818</v>
      </c>
      <c r="B537" s="1" t="b">
        <v>1</v>
      </c>
      <c r="G537" s="1" t="str">
        <f>IF(OR(LEFT(RIGHT(Master_Reference[[#This Row],[Model Number]],3),1)="C",LEFT(RIGHT(Master_Reference[[#This Row],[Model Number]],4),1)="C"),TRUE,"")</f>
        <v/>
      </c>
      <c r="H537" s="1" t="str">
        <f>IF(LEFT(Master_Reference[[#This Row],[Model Number]],1)="U",TRUE,"")</f>
        <v/>
      </c>
      <c r="I537" s="1" t="str">
        <f>IF(Master_Reference[[#This Row],[Lamp Type]]="T4","",IF(Master_Reference[[#This Row],[Case Type]]="M","",TRUE))</f>
        <v/>
      </c>
      <c r="J537" s="1" t="s">
        <v>111</v>
      </c>
      <c r="K537" s="1">
        <v>32</v>
      </c>
      <c r="L537" s="1" t="s">
        <v>118</v>
      </c>
      <c r="M537" s="1">
        <v>2</v>
      </c>
      <c r="N537" s="1" t="s">
        <v>149</v>
      </c>
      <c r="O537" s="1" t="s">
        <v>632</v>
      </c>
      <c r="Q537" s="1" t="s">
        <v>91</v>
      </c>
      <c r="R537" t="b">
        <f>IF(COUNTBLANK(Master_Reference[[#This Row],[C-Flex 3000K Eco Part Number]:[C-Flex 4000K Eco Part Number]])=3,FALSE,TRUE)</f>
        <v>0</v>
      </c>
      <c r="S537" t="b">
        <f>IF(COUNTBLANK(Master_Reference[[#This Row],[C-Flex 3000K 3W Part Number]:[C-Flex 4000K 3W Part Number]])=3,FALSE,TRUE)</f>
        <v>0</v>
      </c>
      <c r="T537" t="b">
        <f>IF(COUNTBLANK(Master_Reference[[#This Row],[Lutron 3000K Eco Part Number]:[Lutron 4000K Eco Part Number]])=3,FALSE,TRUE)</f>
        <v>0</v>
      </c>
      <c r="U537" t="b">
        <f>IF(COUNTBLANK(Master_Reference[[#This Row],[Lutron 3000K 3W Part Number]:[Lutron 4000K 3W Part Number]])=3,FALSE,TRUE)</f>
        <v>0</v>
      </c>
      <c r="V537" s="12"/>
      <c r="W537" s="12"/>
      <c r="X537" s="12"/>
      <c r="Y537" t="s">
        <v>2125</v>
      </c>
      <c r="Z537" s="12"/>
      <c r="AA537" s="12"/>
      <c r="AB537" s="12"/>
      <c r="AC537" t="s">
        <v>2125</v>
      </c>
      <c r="AD537" t="str">
        <f>SUBSTITUTE(Master_Reference[[#This Row],[C-Flex 4000K Eco Part Number]],"40-","xx-")</f>
        <v/>
      </c>
      <c r="AE537" t="str">
        <f>SUBSTITUTE(Master_Reference[[#This Row],[C-Flex 4000K 3W Part Number]],"40-","xx-")</f>
        <v/>
      </c>
      <c r="AF537" s="1" t="str">
        <f>_xlfn.IFNA(VLOOKUP(Master_Reference[[#This Row],[C-Flex 3000K Eco Part Number]],Lutron_CFlex_Lookup[],MATCH("Lutron Kit PN",Lutron_CFlex_Lookup[#Headers],0),FALSE),"")</f>
        <v/>
      </c>
      <c r="AG537" s="1" t="str">
        <f>_xlfn.IFNA(VLOOKUP(Master_Reference[[#This Row],[C-Flex 3500K Eco Part Number]],Lutron_CFlex_Lookup[],MATCH("Lutron Kit PN",Lutron_CFlex_Lookup[#Headers],0),FALSE),"")</f>
        <v/>
      </c>
      <c r="AH537" s="1" t="str">
        <f>_xlfn.IFNA(VLOOKUP(Master_Reference[[#This Row],[C-Flex 4000K Eco Part Number]],Lutron_CFlex_Lookup[],MATCH("Lutron Kit PN",Lutron_CFlex_Lookup[#Headers],0),FALSE),"")</f>
        <v/>
      </c>
      <c r="AI537" s="1" t="str">
        <f>_xlfn.IFNA(VLOOKUP(Master_Reference[[#This Row],[C-Flex 5000K Eco Part Number]],Lutron_CFlex_Lookup[],MATCH("Lutron Kit PN",Lutron_CFlex_Lookup[#Headers],0),FALSE),"")</f>
        <v/>
      </c>
      <c r="AJ537" s="1" t="str">
        <f>_xlfn.IFNA(VLOOKUP(Master_Reference[[#This Row],[C-Flex 3000K 3W Part Number]],Lutron_CFlex_Lookup[],MATCH("Lutron Kit PN",Lutron_CFlex_Lookup[#Headers],0),FALSE),"")</f>
        <v/>
      </c>
      <c r="AK537" s="1" t="str">
        <f>_xlfn.IFNA(VLOOKUP(Master_Reference[[#This Row],[C-Flex 3500K 3W Part Number]],Lutron_CFlex_Lookup[],MATCH("Lutron Kit PN",Lutron_CFlex_Lookup[#Headers],0),FALSE),"")</f>
        <v/>
      </c>
      <c r="AL537" s="1" t="str">
        <f>_xlfn.IFNA(VLOOKUP(Master_Reference[[#This Row],[C-Flex 4000K 3W Part Number]],Lutron_CFlex_Lookup[],MATCH("Lutron Kit PN",Lutron_CFlex_Lookup[#Headers],0),FALSE),"")</f>
        <v/>
      </c>
      <c r="AM537" s="1" t="str">
        <f>_xlfn.IFNA(VLOOKUP(Master_Reference[[#This Row],[C-Flex 5000K 3W Part Number]],Lutron_CFlex_Lookup[],MATCH("Lutron Kit PN",Lutron_CFlex_Lookup[#Headers],0),FALSE),"")</f>
        <v/>
      </c>
      <c r="AN537" s="1" t="b">
        <f>NOT(ISNA(VLOOKUP(Master_Reference[[#This Row],[Model Number]],ObsoleteModels[],1,FALSE)))</f>
        <v>1</v>
      </c>
      <c r="AO537" s="1" t="str">
        <f>IF(LEFT(Master_Reference[[#This Row],[Model Number]],1)="U",LEFT(Master_Reference[[#This Row],[Model Number]],4),LEFT(Master_Reference[[#This Row],[Model Number]],3))</f>
        <v>EHD</v>
      </c>
    </row>
    <row r="538" spans="1:41" x14ac:dyDescent="0.25">
      <c r="A538" s="2" t="s">
        <v>819</v>
      </c>
      <c r="B538" s="1" t="b">
        <v>1</v>
      </c>
      <c r="G538" s="1" t="b">
        <f>IF(OR(LEFT(RIGHT(Master_Reference[[#This Row],[Model Number]],3),1)="C",LEFT(RIGHT(Master_Reference[[#This Row],[Model Number]],4),1)="C"),TRUE,"")</f>
        <v>1</v>
      </c>
      <c r="H538" s="1" t="str">
        <f>IF(LEFT(Master_Reference[[#This Row],[Model Number]],1)="U",TRUE,"")</f>
        <v/>
      </c>
      <c r="I538" s="1" t="str">
        <f>IF(Master_Reference[[#This Row],[Lamp Type]]="T4","",IF(Master_Reference[[#This Row],[Case Type]]="M","",TRUE))</f>
        <v/>
      </c>
      <c r="J538" s="1" t="s">
        <v>111</v>
      </c>
      <c r="K538" s="1">
        <v>32</v>
      </c>
      <c r="L538" s="1" t="s">
        <v>118</v>
      </c>
      <c r="M538" s="1">
        <v>2</v>
      </c>
      <c r="N538" s="1" t="s">
        <v>149</v>
      </c>
      <c r="O538" s="1" t="s">
        <v>632</v>
      </c>
      <c r="R538" t="b">
        <f>IF(COUNTBLANK(Master_Reference[[#This Row],[C-Flex 3000K Eco Part Number]:[C-Flex 4000K Eco Part Number]])=3,FALSE,TRUE)</f>
        <v>1</v>
      </c>
      <c r="S538" t="b">
        <f>IF(COUNTBLANK(Master_Reference[[#This Row],[C-Flex 3000K 3W Part Number]:[C-Flex 4000K 3W Part Number]])=3,FALSE,TRUE)</f>
        <v>0</v>
      </c>
      <c r="T538" t="b">
        <f>IF(COUNTBLANK(Master_Reference[[#This Row],[Lutron 3000K Eco Part Number]:[Lutron 4000K Eco Part Number]])=3,FALSE,TRUE)</f>
        <v>1</v>
      </c>
      <c r="U538" t="b">
        <f>IF(COUNTBLANK(Master_Reference[[#This Row],[Lutron 3000K 3W Part Number]:[Lutron 4000K 3W Part Number]])=3,FALSE,TRUE)</f>
        <v>0</v>
      </c>
      <c r="V538" s="12" t="s">
        <v>316</v>
      </c>
      <c r="W538" s="12" t="s">
        <v>317</v>
      </c>
      <c r="X538" s="12" t="s">
        <v>318</v>
      </c>
      <c r="Y538" t="s">
        <v>1745</v>
      </c>
      <c r="Z538" s="12"/>
      <c r="AA538" s="12"/>
      <c r="AB538" s="12"/>
      <c r="AC538" t="s">
        <v>2125</v>
      </c>
      <c r="AD538" t="str">
        <f>SUBSTITUTE(Master_Reference[[#This Row],[C-Flex 4000K Eco Part Number]],"40-","xx-")</f>
        <v>RP-T8-4FT-2L-8xx-E1-M-G2</v>
      </c>
      <c r="AE538" t="str">
        <f>SUBSTITUTE(Master_Reference[[#This Row],[C-Flex 4000K 3W Part Number]],"40-","xx-")</f>
        <v/>
      </c>
      <c r="AF538" s="1" t="str">
        <f>_xlfn.IFNA(VLOOKUP(Master_Reference[[#This Row],[C-Flex 3000K Eco Part Number]],Lutron_CFlex_Lookup[],MATCH("Lutron Kit PN",Lutron_CFlex_Lookup[#Headers],0),FALSE),"")</f>
        <v>ELD4T8-2M30-q</v>
      </c>
      <c r="AG538" s="1" t="str">
        <f>_xlfn.IFNA(VLOOKUP(Master_Reference[[#This Row],[C-Flex 3500K Eco Part Number]],Lutron_CFlex_Lookup[],MATCH("Lutron Kit PN",Lutron_CFlex_Lookup[#Headers],0),FALSE),"")</f>
        <v>ELD4T8-2M35-q</v>
      </c>
      <c r="AH538" s="1" t="str">
        <f>_xlfn.IFNA(VLOOKUP(Master_Reference[[#This Row],[C-Flex 4000K Eco Part Number]],Lutron_CFlex_Lookup[],MATCH("Lutron Kit PN",Lutron_CFlex_Lookup[#Headers],0),FALSE),"")</f>
        <v>ELD4T8-2M40-q</v>
      </c>
      <c r="AI538" s="1" t="str">
        <f>_xlfn.IFNA(VLOOKUP(Master_Reference[[#This Row],[C-Flex 5000K Eco Part Number]],Lutron_CFlex_Lookup[],MATCH("Lutron Kit PN",Lutron_CFlex_Lookup[#Headers],0),FALSE),"")</f>
        <v>ELD4T8-2M50-q</v>
      </c>
      <c r="AJ538" s="1" t="str">
        <f>_xlfn.IFNA(VLOOKUP(Master_Reference[[#This Row],[C-Flex 3000K 3W Part Number]],Lutron_CFlex_Lookup[],MATCH("Lutron Kit PN",Lutron_CFlex_Lookup[#Headers],0),FALSE),"")</f>
        <v/>
      </c>
      <c r="AK538" s="1" t="str">
        <f>_xlfn.IFNA(VLOOKUP(Master_Reference[[#This Row],[C-Flex 3500K 3W Part Number]],Lutron_CFlex_Lookup[],MATCH("Lutron Kit PN",Lutron_CFlex_Lookup[#Headers],0),FALSE),"")</f>
        <v/>
      </c>
      <c r="AL538" s="1" t="str">
        <f>_xlfn.IFNA(VLOOKUP(Master_Reference[[#This Row],[C-Flex 4000K 3W Part Number]],Lutron_CFlex_Lookup[],MATCH("Lutron Kit PN",Lutron_CFlex_Lookup[#Headers],0),FALSE),"")</f>
        <v/>
      </c>
      <c r="AM538" s="1" t="str">
        <f>_xlfn.IFNA(VLOOKUP(Master_Reference[[#This Row],[C-Flex 5000K 3W Part Number]],Lutron_CFlex_Lookup[],MATCH("Lutron Kit PN",Lutron_CFlex_Lookup[#Headers],0),FALSE),"")</f>
        <v/>
      </c>
      <c r="AN538" s="1" t="b">
        <f>NOT(ISNA(VLOOKUP(Master_Reference[[#This Row],[Model Number]],ObsoleteModels[],1,FALSE)))</f>
        <v>1</v>
      </c>
      <c r="AO538" s="1" t="str">
        <f>IF(LEFT(Master_Reference[[#This Row],[Model Number]],1)="U",LEFT(Master_Reference[[#This Row],[Model Number]],4),LEFT(Master_Reference[[#This Row],[Model Number]],3))</f>
        <v>EHD</v>
      </c>
    </row>
    <row r="539" spans="1:41" x14ac:dyDescent="0.25">
      <c r="A539" s="2" t="s">
        <v>820</v>
      </c>
      <c r="B539" s="1" t="b">
        <v>1</v>
      </c>
      <c r="G539" s="1" t="b">
        <f>IF(OR(LEFT(RIGHT(Master_Reference[[#This Row],[Model Number]],3),1)="C",LEFT(RIGHT(Master_Reference[[#This Row],[Model Number]],4),1)="C"),TRUE,"")</f>
        <v>1</v>
      </c>
      <c r="H539" s="1" t="str">
        <f>IF(LEFT(Master_Reference[[#This Row],[Model Number]],1)="U",TRUE,"")</f>
        <v/>
      </c>
      <c r="I539" s="1" t="str">
        <f>IF(Master_Reference[[#This Row],[Lamp Type]]="T4","",IF(Master_Reference[[#This Row],[Case Type]]="M","",TRUE))</f>
        <v/>
      </c>
      <c r="J539" s="1" t="s">
        <v>111</v>
      </c>
      <c r="K539" s="1">
        <v>32</v>
      </c>
      <c r="L539" s="1" t="s">
        <v>118</v>
      </c>
      <c r="M539" s="1">
        <v>2</v>
      </c>
      <c r="N539" s="1" t="s">
        <v>149</v>
      </c>
      <c r="O539" s="1" t="s">
        <v>632</v>
      </c>
      <c r="R539" t="b">
        <f>IF(COUNTBLANK(Master_Reference[[#This Row],[C-Flex 3000K Eco Part Number]:[C-Flex 4000K Eco Part Number]])=3,FALSE,TRUE)</f>
        <v>1</v>
      </c>
      <c r="S539" t="b">
        <f>IF(COUNTBLANK(Master_Reference[[#This Row],[C-Flex 3000K 3W Part Number]:[C-Flex 4000K 3W Part Number]])=3,FALSE,TRUE)</f>
        <v>0</v>
      </c>
      <c r="T539" t="b">
        <f>IF(COUNTBLANK(Master_Reference[[#This Row],[Lutron 3000K Eco Part Number]:[Lutron 4000K Eco Part Number]])=3,FALSE,TRUE)</f>
        <v>1</v>
      </c>
      <c r="U539" t="b">
        <f>IF(COUNTBLANK(Master_Reference[[#This Row],[Lutron 3000K 3W Part Number]:[Lutron 4000K 3W Part Number]])=3,FALSE,TRUE)</f>
        <v>0</v>
      </c>
      <c r="V539" s="12" t="s">
        <v>316</v>
      </c>
      <c r="W539" s="12" t="s">
        <v>317</v>
      </c>
      <c r="X539" s="12" t="s">
        <v>318</v>
      </c>
      <c r="Y539" t="s">
        <v>1745</v>
      </c>
      <c r="Z539" s="12"/>
      <c r="AA539" s="12"/>
      <c r="AB539" s="12"/>
      <c r="AC539" t="s">
        <v>2125</v>
      </c>
      <c r="AD539" t="str">
        <f>SUBSTITUTE(Master_Reference[[#This Row],[C-Flex 4000K Eco Part Number]],"40-","xx-")</f>
        <v>RP-T8-4FT-2L-8xx-E1-M-G2</v>
      </c>
      <c r="AE539" t="str">
        <f>SUBSTITUTE(Master_Reference[[#This Row],[C-Flex 4000K 3W Part Number]],"40-","xx-")</f>
        <v/>
      </c>
      <c r="AF539" s="1" t="str">
        <f>_xlfn.IFNA(VLOOKUP(Master_Reference[[#This Row],[C-Flex 3000K Eco Part Number]],Lutron_CFlex_Lookup[],MATCH("Lutron Kit PN",Lutron_CFlex_Lookup[#Headers],0),FALSE),"")</f>
        <v>ELD4T8-2M30-q</v>
      </c>
      <c r="AG539" s="1" t="str">
        <f>_xlfn.IFNA(VLOOKUP(Master_Reference[[#This Row],[C-Flex 3500K Eco Part Number]],Lutron_CFlex_Lookup[],MATCH("Lutron Kit PN",Lutron_CFlex_Lookup[#Headers],0),FALSE),"")</f>
        <v>ELD4T8-2M35-q</v>
      </c>
      <c r="AH539" s="1" t="str">
        <f>_xlfn.IFNA(VLOOKUP(Master_Reference[[#This Row],[C-Flex 4000K Eco Part Number]],Lutron_CFlex_Lookup[],MATCH("Lutron Kit PN",Lutron_CFlex_Lookup[#Headers],0),FALSE),"")</f>
        <v>ELD4T8-2M40-q</v>
      </c>
      <c r="AI539" s="1" t="str">
        <f>_xlfn.IFNA(VLOOKUP(Master_Reference[[#This Row],[C-Flex 5000K Eco Part Number]],Lutron_CFlex_Lookup[],MATCH("Lutron Kit PN",Lutron_CFlex_Lookup[#Headers],0),FALSE),"")</f>
        <v>ELD4T8-2M50-q</v>
      </c>
      <c r="AJ539" s="1" t="str">
        <f>_xlfn.IFNA(VLOOKUP(Master_Reference[[#This Row],[C-Flex 3000K 3W Part Number]],Lutron_CFlex_Lookup[],MATCH("Lutron Kit PN",Lutron_CFlex_Lookup[#Headers],0),FALSE),"")</f>
        <v/>
      </c>
      <c r="AK539" s="1" t="str">
        <f>_xlfn.IFNA(VLOOKUP(Master_Reference[[#This Row],[C-Flex 3500K 3W Part Number]],Lutron_CFlex_Lookup[],MATCH("Lutron Kit PN",Lutron_CFlex_Lookup[#Headers],0),FALSE),"")</f>
        <v/>
      </c>
      <c r="AL539" s="1" t="str">
        <f>_xlfn.IFNA(VLOOKUP(Master_Reference[[#This Row],[C-Flex 4000K 3W Part Number]],Lutron_CFlex_Lookup[],MATCH("Lutron Kit PN",Lutron_CFlex_Lookup[#Headers],0),FALSE),"")</f>
        <v/>
      </c>
      <c r="AM539" s="1" t="str">
        <f>_xlfn.IFNA(VLOOKUP(Master_Reference[[#This Row],[C-Flex 5000K 3W Part Number]],Lutron_CFlex_Lookup[],MATCH("Lutron Kit PN",Lutron_CFlex_Lookup[#Headers],0),FALSE),"")</f>
        <v/>
      </c>
      <c r="AN539" s="1" t="b">
        <f>NOT(ISNA(VLOOKUP(Master_Reference[[#This Row],[Model Number]],ObsoleteModels[],1,FALSE)))</f>
        <v>1</v>
      </c>
      <c r="AO539" s="1" t="str">
        <f>IF(LEFT(Master_Reference[[#This Row],[Model Number]],1)="U",LEFT(Master_Reference[[#This Row],[Model Number]],4),LEFT(Master_Reference[[#This Row],[Model Number]],3))</f>
        <v>EHD</v>
      </c>
    </row>
    <row r="540" spans="1:41" x14ac:dyDescent="0.25">
      <c r="A540" s="2" t="s">
        <v>821</v>
      </c>
      <c r="B540" s="1" t="b">
        <v>1</v>
      </c>
      <c r="G540" s="1" t="b">
        <f>IF(OR(LEFT(RIGHT(Master_Reference[[#This Row],[Model Number]],3),1)="C",LEFT(RIGHT(Master_Reference[[#This Row],[Model Number]],4),1)="C"),TRUE,"")</f>
        <v>1</v>
      </c>
      <c r="H540" s="1" t="str">
        <f>IF(LEFT(Master_Reference[[#This Row],[Model Number]],1)="U",TRUE,"")</f>
        <v/>
      </c>
      <c r="I540" s="1" t="str">
        <f>IF(Master_Reference[[#This Row],[Lamp Type]]="T4","",IF(Master_Reference[[#This Row],[Case Type]]="M","",TRUE))</f>
        <v/>
      </c>
      <c r="J540" s="1" t="s">
        <v>111</v>
      </c>
      <c r="K540" s="1">
        <v>32</v>
      </c>
      <c r="L540" s="1" t="s">
        <v>118</v>
      </c>
      <c r="M540" s="1">
        <v>2</v>
      </c>
      <c r="N540" s="1" t="s">
        <v>149</v>
      </c>
      <c r="O540" s="1" t="s">
        <v>632</v>
      </c>
      <c r="R540" t="b">
        <f>IF(COUNTBLANK(Master_Reference[[#This Row],[C-Flex 3000K Eco Part Number]:[C-Flex 4000K Eco Part Number]])=3,FALSE,TRUE)</f>
        <v>1</v>
      </c>
      <c r="S540" t="b">
        <f>IF(COUNTBLANK(Master_Reference[[#This Row],[C-Flex 3000K 3W Part Number]:[C-Flex 4000K 3W Part Number]])=3,FALSE,TRUE)</f>
        <v>0</v>
      </c>
      <c r="T540" t="b">
        <f>IF(COUNTBLANK(Master_Reference[[#This Row],[Lutron 3000K Eco Part Number]:[Lutron 4000K Eco Part Number]])=3,FALSE,TRUE)</f>
        <v>1</v>
      </c>
      <c r="U540" t="b">
        <f>IF(COUNTBLANK(Master_Reference[[#This Row],[Lutron 3000K 3W Part Number]:[Lutron 4000K 3W Part Number]])=3,FALSE,TRUE)</f>
        <v>0</v>
      </c>
      <c r="V540" s="12" t="s">
        <v>316</v>
      </c>
      <c r="W540" s="12" t="s">
        <v>317</v>
      </c>
      <c r="X540" s="12" t="s">
        <v>318</v>
      </c>
      <c r="Y540" t="s">
        <v>1745</v>
      </c>
      <c r="Z540" s="12"/>
      <c r="AA540" s="12"/>
      <c r="AB540" s="12"/>
      <c r="AC540" t="s">
        <v>2125</v>
      </c>
      <c r="AD540" t="str">
        <f>SUBSTITUTE(Master_Reference[[#This Row],[C-Flex 4000K Eco Part Number]],"40-","xx-")</f>
        <v>RP-T8-4FT-2L-8xx-E1-M-G2</v>
      </c>
      <c r="AE540" t="str">
        <f>SUBSTITUTE(Master_Reference[[#This Row],[C-Flex 4000K 3W Part Number]],"40-","xx-")</f>
        <v/>
      </c>
      <c r="AF540" s="1" t="str">
        <f>_xlfn.IFNA(VLOOKUP(Master_Reference[[#This Row],[C-Flex 3000K Eco Part Number]],Lutron_CFlex_Lookup[],MATCH("Lutron Kit PN",Lutron_CFlex_Lookup[#Headers],0),FALSE),"")</f>
        <v>ELD4T8-2M30-q</v>
      </c>
      <c r="AG540" s="1" t="str">
        <f>_xlfn.IFNA(VLOOKUP(Master_Reference[[#This Row],[C-Flex 3500K Eco Part Number]],Lutron_CFlex_Lookup[],MATCH("Lutron Kit PN",Lutron_CFlex_Lookup[#Headers],0),FALSE),"")</f>
        <v>ELD4T8-2M35-q</v>
      </c>
      <c r="AH540" s="1" t="str">
        <f>_xlfn.IFNA(VLOOKUP(Master_Reference[[#This Row],[C-Flex 4000K Eco Part Number]],Lutron_CFlex_Lookup[],MATCH("Lutron Kit PN",Lutron_CFlex_Lookup[#Headers],0),FALSE),"")</f>
        <v>ELD4T8-2M40-q</v>
      </c>
      <c r="AI540" s="1" t="str">
        <f>_xlfn.IFNA(VLOOKUP(Master_Reference[[#This Row],[C-Flex 5000K Eco Part Number]],Lutron_CFlex_Lookup[],MATCH("Lutron Kit PN",Lutron_CFlex_Lookup[#Headers],0),FALSE),"")</f>
        <v>ELD4T8-2M50-q</v>
      </c>
      <c r="AJ540" s="1" t="str">
        <f>_xlfn.IFNA(VLOOKUP(Master_Reference[[#This Row],[C-Flex 3000K 3W Part Number]],Lutron_CFlex_Lookup[],MATCH("Lutron Kit PN",Lutron_CFlex_Lookup[#Headers],0),FALSE),"")</f>
        <v/>
      </c>
      <c r="AK540" s="1" t="str">
        <f>_xlfn.IFNA(VLOOKUP(Master_Reference[[#This Row],[C-Flex 3500K 3W Part Number]],Lutron_CFlex_Lookup[],MATCH("Lutron Kit PN",Lutron_CFlex_Lookup[#Headers],0),FALSE),"")</f>
        <v/>
      </c>
      <c r="AL540" s="1" t="str">
        <f>_xlfn.IFNA(VLOOKUP(Master_Reference[[#This Row],[C-Flex 4000K 3W Part Number]],Lutron_CFlex_Lookup[],MATCH("Lutron Kit PN",Lutron_CFlex_Lookup[#Headers],0),FALSE),"")</f>
        <v/>
      </c>
      <c r="AM540" s="1" t="str">
        <f>_xlfn.IFNA(VLOOKUP(Master_Reference[[#This Row],[C-Flex 5000K 3W Part Number]],Lutron_CFlex_Lookup[],MATCH("Lutron Kit PN",Lutron_CFlex_Lookup[#Headers],0),FALSE),"")</f>
        <v/>
      </c>
      <c r="AN540" s="1" t="b">
        <f>NOT(ISNA(VLOOKUP(Master_Reference[[#This Row],[Model Number]],ObsoleteModels[],1,FALSE)))</f>
        <v>1</v>
      </c>
      <c r="AO540" s="1" t="str">
        <f>IF(LEFT(Master_Reference[[#This Row],[Model Number]],1)="U",LEFT(Master_Reference[[#This Row],[Model Number]],4),LEFT(Master_Reference[[#This Row],[Model Number]],3))</f>
        <v>EHD</v>
      </c>
    </row>
    <row r="541" spans="1:41" x14ac:dyDescent="0.25">
      <c r="A541" s="2" t="s">
        <v>822</v>
      </c>
      <c r="B541" s="1" t="b">
        <v>1</v>
      </c>
      <c r="G541" s="1" t="b">
        <f>IF(OR(LEFT(RIGHT(Master_Reference[[#This Row],[Model Number]],3),1)="C",LEFT(RIGHT(Master_Reference[[#This Row],[Model Number]],4),1)="C"),TRUE,"")</f>
        <v>1</v>
      </c>
      <c r="H541" s="1" t="str">
        <f>IF(LEFT(Master_Reference[[#This Row],[Model Number]],1)="U",TRUE,"")</f>
        <v/>
      </c>
      <c r="I541" s="1" t="str">
        <f>IF(Master_Reference[[#This Row],[Lamp Type]]="T4","",IF(Master_Reference[[#This Row],[Case Type]]="M","",TRUE))</f>
        <v/>
      </c>
      <c r="J541" s="1" t="s">
        <v>111</v>
      </c>
      <c r="K541" s="1">
        <v>32</v>
      </c>
      <c r="L541" s="1" t="s">
        <v>118</v>
      </c>
      <c r="M541" s="1">
        <v>2</v>
      </c>
      <c r="N541" s="1" t="s">
        <v>149</v>
      </c>
      <c r="O541" s="1" t="s">
        <v>632</v>
      </c>
      <c r="R541" t="b">
        <f>IF(COUNTBLANK(Master_Reference[[#This Row],[C-Flex 3000K Eco Part Number]:[C-Flex 4000K Eco Part Number]])=3,FALSE,TRUE)</f>
        <v>1</v>
      </c>
      <c r="S541" t="b">
        <f>IF(COUNTBLANK(Master_Reference[[#This Row],[C-Flex 3000K 3W Part Number]:[C-Flex 4000K 3W Part Number]])=3,FALSE,TRUE)</f>
        <v>0</v>
      </c>
      <c r="T541" t="b">
        <f>IF(COUNTBLANK(Master_Reference[[#This Row],[Lutron 3000K Eco Part Number]:[Lutron 4000K Eco Part Number]])=3,FALSE,TRUE)</f>
        <v>1</v>
      </c>
      <c r="U541" t="b">
        <f>IF(COUNTBLANK(Master_Reference[[#This Row],[Lutron 3000K 3W Part Number]:[Lutron 4000K 3W Part Number]])=3,FALSE,TRUE)</f>
        <v>0</v>
      </c>
      <c r="V541" s="12" t="s">
        <v>316</v>
      </c>
      <c r="W541" s="12" t="s">
        <v>317</v>
      </c>
      <c r="X541" s="12" t="s">
        <v>318</v>
      </c>
      <c r="Y541" t="s">
        <v>1745</v>
      </c>
      <c r="Z541" s="12"/>
      <c r="AA541" s="12"/>
      <c r="AB541" s="12"/>
      <c r="AC541" t="s">
        <v>2125</v>
      </c>
      <c r="AD541" t="str">
        <f>SUBSTITUTE(Master_Reference[[#This Row],[C-Flex 4000K Eco Part Number]],"40-","xx-")</f>
        <v>RP-T8-4FT-2L-8xx-E1-M-G2</v>
      </c>
      <c r="AE541" t="str">
        <f>SUBSTITUTE(Master_Reference[[#This Row],[C-Flex 4000K 3W Part Number]],"40-","xx-")</f>
        <v/>
      </c>
      <c r="AF541" s="1" t="str">
        <f>_xlfn.IFNA(VLOOKUP(Master_Reference[[#This Row],[C-Flex 3000K Eco Part Number]],Lutron_CFlex_Lookup[],MATCH("Lutron Kit PN",Lutron_CFlex_Lookup[#Headers],0),FALSE),"")</f>
        <v>ELD4T8-2M30-q</v>
      </c>
      <c r="AG541" s="1" t="str">
        <f>_xlfn.IFNA(VLOOKUP(Master_Reference[[#This Row],[C-Flex 3500K Eco Part Number]],Lutron_CFlex_Lookup[],MATCH("Lutron Kit PN",Lutron_CFlex_Lookup[#Headers],0),FALSE),"")</f>
        <v>ELD4T8-2M35-q</v>
      </c>
      <c r="AH541" s="1" t="str">
        <f>_xlfn.IFNA(VLOOKUP(Master_Reference[[#This Row],[C-Flex 4000K Eco Part Number]],Lutron_CFlex_Lookup[],MATCH("Lutron Kit PN",Lutron_CFlex_Lookup[#Headers],0),FALSE),"")</f>
        <v>ELD4T8-2M40-q</v>
      </c>
      <c r="AI541" s="1" t="str">
        <f>_xlfn.IFNA(VLOOKUP(Master_Reference[[#This Row],[C-Flex 5000K Eco Part Number]],Lutron_CFlex_Lookup[],MATCH("Lutron Kit PN",Lutron_CFlex_Lookup[#Headers],0),FALSE),"")</f>
        <v>ELD4T8-2M50-q</v>
      </c>
      <c r="AJ541" s="1" t="str">
        <f>_xlfn.IFNA(VLOOKUP(Master_Reference[[#This Row],[C-Flex 3000K 3W Part Number]],Lutron_CFlex_Lookup[],MATCH("Lutron Kit PN",Lutron_CFlex_Lookup[#Headers],0),FALSE),"")</f>
        <v/>
      </c>
      <c r="AK541" s="1" t="str">
        <f>_xlfn.IFNA(VLOOKUP(Master_Reference[[#This Row],[C-Flex 3500K 3W Part Number]],Lutron_CFlex_Lookup[],MATCH("Lutron Kit PN",Lutron_CFlex_Lookup[#Headers],0),FALSE),"")</f>
        <v/>
      </c>
      <c r="AL541" s="1" t="str">
        <f>_xlfn.IFNA(VLOOKUP(Master_Reference[[#This Row],[C-Flex 4000K 3W Part Number]],Lutron_CFlex_Lookup[],MATCH("Lutron Kit PN",Lutron_CFlex_Lookup[#Headers],0),FALSE),"")</f>
        <v/>
      </c>
      <c r="AM541" s="1" t="str">
        <f>_xlfn.IFNA(VLOOKUP(Master_Reference[[#This Row],[C-Flex 5000K 3W Part Number]],Lutron_CFlex_Lookup[],MATCH("Lutron Kit PN",Lutron_CFlex_Lookup[#Headers],0),FALSE),"")</f>
        <v/>
      </c>
      <c r="AN541" s="1" t="b">
        <f>NOT(ISNA(VLOOKUP(Master_Reference[[#This Row],[Model Number]],ObsoleteModels[],1,FALSE)))</f>
        <v>1</v>
      </c>
      <c r="AO541" s="1" t="str">
        <f>IF(LEFT(Master_Reference[[#This Row],[Model Number]],1)="U",LEFT(Master_Reference[[#This Row],[Model Number]],4),LEFT(Master_Reference[[#This Row],[Model Number]],3))</f>
        <v>EHD</v>
      </c>
    </row>
    <row r="542" spans="1:41" x14ac:dyDescent="0.25">
      <c r="A542" s="2" t="s">
        <v>823</v>
      </c>
      <c r="B542" s="1" t="b">
        <v>1</v>
      </c>
      <c r="G542" s="1" t="b">
        <f>IF(OR(LEFT(RIGHT(Master_Reference[[#This Row],[Model Number]],3),1)="C",LEFT(RIGHT(Master_Reference[[#This Row],[Model Number]],4),1)="C"),TRUE,"")</f>
        <v>1</v>
      </c>
      <c r="H542" s="1" t="str">
        <f>IF(LEFT(Master_Reference[[#This Row],[Model Number]],1)="U",TRUE,"")</f>
        <v/>
      </c>
      <c r="I542" s="1" t="str">
        <f>IF(Master_Reference[[#This Row],[Lamp Type]]="T4","",IF(Master_Reference[[#This Row],[Case Type]]="M","",TRUE))</f>
        <v/>
      </c>
      <c r="J542" s="1" t="s">
        <v>111</v>
      </c>
      <c r="K542" s="1">
        <v>32</v>
      </c>
      <c r="L542" s="1" t="s">
        <v>118</v>
      </c>
      <c r="M542" s="1">
        <v>2</v>
      </c>
      <c r="N542" s="1" t="s">
        <v>149</v>
      </c>
      <c r="O542" s="1" t="s">
        <v>632</v>
      </c>
      <c r="R542" t="b">
        <f>IF(COUNTBLANK(Master_Reference[[#This Row],[C-Flex 3000K Eco Part Number]:[C-Flex 4000K Eco Part Number]])=3,FALSE,TRUE)</f>
        <v>1</v>
      </c>
      <c r="S542" t="b">
        <f>IF(COUNTBLANK(Master_Reference[[#This Row],[C-Flex 3000K 3W Part Number]:[C-Flex 4000K 3W Part Number]])=3,FALSE,TRUE)</f>
        <v>0</v>
      </c>
      <c r="T542" t="b">
        <f>IF(COUNTBLANK(Master_Reference[[#This Row],[Lutron 3000K Eco Part Number]:[Lutron 4000K Eco Part Number]])=3,FALSE,TRUE)</f>
        <v>1</v>
      </c>
      <c r="U542" t="b">
        <f>IF(COUNTBLANK(Master_Reference[[#This Row],[Lutron 3000K 3W Part Number]:[Lutron 4000K 3W Part Number]])=3,FALSE,TRUE)</f>
        <v>0</v>
      </c>
      <c r="V542" s="12" t="s">
        <v>316</v>
      </c>
      <c r="W542" s="12" t="s">
        <v>317</v>
      </c>
      <c r="X542" s="12" t="s">
        <v>318</v>
      </c>
      <c r="Y542" t="s">
        <v>1745</v>
      </c>
      <c r="Z542" s="12"/>
      <c r="AA542" s="12"/>
      <c r="AB542" s="12"/>
      <c r="AC542" t="s">
        <v>2125</v>
      </c>
      <c r="AD542" t="str">
        <f>SUBSTITUTE(Master_Reference[[#This Row],[C-Flex 4000K Eco Part Number]],"40-","xx-")</f>
        <v>RP-T8-4FT-2L-8xx-E1-M-G2</v>
      </c>
      <c r="AE542" t="str">
        <f>SUBSTITUTE(Master_Reference[[#This Row],[C-Flex 4000K 3W Part Number]],"40-","xx-")</f>
        <v/>
      </c>
      <c r="AF542" s="1" t="str">
        <f>_xlfn.IFNA(VLOOKUP(Master_Reference[[#This Row],[C-Flex 3000K Eco Part Number]],Lutron_CFlex_Lookup[],MATCH("Lutron Kit PN",Lutron_CFlex_Lookup[#Headers],0),FALSE),"")</f>
        <v>ELD4T8-2M30-q</v>
      </c>
      <c r="AG542" s="1" t="str">
        <f>_xlfn.IFNA(VLOOKUP(Master_Reference[[#This Row],[C-Flex 3500K Eco Part Number]],Lutron_CFlex_Lookup[],MATCH("Lutron Kit PN",Lutron_CFlex_Lookup[#Headers],0),FALSE),"")</f>
        <v>ELD4T8-2M35-q</v>
      </c>
      <c r="AH542" s="1" t="str">
        <f>_xlfn.IFNA(VLOOKUP(Master_Reference[[#This Row],[C-Flex 4000K Eco Part Number]],Lutron_CFlex_Lookup[],MATCH("Lutron Kit PN",Lutron_CFlex_Lookup[#Headers],0),FALSE),"")</f>
        <v>ELD4T8-2M40-q</v>
      </c>
      <c r="AI542" s="1" t="str">
        <f>_xlfn.IFNA(VLOOKUP(Master_Reference[[#This Row],[C-Flex 5000K Eco Part Number]],Lutron_CFlex_Lookup[],MATCH("Lutron Kit PN",Lutron_CFlex_Lookup[#Headers],0),FALSE),"")</f>
        <v>ELD4T8-2M50-q</v>
      </c>
      <c r="AJ542" s="1" t="str">
        <f>_xlfn.IFNA(VLOOKUP(Master_Reference[[#This Row],[C-Flex 3000K 3W Part Number]],Lutron_CFlex_Lookup[],MATCH("Lutron Kit PN",Lutron_CFlex_Lookup[#Headers],0),FALSE),"")</f>
        <v/>
      </c>
      <c r="AK542" s="1" t="str">
        <f>_xlfn.IFNA(VLOOKUP(Master_Reference[[#This Row],[C-Flex 3500K 3W Part Number]],Lutron_CFlex_Lookup[],MATCH("Lutron Kit PN",Lutron_CFlex_Lookup[#Headers],0),FALSE),"")</f>
        <v/>
      </c>
      <c r="AL542" s="1" t="str">
        <f>_xlfn.IFNA(VLOOKUP(Master_Reference[[#This Row],[C-Flex 4000K 3W Part Number]],Lutron_CFlex_Lookup[],MATCH("Lutron Kit PN",Lutron_CFlex_Lookup[#Headers],0),FALSE),"")</f>
        <v/>
      </c>
      <c r="AM542" s="1" t="str">
        <f>_xlfn.IFNA(VLOOKUP(Master_Reference[[#This Row],[C-Flex 5000K 3W Part Number]],Lutron_CFlex_Lookup[],MATCH("Lutron Kit PN",Lutron_CFlex_Lookup[#Headers],0),FALSE),"")</f>
        <v/>
      </c>
      <c r="AN542" s="1" t="b">
        <f>NOT(ISNA(VLOOKUP(Master_Reference[[#This Row],[Model Number]],ObsoleteModels[],1,FALSE)))</f>
        <v>1</v>
      </c>
      <c r="AO542" s="1" t="str">
        <f>IF(LEFT(Master_Reference[[#This Row],[Model Number]],1)="U",LEFT(Master_Reference[[#This Row],[Model Number]],4),LEFT(Master_Reference[[#This Row],[Model Number]],3))</f>
        <v>EHD</v>
      </c>
    </row>
    <row r="543" spans="1:41" x14ac:dyDescent="0.25">
      <c r="A543" s="2" t="s">
        <v>824</v>
      </c>
      <c r="B543" s="1" t="b">
        <v>1</v>
      </c>
      <c r="G543" s="1" t="b">
        <f>IF(OR(LEFT(RIGHT(Master_Reference[[#This Row],[Model Number]],3),1)="C",LEFT(RIGHT(Master_Reference[[#This Row],[Model Number]],4),1)="C"),TRUE,"")</f>
        <v>1</v>
      </c>
      <c r="H543" s="1" t="str">
        <f>IF(LEFT(Master_Reference[[#This Row],[Model Number]],1)="U",TRUE,"")</f>
        <v/>
      </c>
      <c r="I543" s="1" t="str">
        <f>IF(Master_Reference[[#This Row],[Lamp Type]]="T4","",IF(Master_Reference[[#This Row],[Case Type]]="M","",TRUE))</f>
        <v/>
      </c>
      <c r="J543" s="1" t="s">
        <v>111</v>
      </c>
      <c r="K543" s="1">
        <v>32</v>
      </c>
      <c r="L543" s="1" t="s">
        <v>118</v>
      </c>
      <c r="M543" s="1">
        <v>2</v>
      </c>
      <c r="N543" s="1" t="s">
        <v>149</v>
      </c>
      <c r="O543" s="1" t="s">
        <v>632</v>
      </c>
      <c r="R543" t="b">
        <f>IF(COUNTBLANK(Master_Reference[[#This Row],[C-Flex 3000K Eco Part Number]:[C-Flex 4000K Eco Part Number]])=3,FALSE,TRUE)</f>
        <v>1</v>
      </c>
      <c r="S543" t="b">
        <f>IF(COUNTBLANK(Master_Reference[[#This Row],[C-Flex 3000K 3W Part Number]:[C-Flex 4000K 3W Part Number]])=3,FALSE,TRUE)</f>
        <v>0</v>
      </c>
      <c r="T543" t="b">
        <f>IF(COUNTBLANK(Master_Reference[[#This Row],[Lutron 3000K Eco Part Number]:[Lutron 4000K Eco Part Number]])=3,FALSE,TRUE)</f>
        <v>1</v>
      </c>
      <c r="U543" t="b">
        <f>IF(COUNTBLANK(Master_Reference[[#This Row],[Lutron 3000K 3W Part Number]:[Lutron 4000K 3W Part Number]])=3,FALSE,TRUE)</f>
        <v>0</v>
      </c>
      <c r="V543" s="12" t="s">
        <v>316</v>
      </c>
      <c r="W543" s="12" t="s">
        <v>317</v>
      </c>
      <c r="X543" s="12" t="s">
        <v>318</v>
      </c>
      <c r="Y543" t="s">
        <v>1745</v>
      </c>
      <c r="Z543" s="12"/>
      <c r="AA543" s="12"/>
      <c r="AB543" s="12"/>
      <c r="AC543" t="s">
        <v>2125</v>
      </c>
      <c r="AD543" t="str">
        <f>SUBSTITUTE(Master_Reference[[#This Row],[C-Flex 4000K Eco Part Number]],"40-","xx-")</f>
        <v>RP-T8-4FT-2L-8xx-E1-M-G2</v>
      </c>
      <c r="AE543" t="str">
        <f>SUBSTITUTE(Master_Reference[[#This Row],[C-Flex 4000K 3W Part Number]],"40-","xx-")</f>
        <v/>
      </c>
      <c r="AF543" s="1" t="str">
        <f>_xlfn.IFNA(VLOOKUP(Master_Reference[[#This Row],[C-Flex 3000K Eco Part Number]],Lutron_CFlex_Lookup[],MATCH("Lutron Kit PN",Lutron_CFlex_Lookup[#Headers],0),FALSE),"")</f>
        <v>ELD4T8-2M30-q</v>
      </c>
      <c r="AG543" s="1" t="str">
        <f>_xlfn.IFNA(VLOOKUP(Master_Reference[[#This Row],[C-Flex 3500K Eco Part Number]],Lutron_CFlex_Lookup[],MATCH("Lutron Kit PN",Lutron_CFlex_Lookup[#Headers],0),FALSE),"")</f>
        <v>ELD4T8-2M35-q</v>
      </c>
      <c r="AH543" s="1" t="str">
        <f>_xlfn.IFNA(VLOOKUP(Master_Reference[[#This Row],[C-Flex 4000K Eco Part Number]],Lutron_CFlex_Lookup[],MATCH("Lutron Kit PN",Lutron_CFlex_Lookup[#Headers],0),FALSE),"")</f>
        <v>ELD4T8-2M40-q</v>
      </c>
      <c r="AI543" s="1" t="str">
        <f>_xlfn.IFNA(VLOOKUP(Master_Reference[[#This Row],[C-Flex 5000K Eco Part Number]],Lutron_CFlex_Lookup[],MATCH("Lutron Kit PN",Lutron_CFlex_Lookup[#Headers],0),FALSE),"")</f>
        <v>ELD4T8-2M50-q</v>
      </c>
      <c r="AJ543" s="1" t="str">
        <f>_xlfn.IFNA(VLOOKUP(Master_Reference[[#This Row],[C-Flex 3000K 3W Part Number]],Lutron_CFlex_Lookup[],MATCH("Lutron Kit PN",Lutron_CFlex_Lookup[#Headers],0),FALSE),"")</f>
        <v/>
      </c>
      <c r="AK543" s="1" t="str">
        <f>_xlfn.IFNA(VLOOKUP(Master_Reference[[#This Row],[C-Flex 3500K 3W Part Number]],Lutron_CFlex_Lookup[],MATCH("Lutron Kit PN",Lutron_CFlex_Lookup[#Headers],0),FALSE),"")</f>
        <v/>
      </c>
      <c r="AL543" s="1" t="str">
        <f>_xlfn.IFNA(VLOOKUP(Master_Reference[[#This Row],[C-Flex 4000K 3W Part Number]],Lutron_CFlex_Lookup[],MATCH("Lutron Kit PN",Lutron_CFlex_Lookup[#Headers],0),FALSE),"")</f>
        <v/>
      </c>
      <c r="AM543" s="1" t="str">
        <f>_xlfn.IFNA(VLOOKUP(Master_Reference[[#This Row],[C-Flex 5000K 3W Part Number]],Lutron_CFlex_Lookup[],MATCH("Lutron Kit PN",Lutron_CFlex_Lookup[#Headers],0),FALSE),"")</f>
        <v/>
      </c>
      <c r="AN543" s="1" t="b">
        <f>NOT(ISNA(VLOOKUP(Master_Reference[[#This Row],[Model Number]],ObsoleteModels[],1,FALSE)))</f>
        <v>1</v>
      </c>
      <c r="AO543" s="1" t="str">
        <f>IF(LEFT(Master_Reference[[#This Row],[Model Number]],1)="U",LEFT(Master_Reference[[#This Row],[Model Number]],4),LEFT(Master_Reference[[#This Row],[Model Number]],3))</f>
        <v>EHD</v>
      </c>
    </row>
    <row r="544" spans="1:41" x14ac:dyDescent="0.25">
      <c r="A544" s="2" t="s">
        <v>825</v>
      </c>
      <c r="B544" s="1" t="b">
        <v>1</v>
      </c>
      <c r="G544" s="1" t="b">
        <f>IF(OR(LEFT(RIGHT(Master_Reference[[#This Row],[Model Number]],3),1)="C",LEFT(RIGHT(Master_Reference[[#This Row],[Model Number]],4),1)="C"),TRUE,"")</f>
        <v>1</v>
      </c>
      <c r="H544" s="1" t="str">
        <f>IF(LEFT(Master_Reference[[#This Row],[Model Number]],1)="U",TRUE,"")</f>
        <v/>
      </c>
      <c r="I544" s="1" t="str">
        <f>IF(Master_Reference[[#This Row],[Lamp Type]]="T4","",IF(Master_Reference[[#This Row],[Case Type]]="M","",TRUE))</f>
        <v/>
      </c>
      <c r="J544" s="1" t="s">
        <v>111</v>
      </c>
      <c r="K544" s="1">
        <v>32</v>
      </c>
      <c r="L544" s="1" t="s">
        <v>118</v>
      </c>
      <c r="M544" s="1">
        <v>2</v>
      </c>
      <c r="N544" s="1" t="s">
        <v>149</v>
      </c>
      <c r="O544" s="1" t="s">
        <v>632</v>
      </c>
      <c r="R544" t="b">
        <f>IF(COUNTBLANK(Master_Reference[[#This Row],[C-Flex 3000K Eco Part Number]:[C-Flex 4000K Eco Part Number]])=3,FALSE,TRUE)</f>
        <v>1</v>
      </c>
      <c r="S544" t="b">
        <f>IF(COUNTBLANK(Master_Reference[[#This Row],[C-Flex 3000K 3W Part Number]:[C-Flex 4000K 3W Part Number]])=3,FALSE,TRUE)</f>
        <v>0</v>
      </c>
      <c r="T544" t="b">
        <f>IF(COUNTBLANK(Master_Reference[[#This Row],[Lutron 3000K Eco Part Number]:[Lutron 4000K Eco Part Number]])=3,FALSE,TRUE)</f>
        <v>1</v>
      </c>
      <c r="U544" t="b">
        <f>IF(COUNTBLANK(Master_Reference[[#This Row],[Lutron 3000K 3W Part Number]:[Lutron 4000K 3W Part Number]])=3,FALSE,TRUE)</f>
        <v>0</v>
      </c>
      <c r="V544" s="12" t="s">
        <v>316</v>
      </c>
      <c r="W544" s="12" t="s">
        <v>317</v>
      </c>
      <c r="X544" s="12" t="s">
        <v>318</v>
      </c>
      <c r="Y544" t="s">
        <v>1745</v>
      </c>
      <c r="Z544" s="12"/>
      <c r="AA544" s="12"/>
      <c r="AB544" s="12"/>
      <c r="AC544" t="s">
        <v>2125</v>
      </c>
      <c r="AD544" t="str">
        <f>SUBSTITUTE(Master_Reference[[#This Row],[C-Flex 4000K Eco Part Number]],"40-","xx-")</f>
        <v>RP-T8-4FT-2L-8xx-E1-M-G2</v>
      </c>
      <c r="AE544" t="str">
        <f>SUBSTITUTE(Master_Reference[[#This Row],[C-Flex 4000K 3W Part Number]],"40-","xx-")</f>
        <v/>
      </c>
      <c r="AF544" s="1" t="str">
        <f>_xlfn.IFNA(VLOOKUP(Master_Reference[[#This Row],[C-Flex 3000K Eco Part Number]],Lutron_CFlex_Lookup[],MATCH("Lutron Kit PN",Lutron_CFlex_Lookup[#Headers],0),FALSE),"")</f>
        <v>ELD4T8-2M30-q</v>
      </c>
      <c r="AG544" s="1" t="str">
        <f>_xlfn.IFNA(VLOOKUP(Master_Reference[[#This Row],[C-Flex 3500K Eco Part Number]],Lutron_CFlex_Lookup[],MATCH("Lutron Kit PN",Lutron_CFlex_Lookup[#Headers],0),FALSE),"")</f>
        <v>ELD4T8-2M35-q</v>
      </c>
      <c r="AH544" s="1" t="str">
        <f>_xlfn.IFNA(VLOOKUP(Master_Reference[[#This Row],[C-Flex 4000K Eco Part Number]],Lutron_CFlex_Lookup[],MATCH("Lutron Kit PN",Lutron_CFlex_Lookup[#Headers],0),FALSE),"")</f>
        <v>ELD4T8-2M40-q</v>
      </c>
      <c r="AI544" s="1" t="str">
        <f>_xlfn.IFNA(VLOOKUP(Master_Reference[[#This Row],[C-Flex 5000K Eco Part Number]],Lutron_CFlex_Lookup[],MATCH("Lutron Kit PN",Lutron_CFlex_Lookup[#Headers],0),FALSE),"")</f>
        <v>ELD4T8-2M50-q</v>
      </c>
      <c r="AJ544" s="1" t="str">
        <f>_xlfn.IFNA(VLOOKUP(Master_Reference[[#This Row],[C-Flex 3000K 3W Part Number]],Lutron_CFlex_Lookup[],MATCH("Lutron Kit PN",Lutron_CFlex_Lookup[#Headers],0),FALSE),"")</f>
        <v/>
      </c>
      <c r="AK544" s="1" t="str">
        <f>_xlfn.IFNA(VLOOKUP(Master_Reference[[#This Row],[C-Flex 3500K 3W Part Number]],Lutron_CFlex_Lookup[],MATCH("Lutron Kit PN",Lutron_CFlex_Lookup[#Headers],0),FALSE),"")</f>
        <v/>
      </c>
      <c r="AL544" s="1" t="str">
        <f>_xlfn.IFNA(VLOOKUP(Master_Reference[[#This Row],[C-Flex 4000K 3W Part Number]],Lutron_CFlex_Lookup[],MATCH("Lutron Kit PN",Lutron_CFlex_Lookup[#Headers],0),FALSE),"")</f>
        <v/>
      </c>
      <c r="AM544" s="1" t="str">
        <f>_xlfn.IFNA(VLOOKUP(Master_Reference[[#This Row],[C-Flex 5000K 3W Part Number]],Lutron_CFlex_Lookup[],MATCH("Lutron Kit PN",Lutron_CFlex_Lookup[#Headers],0),FALSE),"")</f>
        <v/>
      </c>
      <c r="AN544" s="1" t="b">
        <f>NOT(ISNA(VLOOKUP(Master_Reference[[#This Row],[Model Number]],ObsoleteModels[],1,FALSE)))</f>
        <v>1</v>
      </c>
      <c r="AO544" s="1" t="str">
        <f>IF(LEFT(Master_Reference[[#This Row],[Model Number]],1)="U",LEFT(Master_Reference[[#This Row],[Model Number]],4),LEFT(Master_Reference[[#This Row],[Model Number]],3))</f>
        <v>EHD</v>
      </c>
    </row>
    <row r="545" spans="1:41" x14ac:dyDescent="0.25">
      <c r="A545" s="2" t="s">
        <v>826</v>
      </c>
      <c r="B545" s="1" t="b">
        <v>1</v>
      </c>
      <c r="G545" s="1" t="b">
        <f>IF(OR(LEFT(RIGHT(Master_Reference[[#This Row],[Model Number]],3),1)="C",LEFT(RIGHT(Master_Reference[[#This Row],[Model Number]],4),1)="C"),TRUE,"")</f>
        <v>1</v>
      </c>
      <c r="H545" s="1" t="str">
        <f>IF(LEFT(Master_Reference[[#This Row],[Model Number]],1)="U",TRUE,"")</f>
        <v/>
      </c>
      <c r="I545" s="1" t="str">
        <f>IF(Master_Reference[[#This Row],[Lamp Type]]="T4","",IF(Master_Reference[[#This Row],[Case Type]]="M","",TRUE))</f>
        <v/>
      </c>
      <c r="J545" s="1" t="s">
        <v>111</v>
      </c>
      <c r="K545" s="1">
        <v>32</v>
      </c>
      <c r="L545" s="1" t="s">
        <v>118</v>
      </c>
      <c r="M545" s="1">
        <v>2</v>
      </c>
      <c r="N545" s="1" t="s">
        <v>149</v>
      </c>
      <c r="O545" s="1" t="s">
        <v>632</v>
      </c>
      <c r="R545" t="b">
        <f>IF(COUNTBLANK(Master_Reference[[#This Row],[C-Flex 3000K Eco Part Number]:[C-Flex 4000K Eco Part Number]])=3,FALSE,TRUE)</f>
        <v>1</v>
      </c>
      <c r="S545" t="b">
        <f>IF(COUNTBLANK(Master_Reference[[#This Row],[C-Flex 3000K 3W Part Number]:[C-Flex 4000K 3W Part Number]])=3,FALSE,TRUE)</f>
        <v>0</v>
      </c>
      <c r="T545" t="b">
        <f>IF(COUNTBLANK(Master_Reference[[#This Row],[Lutron 3000K Eco Part Number]:[Lutron 4000K Eco Part Number]])=3,FALSE,TRUE)</f>
        <v>1</v>
      </c>
      <c r="U545" t="b">
        <f>IF(COUNTBLANK(Master_Reference[[#This Row],[Lutron 3000K 3W Part Number]:[Lutron 4000K 3W Part Number]])=3,FALSE,TRUE)</f>
        <v>0</v>
      </c>
      <c r="V545" s="12" t="s">
        <v>316</v>
      </c>
      <c r="W545" s="12" t="s">
        <v>317</v>
      </c>
      <c r="X545" s="12" t="s">
        <v>318</v>
      </c>
      <c r="Y545" t="s">
        <v>1745</v>
      </c>
      <c r="Z545" s="12"/>
      <c r="AA545" s="12"/>
      <c r="AB545" s="12"/>
      <c r="AC545" t="s">
        <v>2125</v>
      </c>
      <c r="AD545" t="str">
        <f>SUBSTITUTE(Master_Reference[[#This Row],[C-Flex 4000K Eco Part Number]],"40-","xx-")</f>
        <v>RP-T8-4FT-2L-8xx-E1-M-G2</v>
      </c>
      <c r="AE545" t="str">
        <f>SUBSTITUTE(Master_Reference[[#This Row],[C-Flex 4000K 3W Part Number]],"40-","xx-")</f>
        <v/>
      </c>
      <c r="AF545" s="1" t="str">
        <f>_xlfn.IFNA(VLOOKUP(Master_Reference[[#This Row],[C-Flex 3000K Eco Part Number]],Lutron_CFlex_Lookup[],MATCH("Lutron Kit PN",Lutron_CFlex_Lookup[#Headers],0),FALSE),"")</f>
        <v>ELD4T8-2M30-q</v>
      </c>
      <c r="AG545" s="1" t="str">
        <f>_xlfn.IFNA(VLOOKUP(Master_Reference[[#This Row],[C-Flex 3500K Eco Part Number]],Lutron_CFlex_Lookup[],MATCH("Lutron Kit PN",Lutron_CFlex_Lookup[#Headers],0),FALSE),"")</f>
        <v>ELD4T8-2M35-q</v>
      </c>
      <c r="AH545" s="1" t="str">
        <f>_xlfn.IFNA(VLOOKUP(Master_Reference[[#This Row],[C-Flex 4000K Eco Part Number]],Lutron_CFlex_Lookup[],MATCH("Lutron Kit PN",Lutron_CFlex_Lookup[#Headers],0),FALSE),"")</f>
        <v>ELD4T8-2M40-q</v>
      </c>
      <c r="AI545" s="1" t="str">
        <f>_xlfn.IFNA(VLOOKUP(Master_Reference[[#This Row],[C-Flex 5000K Eco Part Number]],Lutron_CFlex_Lookup[],MATCH("Lutron Kit PN",Lutron_CFlex_Lookup[#Headers],0),FALSE),"")</f>
        <v>ELD4T8-2M50-q</v>
      </c>
      <c r="AJ545" s="1" t="str">
        <f>_xlfn.IFNA(VLOOKUP(Master_Reference[[#This Row],[C-Flex 3000K 3W Part Number]],Lutron_CFlex_Lookup[],MATCH("Lutron Kit PN",Lutron_CFlex_Lookup[#Headers],0),FALSE),"")</f>
        <v/>
      </c>
      <c r="AK545" s="1" t="str">
        <f>_xlfn.IFNA(VLOOKUP(Master_Reference[[#This Row],[C-Flex 3500K 3W Part Number]],Lutron_CFlex_Lookup[],MATCH("Lutron Kit PN",Lutron_CFlex_Lookup[#Headers],0),FALSE),"")</f>
        <v/>
      </c>
      <c r="AL545" s="1" t="str">
        <f>_xlfn.IFNA(VLOOKUP(Master_Reference[[#This Row],[C-Flex 4000K 3W Part Number]],Lutron_CFlex_Lookup[],MATCH("Lutron Kit PN",Lutron_CFlex_Lookup[#Headers],0),FALSE),"")</f>
        <v/>
      </c>
      <c r="AM545" s="1" t="str">
        <f>_xlfn.IFNA(VLOOKUP(Master_Reference[[#This Row],[C-Flex 5000K 3W Part Number]],Lutron_CFlex_Lookup[],MATCH("Lutron Kit PN",Lutron_CFlex_Lookup[#Headers],0),FALSE),"")</f>
        <v/>
      </c>
      <c r="AN545" s="1" t="b">
        <f>NOT(ISNA(VLOOKUP(Master_Reference[[#This Row],[Model Number]],ObsoleteModels[],1,FALSE)))</f>
        <v>1</v>
      </c>
      <c r="AO545" s="1" t="str">
        <f>IF(LEFT(Master_Reference[[#This Row],[Model Number]],1)="U",LEFT(Master_Reference[[#This Row],[Model Number]],4),LEFT(Master_Reference[[#This Row],[Model Number]],3))</f>
        <v>EHD</v>
      </c>
    </row>
    <row r="546" spans="1:41" x14ac:dyDescent="0.25">
      <c r="A546" s="2" t="s">
        <v>827</v>
      </c>
      <c r="B546" s="1" t="b">
        <v>1</v>
      </c>
      <c r="G546" s="1" t="b">
        <f>IF(OR(LEFT(RIGHT(Master_Reference[[#This Row],[Model Number]],3),1)="C",LEFT(RIGHT(Master_Reference[[#This Row],[Model Number]],4),1)="C"),TRUE,"")</f>
        <v>1</v>
      </c>
      <c r="H546" s="1" t="str">
        <f>IF(LEFT(Master_Reference[[#This Row],[Model Number]],1)="U",TRUE,"")</f>
        <v/>
      </c>
      <c r="I546" s="1" t="str">
        <f>IF(Master_Reference[[#This Row],[Lamp Type]]="T4","",IF(Master_Reference[[#This Row],[Case Type]]="M","",TRUE))</f>
        <v/>
      </c>
      <c r="J546" s="1" t="s">
        <v>111</v>
      </c>
      <c r="K546" s="1">
        <v>32</v>
      </c>
      <c r="L546" s="1" t="s">
        <v>118</v>
      </c>
      <c r="M546" s="1">
        <v>2</v>
      </c>
      <c r="N546" s="1" t="s">
        <v>149</v>
      </c>
      <c r="O546" s="1" t="s">
        <v>632</v>
      </c>
      <c r="R546" t="b">
        <f>IF(COUNTBLANK(Master_Reference[[#This Row],[C-Flex 3000K Eco Part Number]:[C-Flex 4000K Eco Part Number]])=3,FALSE,TRUE)</f>
        <v>1</v>
      </c>
      <c r="S546" t="b">
        <f>IF(COUNTBLANK(Master_Reference[[#This Row],[C-Flex 3000K 3W Part Number]:[C-Flex 4000K 3W Part Number]])=3,FALSE,TRUE)</f>
        <v>0</v>
      </c>
      <c r="T546" t="b">
        <f>IF(COUNTBLANK(Master_Reference[[#This Row],[Lutron 3000K Eco Part Number]:[Lutron 4000K Eco Part Number]])=3,FALSE,TRUE)</f>
        <v>1</v>
      </c>
      <c r="U546" t="b">
        <f>IF(COUNTBLANK(Master_Reference[[#This Row],[Lutron 3000K 3W Part Number]:[Lutron 4000K 3W Part Number]])=3,FALSE,TRUE)</f>
        <v>0</v>
      </c>
      <c r="V546" s="12" t="s">
        <v>316</v>
      </c>
      <c r="W546" s="12" t="s">
        <v>317</v>
      </c>
      <c r="X546" s="12" t="s">
        <v>318</v>
      </c>
      <c r="Y546" t="s">
        <v>1745</v>
      </c>
      <c r="Z546" s="12"/>
      <c r="AA546" s="12"/>
      <c r="AB546" s="12"/>
      <c r="AC546" t="s">
        <v>2125</v>
      </c>
      <c r="AD546" t="str">
        <f>SUBSTITUTE(Master_Reference[[#This Row],[C-Flex 4000K Eco Part Number]],"40-","xx-")</f>
        <v>RP-T8-4FT-2L-8xx-E1-M-G2</v>
      </c>
      <c r="AE546" t="str">
        <f>SUBSTITUTE(Master_Reference[[#This Row],[C-Flex 4000K 3W Part Number]],"40-","xx-")</f>
        <v/>
      </c>
      <c r="AF546" s="1" t="str">
        <f>_xlfn.IFNA(VLOOKUP(Master_Reference[[#This Row],[C-Flex 3000K Eco Part Number]],Lutron_CFlex_Lookup[],MATCH("Lutron Kit PN",Lutron_CFlex_Lookup[#Headers],0),FALSE),"")</f>
        <v>ELD4T8-2M30-q</v>
      </c>
      <c r="AG546" s="1" t="str">
        <f>_xlfn.IFNA(VLOOKUP(Master_Reference[[#This Row],[C-Flex 3500K Eco Part Number]],Lutron_CFlex_Lookup[],MATCH("Lutron Kit PN",Lutron_CFlex_Lookup[#Headers],0),FALSE),"")</f>
        <v>ELD4T8-2M35-q</v>
      </c>
      <c r="AH546" s="1" t="str">
        <f>_xlfn.IFNA(VLOOKUP(Master_Reference[[#This Row],[C-Flex 4000K Eco Part Number]],Lutron_CFlex_Lookup[],MATCH("Lutron Kit PN",Lutron_CFlex_Lookup[#Headers],0),FALSE),"")</f>
        <v>ELD4T8-2M40-q</v>
      </c>
      <c r="AI546" s="1" t="str">
        <f>_xlfn.IFNA(VLOOKUP(Master_Reference[[#This Row],[C-Flex 5000K Eco Part Number]],Lutron_CFlex_Lookup[],MATCH("Lutron Kit PN",Lutron_CFlex_Lookup[#Headers],0),FALSE),"")</f>
        <v>ELD4T8-2M50-q</v>
      </c>
      <c r="AJ546" s="1" t="str">
        <f>_xlfn.IFNA(VLOOKUP(Master_Reference[[#This Row],[C-Flex 3000K 3W Part Number]],Lutron_CFlex_Lookup[],MATCH("Lutron Kit PN",Lutron_CFlex_Lookup[#Headers],0),FALSE),"")</f>
        <v/>
      </c>
      <c r="AK546" s="1" t="str">
        <f>_xlfn.IFNA(VLOOKUP(Master_Reference[[#This Row],[C-Flex 3500K 3W Part Number]],Lutron_CFlex_Lookup[],MATCH("Lutron Kit PN",Lutron_CFlex_Lookup[#Headers],0),FALSE),"")</f>
        <v/>
      </c>
      <c r="AL546" s="1" t="str">
        <f>_xlfn.IFNA(VLOOKUP(Master_Reference[[#This Row],[C-Flex 4000K 3W Part Number]],Lutron_CFlex_Lookup[],MATCH("Lutron Kit PN",Lutron_CFlex_Lookup[#Headers],0),FALSE),"")</f>
        <v/>
      </c>
      <c r="AM546" s="1" t="str">
        <f>_xlfn.IFNA(VLOOKUP(Master_Reference[[#This Row],[C-Flex 5000K 3W Part Number]],Lutron_CFlex_Lookup[],MATCH("Lutron Kit PN",Lutron_CFlex_Lookup[#Headers],0),FALSE),"")</f>
        <v/>
      </c>
      <c r="AN546" s="1" t="b">
        <f>NOT(ISNA(VLOOKUP(Master_Reference[[#This Row],[Model Number]],ObsoleteModels[],1,FALSE)))</f>
        <v>1</v>
      </c>
      <c r="AO546" s="1" t="str">
        <f>IF(LEFT(Master_Reference[[#This Row],[Model Number]],1)="U",LEFT(Master_Reference[[#This Row],[Model Number]],4),LEFT(Master_Reference[[#This Row],[Model Number]],3))</f>
        <v>EHD</v>
      </c>
    </row>
    <row r="547" spans="1:41" x14ac:dyDescent="0.25">
      <c r="A547" s="2" t="s">
        <v>828</v>
      </c>
      <c r="B547" s="1" t="b">
        <v>1</v>
      </c>
      <c r="G547" s="1" t="b">
        <f>IF(OR(LEFT(RIGHT(Master_Reference[[#This Row],[Model Number]],3),1)="C",LEFT(RIGHT(Master_Reference[[#This Row],[Model Number]],4),1)="C"),TRUE,"")</f>
        <v>1</v>
      </c>
      <c r="H547" s="1" t="str">
        <f>IF(LEFT(Master_Reference[[#This Row],[Model Number]],1)="U",TRUE,"")</f>
        <v/>
      </c>
      <c r="I547" s="1" t="str">
        <f>IF(Master_Reference[[#This Row],[Lamp Type]]="T4","",IF(Master_Reference[[#This Row],[Case Type]]="M","",TRUE))</f>
        <v/>
      </c>
      <c r="J547" s="1" t="s">
        <v>111</v>
      </c>
      <c r="K547" s="1">
        <v>32</v>
      </c>
      <c r="L547" s="1" t="s">
        <v>118</v>
      </c>
      <c r="M547" s="1">
        <v>2</v>
      </c>
      <c r="N547" s="1" t="s">
        <v>149</v>
      </c>
      <c r="O547" s="1" t="s">
        <v>632</v>
      </c>
      <c r="R547" t="b">
        <f>IF(COUNTBLANK(Master_Reference[[#This Row],[C-Flex 3000K Eco Part Number]:[C-Flex 4000K Eco Part Number]])=3,FALSE,TRUE)</f>
        <v>1</v>
      </c>
      <c r="S547" t="b">
        <f>IF(COUNTBLANK(Master_Reference[[#This Row],[C-Flex 3000K 3W Part Number]:[C-Flex 4000K 3W Part Number]])=3,FALSE,TRUE)</f>
        <v>0</v>
      </c>
      <c r="T547" t="b">
        <f>IF(COUNTBLANK(Master_Reference[[#This Row],[Lutron 3000K Eco Part Number]:[Lutron 4000K Eco Part Number]])=3,FALSE,TRUE)</f>
        <v>1</v>
      </c>
      <c r="U547" t="b">
        <f>IF(COUNTBLANK(Master_Reference[[#This Row],[Lutron 3000K 3W Part Number]:[Lutron 4000K 3W Part Number]])=3,FALSE,TRUE)</f>
        <v>0</v>
      </c>
      <c r="V547" s="12" t="s">
        <v>316</v>
      </c>
      <c r="W547" s="12" t="s">
        <v>317</v>
      </c>
      <c r="X547" s="12" t="s">
        <v>318</v>
      </c>
      <c r="Y547" t="s">
        <v>1745</v>
      </c>
      <c r="Z547" s="12"/>
      <c r="AA547" s="12"/>
      <c r="AB547" s="12"/>
      <c r="AC547" t="s">
        <v>2125</v>
      </c>
      <c r="AD547" t="str">
        <f>SUBSTITUTE(Master_Reference[[#This Row],[C-Flex 4000K Eco Part Number]],"40-","xx-")</f>
        <v>RP-T8-4FT-2L-8xx-E1-M-G2</v>
      </c>
      <c r="AE547" t="str">
        <f>SUBSTITUTE(Master_Reference[[#This Row],[C-Flex 4000K 3W Part Number]],"40-","xx-")</f>
        <v/>
      </c>
      <c r="AF547" s="1" t="str">
        <f>_xlfn.IFNA(VLOOKUP(Master_Reference[[#This Row],[C-Flex 3000K Eco Part Number]],Lutron_CFlex_Lookup[],MATCH("Lutron Kit PN",Lutron_CFlex_Lookup[#Headers],0),FALSE),"")</f>
        <v>ELD4T8-2M30-q</v>
      </c>
      <c r="AG547" s="1" t="str">
        <f>_xlfn.IFNA(VLOOKUP(Master_Reference[[#This Row],[C-Flex 3500K Eco Part Number]],Lutron_CFlex_Lookup[],MATCH("Lutron Kit PN",Lutron_CFlex_Lookup[#Headers],0),FALSE),"")</f>
        <v>ELD4T8-2M35-q</v>
      </c>
      <c r="AH547" s="1" t="str">
        <f>_xlfn.IFNA(VLOOKUP(Master_Reference[[#This Row],[C-Flex 4000K Eco Part Number]],Lutron_CFlex_Lookup[],MATCH("Lutron Kit PN",Lutron_CFlex_Lookup[#Headers],0),FALSE),"")</f>
        <v>ELD4T8-2M40-q</v>
      </c>
      <c r="AI547" s="1" t="str">
        <f>_xlfn.IFNA(VLOOKUP(Master_Reference[[#This Row],[C-Flex 5000K Eco Part Number]],Lutron_CFlex_Lookup[],MATCH("Lutron Kit PN",Lutron_CFlex_Lookup[#Headers],0),FALSE),"")</f>
        <v>ELD4T8-2M50-q</v>
      </c>
      <c r="AJ547" s="1" t="str">
        <f>_xlfn.IFNA(VLOOKUP(Master_Reference[[#This Row],[C-Flex 3000K 3W Part Number]],Lutron_CFlex_Lookup[],MATCH("Lutron Kit PN",Lutron_CFlex_Lookup[#Headers],0),FALSE),"")</f>
        <v/>
      </c>
      <c r="AK547" s="1" t="str">
        <f>_xlfn.IFNA(VLOOKUP(Master_Reference[[#This Row],[C-Flex 3500K 3W Part Number]],Lutron_CFlex_Lookup[],MATCH("Lutron Kit PN",Lutron_CFlex_Lookup[#Headers],0),FALSE),"")</f>
        <v/>
      </c>
      <c r="AL547" s="1" t="str">
        <f>_xlfn.IFNA(VLOOKUP(Master_Reference[[#This Row],[C-Flex 4000K 3W Part Number]],Lutron_CFlex_Lookup[],MATCH("Lutron Kit PN",Lutron_CFlex_Lookup[#Headers],0),FALSE),"")</f>
        <v/>
      </c>
      <c r="AM547" s="1" t="str">
        <f>_xlfn.IFNA(VLOOKUP(Master_Reference[[#This Row],[C-Flex 5000K 3W Part Number]],Lutron_CFlex_Lookup[],MATCH("Lutron Kit PN",Lutron_CFlex_Lookup[#Headers],0),FALSE),"")</f>
        <v/>
      </c>
      <c r="AN547" s="1" t="b">
        <f>NOT(ISNA(VLOOKUP(Master_Reference[[#This Row],[Model Number]],ObsoleteModels[],1,FALSE)))</f>
        <v>1</v>
      </c>
      <c r="AO547" s="1" t="str">
        <f>IF(LEFT(Master_Reference[[#This Row],[Model Number]],1)="U",LEFT(Master_Reference[[#This Row],[Model Number]],4),LEFT(Master_Reference[[#This Row],[Model Number]],3))</f>
        <v>EHD</v>
      </c>
    </row>
    <row r="548" spans="1:41" x14ac:dyDescent="0.25">
      <c r="A548" s="2" t="s">
        <v>829</v>
      </c>
      <c r="B548" s="1" t="b">
        <v>1</v>
      </c>
      <c r="G548" s="1" t="b">
        <f>IF(OR(LEFT(RIGHT(Master_Reference[[#This Row],[Model Number]],3),1)="C",LEFT(RIGHT(Master_Reference[[#This Row],[Model Number]],4),1)="C"),TRUE,"")</f>
        <v>1</v>
      </c>
      <c r="H548" s="1" t="str">
        <f>IF(LEFT(Master_Reference[[#This Row],[Model Number]],1)="U",TRUE,"")</f>
        <v/>
      </c>
      <c r="I548" s="1" t="str">
        <f>IF(Master_Reference[[#This Row],[Lamp Type]]="T4","",IF(Master_Reference[[#This Row],[Case Type]]="M","",TRUE))</f>
        <v/>
      </c>
      <c r="J548" s="1" t="s">
        <v>111</v>
      </c>
      <c r="K548" s="1">
        <v>32</v>
      </c>
      <c r="L548" s="1" t="s">
        <v>118</v>
      </c>
      <c r="M548" s="1">
        <v>2</v>
      </c>
      <c r="N548" s="1" t="s">
        <v>149</v>
      </c>
      <c r="O548" s="1" t="s">
        <v>632</v>
      </c>
      <c r="R548" t="b">
        <f>IF(COUNTBLANK(Master_Reference[[#This Row],[C-Flex 3000K Eco Part Number]:[C-Flex 4000K Eco Part Number]])=3,FALSE,TRUE)</f>
        <v>1</v>
      </c>
      <c r="S548" t="b">
        <f>IF(COUNTBLANK(Master_Reference[[#This Row],[C-Flex 3000K 3W Part Number]:[C-Flex 4000K 3W Part Number]])=3,FALSE,TRUE)</f>
        <v>0</v>
      </c>
      <c r="T548" t="b">
        <f>IF(COUNTBLANK(Master_Reference[[#This Row],[Lutron 3000K Eco Part Number]:[Lutron 4000K Eco Part Number]])=3,FALSE,TRUE)</f>
        <v>1</v>
      </c>
      <c r="U548" t="b">
        <f>IF(COUNTBLANK(Master_Reference[[#This Row],[Lutron 3000K 3W Part Number]:[Lutron 4000K 3W Part Number]])=3,FALSE,TRUE)</f>
        <v>0</v>
      </c>
      <c r="V548" s="12" t="s">
        <v>316</v>
      </c>
      <c r="W548" s="12" t="s">
        <v>317</v>
      </c>
      <c r="X548" s="12" t="s">
        <v>318</v>
      </c>
      <c r="Y548" t="s">
        <v>1745</v>
      </c>
      <c r="Z548" s="12"/>
      <c r="AA548" s="12"/>
      <c r="AB548" s="12"/>
      <c r="AC548" t="s">
        <v>2125</v>
      </c>
      <c r="AD548" t="str">
        <f>SUBSTITUTE(Master_Reference[[#This Row],[C-Flex 4000K Eco Part Number]],"40-","xx-")</f>
        <v>RP-T8-4FT-2L-8xx-E1-M-G2</v>
      </c>
      <c r="AE548" t="str">
        <f>SUBSTITUTE(Master_Reference[[#This Row],[C-Flex 4000K 3W Part Number]],"40-","xx-")</f>
        <v/>
      </c>
      <c r="AF548" s="1" t="str">
        <f>_xlfn.IFNA(VLOOKUP(Master_Reference[[#This Row],[C-Flex 3000K Eco Part Number]],Lutron_CFlex_Lookup[],MATCH("Lutron Kit PN",Lutron_CFlex_Lookup[#Headers],0),FALSE),"")</f>
        <v>ELD4T8-2M30-q</v>
      </c>
      <c r="AG548" s="1" t="str">
        <f>_xlfn.IFNA(VLOOKUP(Master_Reference[[#This Row],[C-Flex 3500K Eco Part Number]],Lutron_CFlex_Lookup[],MATCH("Lutron Kit PN",Lutron_CFlex_Lookup[#Headers],0),FALSE),"")</f>
        <v>ELD4T8-2M35-q</v>
      </c>
      <c r="AH548" s="1" t="str">
        <f>_xlfn.IFNA(VLOOKUP(Master_Reference[[#This Row],[C-Flex 4000K Eco Part Number]],Lutron_CFlex_Lookup[],MATCH("Lutron Kit PN",Lutron_CFlex_Lookup[#Headers],0),FALSE),"")</f>
        <v>ELD4T8-2M40-q</v>
      </c>
      <c r="AI548" s="1" t="str">
        <f>_xlfn.IFNA(VLOOKUP(Master_Reference[[#This Row],[C-Flex 5000K Eco Part Number]],Lutron_CFlex_Lookup[],MATCH("Lutron Kit PN",Lutron_CFlex_Lookup[#Headers],0),FALSE),"")</f>
        <v>ELD4T8-2M50-q</v>
      </c>
      <c r="AJ548" s="1" t="str">
        <f>_xlfn.IFNA(VLOOKUP(Master_Reference[[#This Row],[C-Flex 3000K 3W Part Number]],Lutron_CFlex_Lookup[],MATCH("Lutron Kit PN",Lutron_CFlex_Lookup[#Headers],0),FALSE),"")</f>
        <v/>
      </c>
      <c r="AK548" s="1" t="str">
        <f>_xlfn.IFNA(VLOOKUP(Master_Reference[[#This Row],[C-Flex 3500K 3W Part Number]],Lutron_CFlex_Lookup[],MATCH("Lutron Kit PN",Lutron_CFlex_Lookup[#Headers],0),FALSE),"")</f>
        <v/>
      </c>
      <c r="AL548" s="1" t="str">
        <f>_xlfn.IFNA(VLOOKUP(Master_Reference[[#This Row],[C-Flex 4000K 3W Part Number]],Lutron_CFlex_Lookup[],MATCH("Lutron Kit PN",Lutron_CFlex_Lookup[#Headers],0),FALSE),"")</f>
        <v/>
      </c>
      <c r="AM548" s="1" t="str">
        <f>_xlfn.IFNA(VLOOKUP(Master_Reference[[#This Row],[C-Flex 5000K 3W Part Number]],Lutron_CFlex_Lookup[],MATCH("Lutron Kit PN",Lutron_CFlex_Lookup[#Headers],0),FALSE),"")</f>
        <v/>
      </c>
      <c r="AN548" s="1" t="b">
        <f>NOT(ISNA(VLOOKUP(Master_Reference[[#This Row],[Model Number]],ObsoleteModels[],1,FALSE)))</f>
        <v>1</v>
      </c>
      <c r="AO548" s="1" t="str">
        <f>IF(LEFT(Master_Reference[[#This Row],[Model Number]],1)="U",LEFT(Master_Reference[[#This Row],[Model Number]],4),LEFT(Master_Reference[[#This Row],[Model Number]],3))</f>
        <v>EHD</v>
      </c>
    </row>
    <row r="549" spans="1:41" x14ac:dyDescent="0.25">
      <c r="A549" s="2" t="s">
        <v>830</v>
      </c>
      <c r="B549" s="1" t="b">
        <v>1</v>
      </c>
      <c r="G549" s="1" t="b">
        <f>IF(OR(LEFT(RIGHT(Master_Reference[[#This Row],[Model Number]],3),1)="C",LEFT(RIGHT(Master_Reference[[#This Row],[Model Number]],4),1)="C"),TRUE,"")</f>
        <v>1</v>
      </c>
      <c r="H549" s="1" t="str">
        <f>IF(LEFT(Master_Reference[[#This Row],[Model Number]],1)="U",TRUE,"")</f>
        <v/>
      </c>
      <c r="I549" s="1" t="str">
        <f>IF(Master_Reference[[#This Row],[Lamp Type]]="T4","",IF(Master_Reference[[#This Row],[Case Type]]="M","",TRUE))</f>
        <v/>
      </c>
      <c r="J549" s="1" t="s">
        <v>111</v>
      </c>
      <c r="K549" s="1">
        <v>32</v>
      </c>
      <c r="L549" s="1" t="s">
        <v>118</v>
      </c>
      <c r="M549" s="1">
        <v>2</v>
      </c>
      <c r="N549" s="1" t="s">
        <v>149</v>
      </c>
      <c r="O549" s="1" t="s">
        <v>632</v>
      </c>
      <c r="R549" t="b">
        <f>IF(COUNTBLANK(Master_Reference[[#This Row],[C-Flex 3000K Eco Part Number]:[C-Flex 4000K Eco Part Number]])=3,FALSE,TRUE)</f>
        <v>1</v>
      </c>
      <c r="S549" t="b">
        <f>IF(COUNTBLANK(Master_Reference[[#This Row],[C-Flex 3000K 3W Part Number]:[C-Flex 4000K 3W Part Number]])=3,FALSE,TRUE)</f>
        <v>0</v>
      </c>
      <c r="T549" t="b">
        <f>IF(COUNTBLANK(Master_Reference[[#This Row],[Lutron 3000K Eco Part Number]:[Lutron 4000K Eco Part Number]])=3,FALSE,TRUE)</f>
        <v>1</v>
      </c>
      <c r="U549" t="b">
        <f>IF(COUNTBLANK(Master_Reference[[#This Row],[Lutron 3000K 3W Part Number]:[Lutron 4000K 3W Part Number]])=3,FALSE,TRUE)</f>
        <v>0</v>
      </c>
      <c r="V549" s="12" t="s">
        <v>316</v>
      </c>
      <c r="W549" s="12" t="s">
        <v>317</v>
      </c>
      <c r="X549" s="12" t="s">
        <v>318</v>
      </c>
      <c r="Y549" t="s">
        <v>1745</v>
      </c>
      <c r="Z549" s="12"/>
      <c r="AA549" s="12"/>
      <c r="AB549" s="12"/>
      <c r="AC549" t="s">
        <v>2125</v>
      </c>
      <c r="AD549" t="str">
        <f>SUBSTITUTE(Master_Reference[[#This Row],[C-Flex 4000K Eco Part Number]],"40-","xx-")</f>
        <v>RP-T8-4FT-2L-8xx-E1-M-G2</v>
      </c>
      <c r="AE549" t="str">
        <f>SUBSTITUTE(Master_Reference[[#This Row],[C-Flex 4000K 3W Part Number]],"40-","xx-")</f>
        <v/>
      </c>
      <c r="AF549" s="1" t="str">
        <f>_xlfn.IFNA(VLOOKUP(Master_Reference[[#This Row],[C-Flex 3000K Eco Part Number]],Lutron_CFlex_Lookup[],MATCH("Lutron Kit PN",Lutron_CFlex_Lookup[#Headers],0),FALSE),"")</f>
        <v>ELD4T8-2M30-q</v>
      </c>
      <c r="AG549" s="1" t="str">
        <f>_xlfn.IFNA(VLOOKUP(Master_Reference[[#This Row],[C-Flex 3500K Eco Part Number]],Lutron_CFlex_Lookup[],MATCH("Lutron Kit PN",Lutron_CFlex_Lookup[#Headers],0),FALSE),"")</f>
        <v>ELD4T8-2M35-q</v>
      </c>
      <c r="AH549" s="1" t="str">
        <f>_xlfn.IFNA(VLOOKUP(Master_Reference[[#This Row],[C-Flex 4000K Eco Part Number]],Lutron_CFlex_Lookup[],MATCH("Lutron Kit PN",Lutron_CFlex_Lookup[#Headers],0),FALSE),"")</f>
        <v>ELD4T8-2M40-q</v>
      </c>
      <c r="AI549" s="1" t="str">
        <f>_xlfn.IFNA(VLOOKUP(Master_Reference[[#This Row],[C-Flex 5000K Eco Part Number]],Lutron_CFlex_Lookup[],MATCH("Lutron Kit PN",Lutron_CFlex_Lookup[#Headers],0),FALSE),"")</f>
        <v>ELD4T8-2M50-q</v>
      </c>
      <c r="AJ549" s="1" t="str">
        <f>_xlfn.IFNA(VLOOKUP(Master_Reference[[#This Row],[C-Flex 3000K 3W Part Number]],Lutron_CFlex_Lookup[],MATCH("Lutron Kit PN",Lutron_CFlex_Lookup[#Headers],0),FALSE),"")</f>
        <v/>
      </c>
      <c r="AK549" s="1" t="str">
        <f>_xlfn.IFNA(VLOOKUP(Master_Reference[[#This Row],[C-Flex 3500K 3W Part Number]],Lutron_CFlex_Lookup[],MATCH("Lutron Kit PN",Lutron_CFlex_Lookup[#Headers],0),FALSE),"")</f>
        <v/>
      </c>
      <c r="AL549" s="1" t="str">
        <f>_xlfn.IFNA(VLOOKUP(Master_Reference[[#This Row],[C-Flex 4000K 3W Part Number]],Lutron_CFlex_Lookup[],MATCH("Lutron Kit PN",Lutron_CFlex_Lookup[#Headers],0),FALSE),"")</f>
        <v/>
      </c>
      <c r="AM549" s="1" t="str">
        <f>_xlfn.IFNA(VLOOKUP(Master_Reference[[#This Row],[C-Flex 5000K 3W Part Number]],Lutron_CFlex_Lookup[],MATCH("Lutron Kit PN",Lutron_CFlex_Lookup[#Headers],0),FALSE),"")</f>
        <v/>
      </c>
      <c r="AN549" s="1" t="b">
        <f>NOT(ISNA(VLOOKUP(Master_Reference[[#This Row],[Model Number]],ObsoleteModels[],1,FALSE)))</f>
        <v>1</v>
      </c>
      <c r="AO549" s="1" t="str">
        <f>IF(LEFT(Master_Reference[[#This Row],[Model Number]],1)="U",LEFT(Master_Reference[[#This Row],[Model Number]],4),LEFT(Master_Reference[[#This Row],[Model Number]],3))</f>
        <v>EHD</v>
      </c>
    </row>
    <row r="550" spans="1:41" x14ac:dyDescent="0.25">
      <c r="A550" s="2" t="s">
        <v>831</v>
      </c>
      <c r="B550" s="1" t="b">
        <v>1</v>
      </c>
      <c r="G550" s="1" t="str">
        <f>IF(OR(LEFT(RIGHT(Master_Reference[[#This Row],[Model Number]],3),1)="C",LEFT(RIGHT(Master_Reference[[#This Row],[Model Number]],4),1)="C"),TRUE,"")</f>
        <v/>
      </c>
      <c r="H550" s="1" t="str">
        <f>IF(LEFT(Master_Reference[[#This Row],[Model Number]],1)="U",TRUE,"")</f>
        <v/>
      </c>
      <c r="I550" s="1" t="str">
        <f>IF(Master_Reference[[#This Row],[Lamp Type]]="T4","",IF(Master_Reference[[#This Row],[Case Type]]="M","",TRUE))</f>
        <v/>
      </c>
      <c r="J550" s="1" t="s">
        <v>111</v>
      </c>
      <c r="K550" s="1">
        <v>28</v>
      </c>
      <c r="L550" s="1" t="s">
        <v>118</v>
      </c>
      <c r="M550" s="1">
        <v>1</v>
      </c>
      <c r="N550" s="1" t="s">
        <v>631</v>
      </c>
      <c r="O550" s="1" t="s">
        <v>632</v>
      </c>
      <c r="Q550" s="1" t="s">
        <v>456</v>
      </c>
      <c r="R550" t="b">
        <f>IF(COUNTBLANK(Master_Reference[[#This Row],[C-Flex 3000K Eco Part Number]:[C-Flex 4000K Eco Part Number]])=3,FALSE,TRUE)</f>
        <v>0</v>
      </c>
      <c r="S550" t="b">
        <f>IF(COUNTBLANK(Master_Reference[[#This Row],[C-Flex 3000K 3W Part Number]:[C-Flex 4000K 3W Part Number]])=3,FALSE,TRUE)</f>
        <v>0</v>
      </c>
      <c r="T550" t="b">
        <f>IF(COUNTBLANK(Master_Reference[[#This Row],[Lutron 3000K Eco Part Number]:[Lutron 4000K Eco Part Number]])=3,FALSE,TRUE)</f>
        <v>0</v>
      </c>
      <c r="U550" t="b">
        <f>IF(COUNTBLANK(Master_Reference[[#This Row],[Lutron 3000K 3W Part Number]:[Lutron 4000K 3W Part Number]])=3,FALSE,TRUE)</f>
        <v>0</v>
      </c>
      <c r="V550" s="12"/>
      <c r="W550" s="12"/>
      <c r="X550" s="12"/>
      <c r="Y550" t="s">
        <v>2125</v>
      </c>
      <c r="Z550" s="12"/>
      <c r="AA550" s="12"/>
      <c r="AB550" s="12"/>
      <c r="AC550" t="s">
        <v>2125</v>
      </c>
      <c r="AD550" t="str">
        <f>SUBSTITUTE(Master_Reference[[#This Row],[C-Flex 4000K Eco Part Number]],"40-","xx-")</f>
        <v/>
      </c>
      <c r="AE550" t="str">
        <f>SUBSTITUTE(Master_Reference[[#This Row],[C-Flex 4000K 3W Part Number]],"40-","xx-")</f>
        <v/>
      </c>
      <c r="AF550" s="1" t="str">
        <f>_xlfn.IFNA(VLOOKUP(Master_Reference[[#This Row],[C-Flex 3000K Eco Part Number]],Lutron_CFlex_Lookup[],MATCH("Lutron Kit PN",Lutron_CFlex_Lookup[#Headers],0),FALSE),"")</f>
        <v/>
      </c>
      <c r="AG550" s="1" t="str">
        <f>_xlfn.IFNA(VLOOKUP(Master_Reference[[#This Row],[C-Flex 3500K Eco Part Number]],Lutron_CFlex_Lookup[],MATCH("Lutron Kit PN",Lutron_CFlex_Lookup[#Headers],0),FALSE),"")</f>
        <v/>
      </c>
      <c r="AH550" s="1" t="str">
        <f>_xlfn.IFNA(VLOOKUP(Master_Reference[[#This Row],[C-Flex 4000K Eco Part Number]],Lutron_CFlex_Lookup[],MATCH("Lutron Kit PN",Lutron_CFlex_Lookup[#Headers],0),FALSE),"")</f>
        <v/>
      </c>
      <c r="AI550" s="1" t="str">
        <f>_xlfn.IFNA(VLOOKUP(Master_Reference[[#This Row],[C-Flex 5000K Eco Part Number]],Lutron_CFlex_Lookup[],MATCH("Lutron Kit PN",Lutron_CFlex_Lookup[#Headers],0),FALSE),"")</f>
        <v/>
      </c>
      <c r="AJ550" s="1" t="str">
        <f>_xlfn.IFNA(VLOOKUP(Master_Reference[[#This Row],[C-Flex 3000K 3W Part Number]],Lutron_CFlex_Lookup[],MATCH("Lutron Kit PN",Lutron_CFlex_Lookup[#Headers],0),FALSE),"")</f>
        <v/>
      </c>
      <c r="AK550" s="1" t="str">
        <f>_xlfn.IFNA(VLOOKUP(Master_Reference[[#This Row],[C-Flex 3500K 3W Part Number]],Lutron_CFlex_Lookup[],MATCH("Lutron Kit PN",Lutron_CFlex_Lookup[#Headers],0),FALSE),"")</f>
        <v/>
      </c>
      <c r="AL550" s="1" t="str">
        <f>_xlfn.IFNA(VLOOKUP(Master_Reference[[#This Row],[C-Flex 4000K 3W Part Number]],Lutron_CFlex_Lookup[],MATCH("Lutron Kit PN",Lutron_CFlex_Lookup[#Headers],0),FALSE),"")</f>
        <v/>
      </c>
      <c r="AM550" s="1" t="str">
        <f>_xlfn.IFNA(VLOOKUP(Master_Reference[[#This Row],[C-Flex 5000K 3W Part Number]],Lutron_CFlex_Lookup[],MATCH("Lutron Kit PN",Lutron_CFlex_Lookup[#Headers],0),FALSE),"")</f>
        <v/>
      </c>
      <c r="AN550" s="1" t="b">
        <f>NOT(ISNA(VLOOKUP(Master_Reference[[#This Row],[Model Number]],ObsoleteModels[],1,FALSE)))</f>
        <v>1</v>
      </c>
      <c r="AO550" s="1" t="str">
        <f>IF(LEFT(Master_Reference[[#This Row],[Model Number]],1)="U",LEFT(Master_Reference[[#This Row],[Model Number]],4),LEFT(Master_Reference[[#This Row],[Model Number]],3))</f>
        <v>EHD</v>
      </c>
    </row>
    <row r="551" spans="1:41" x14ac:dyDescent="0.25">
      <c r="A551" s="2" t="s">
        <v>832</v>
      </c>
      <c r="B551" s="1"/>
      <c r="E551" s="1" t="b">
        <v>1</v>
      </c>
      <c r="G551" s="1" t="str">
        <f>IF(OR(LEFT(RIGHT(Master_Reference[[#This Row],[Model Number]],3),1)="C",LEFT(RIGHT(Master_Reference[[#This Row],[Model Number]],4),1)="C"),TRUE,"")</f>
        <v/>
      </c>
      <c r="H551" s="1" t="str">
        <f>IF(LEFT(Master_Reference[[#This Row],[Model Number]],1)="U",TRUE,"")</f>
        <v/>
      </c>
      <c r="I551" s="1" t="b">
        <f>IF(Master_Reference[[#This Row],[Lamp Type]]="T4","",IF(Master_Reference[[#This Row],[Case Type]]="M","",TRUE))</f>
        <v>1</v>
      </c>
      <c r="J551" s="1" t="s">
        <v>111</v>
      </c>
      <c r="K551" s="1">
        <v>18</v>
      </c>
      <c r="L551" s="1" t="s">
        <v>112</v>
      </c>
      <c r="M551" s="1">
        <v>1</v>
      </c>
      <c r="N551" s="1">
        <v>240</v>
      </c>
      <c r="O551" s="1" t="s">
        <v>144</v>
      </c>
      <c r="Q551" s="1" t="s">
        <v>456</v>
      </c>
      <c r="R551" t="b">
        <f>IF(COUNTBLANK(Master_Reference[[#This Row],[C-Flex 3000K Eco Part Number]:[C-Flex 4000K Eco Part Number]])=3,FALSE,TRUE)</f>
        <v>0</v>
      </c>
      <c r="S551" t="b">
        <f>IF(COUNTBLANK(Master_Reference[[#This Row],[C-Flex 3000K 3W Part Number]:[C-Flex 4000K 3W Part Number]])=3,FALSE,TRUE)</f>
        <v>0</v>
      </c>
      <c r="T551" t="b">
        <f>IF(COUNTBLANK(Master_Reference[[#This Row],[Lutron 3000K Eco Part Number]:[Lutron 4000K Eco Part Number]])=3,FALSE,TRUE)</f>
        <v>0</v>
      </c>
      <c r="U551" t="b">
        <f>IF(COUNTBLANK(Master_Reference[[#This Row],[Lutron 3000K 3W Part Number]:[Lutron 4000K 3W Part Number]])=3,FALSE,TRUE)</f>
        <v>0</v>
      </c>
      <c r="V551" s="12"/>
      <c r="W551" s="12"/>
      <c r="X551" s="12"/>
      <c r="Y551" t="s">
        <v>2125</v>
      </c>
      <c r="Z551" s="12"/>
      <c r="AA551" s="12"/>
      <c r="AB551" s="12"/>
      <c r="AC551" t="s">
        <v>2125</v>
      </c>
      <c r="AD551" t="str">
        <f>SUBSTITUTE(Master_Reference[[#This Row],[C-Flex 4000K Eco Part Number]],"40-","xx-")</f>
        <v/>
      </c>
      <c r="AE551" t="str">
        <f>SUBSTITUTE(Master_Reference[[#This Row],[C-Flex 4000K 3W Part Number]],"40-","xx-")</f>
        <v/>
      </c>
      <c r="AF551" s="1" t="str">
        <f>_xlfn.IFNA(VLOOKUP(Master_Reference[[#This Row],[C-Flex 3000K Eco Part Number]],Lutron_CFlex_Lookup[],MATCH("Lutron Kit PN",Lutron_CFlex_Lookup[#Headers],0),FALSE),"")</f>
        <v/>
      </c>
      <c r="AG551" s="1" t="str">
        <f>_xlfn.IFNA(VLOOKUP(Master_Reference[[#This Row],[C-Flex 3500K Eco Part Number]],Lutron_CFlex_Lookup[],MATCH("Lutron Kit PN",Lutron_CFlex_Lookup[#Headers],0),FALSE),"")</f>
        <v/>
      </c>
      <c r="AH551" s="1" t="str">
        <f>_xlfn.IFNA(VLOOKUP(Master_Reference[[#This Row],[C-Flex 4000K Eco Part Number]],Lutron_CFlex_Lookup[],MATCH("Lutron Kit PN",Lutron_CFlex_Lookup[#Headers],0),FALSE),"")</f>
        <v/>
      </c>
      <c r="AI551" s="1" t="str">
        <f>_xlfn.IFNA(VLOOKUP(Master_Reference[[#This Row],[C-Flex 5000K Eco Part Number]],Lutron_CFlex_Lookup[],MATCH("Lutron Kit PN",Lutron_CFlex_Lookup[#Headers],0),FALSE),"")</f>
        <v/>
      </c>
      <c r="AJ551" s="1" t="str">
        <f>_xlfn.IFNA(VLOOKUP(Master_Reference[[#This Row],[C-Flex 3000K 3W Part Number]],Lutron_CFlex_Lookup[],MATCH("Lutron Kit PN",Lutron_CFlex_Lookup[#Headers],0),FALSE),"")</f>
        <v/>
      </c>
      <c r="AK551" s="1" t="str">
        <f>_xlfn.IFNA(VLOOKUP(Master_Reference[[#This Row],[C-Flex 3500K 3W Part Number]],Lutron_CFlex_Lookup[],MATCH("Lutron Kit PN",Lutron_CFlex_Lookup[#Headers],0),FALSE),"")</f>
        <v/>
      </c>
      <c r="AL551" s="1" t="str">
        <f>_xlfn.IFNA(VLOOKUP(Master_Reference[[#This Row],[C-Flex 4000K 3W Part Number]],Lutron_CFlex_Lookup[],MATCH("Lutron Kit PN",Lutron_CFlex_Lookup[#Headers],0),FALSE),"")</f>
        <v/>
      </c>
      <c r="AM551" s="1" t="str">
        <f>_xlfn.IFNA(VLOOKUP(Master_Reference[[#This Row],[C-Flex 5000K 3W Part Number]],Lutron_CFlex_Lookup[],MATCH("Lutron Kit PN",Lutron_CFlex_Lookup[#Headers],0),FALSE),"")</f>
        <v/>
      </c>
      <c r="AN551" s="1" t="b">
        <f>NOT(ISNA(VLOOKUP(Master_Reference[[#This Row],[Model Number]],ObsoleteModels[],1,FALSE)))</f>
        <v>1</v>
      </c>
      <c r="AO551" s="1" t="str">
        <f>IF(LEFT(Master_Reference[[#This Row],[Model Number]],1)="U",LEFT(Master_Reference[[#This Row],[Model Number]],4),LEFT(Master_Reference[[#This Row],[Model Number]],3))</f>
        <v>FCE</v>
      </c>
    </row>
    <row r="552" spans="1:41" x14ac:dyDescent="0.25">
      <c r="A552" s="2" t="s">
        <v>833</v>
      </c>
      <c r="B552" s="1"/>
      <c r="E552" s="1" t="b">
        <v>1</v>
      </c>
      <c r="G552" s="1" t="str">
        <f>IF(OR(LEFT(RIGHT(Master_Reference[[#This Row],[Model Number]],3),1)="C",LEFT(RIGHT(Master_Reference[[#This Row],[Model Number]],4),1)="C"),TRUE,"")</f>
        <v/>
      </c>
      <c r="H552" s="1" t="str">
        <f>IF(LEFT(Master_Reference[[#This Row],[Model Number]],1)="U",TRUE,"")</f>
        <v/>
      </c>
      <c r="I552" s="1" t="b">
        <f>IF(Master_Reference[[#This Row],[Lamp Type]]="T4","",IF(Master_Reference[[#This Row],[Case Type]]="M","",TRUE))</f>
        <v>1</v>
      </c>
      <c r="J552" s="1" t="s">
        <v>111</v>
      </c>
      <c r="K552" s="1">
        <v>18</v>
      </c>
      <c r="L552" s="1" t="s">
        <v>112</v>
      </c>
      <c r="M552" s="1">
        <v>2</v>
      </c>
      <c r="N552" s="1">
        <v>240</v>
      </c>
      <c r="O552" s="1" t="s">
        <v>144</v>
      </c>
      <c r="Q552" s="1" t="s">
        <v>456</v>
      </c>
      <c r="R552" t="b">
        <f>IF(COUNTBLANK(Master_Reference[[#This Row],[C-Flex 3000K Eco Part Number]:[C-Flex 4000K Eco Part Number]])=3,FALSE,TRUE)</f>
        <v>0</v>
      </c>
      <c r="S552" t="b">
        <f>IF(COUNTBLANK(Master_Reference[[#This Row],[C-Flex 3000K 3W Part Number]:[C-Flex 4000K 3W Part Number]])=3,FALSE,TRUE)</f>
        <v>0</v>
      </c>
      <c r="T552" t="b">
        <f>IF(COUNTBLANK(Master_Reference[[#This Row],[Lutron 3000K Eco Part Number]:[Lutron 4000K Eco Part Number]])=3,FALSE,TRUE)</f>
        <v>0</v>
      </c>
      <c r="U552" t="b">
        <f>IF(COUNTBLANK(Master_Reference[[#This Row],[Lutron 3000K 3W Part Number]:[Lutron 4000K 3W Part Number]])=3,FALSE,TRUE)</f>
        <v>0</v>
      </c>
      <c r="V552" s="12"/>
      <c r="W552" s="12"/>
      <c r="X552" s="12"/>
      <c r="Y552" t="s">
        <v>2125</v>
      </c>
      <c r="Z552" s="12"/>
      <c r="AA552" s="12"/>
      <c r="AB552" s="12"/>
      <c r="AC552" t="s">
        <v>2125</v>
      </c>
      <c r="AD552" t="str">
        <f>SUBSTITUTE(Master_Reference[[#This Row],[C-Flex 4000K Eco Part Number]],"40-","xx-")</f>
        <v/>
      </c>
      <c r="AE552" t="str">
        <f>SUBSTITUTE(Master_Reference[[#This Row],[C-Flex 4000K 3W Part Number]],"40-","xx-")</f>
        <v/>
      </c>
      <c r="AF552" s="1" t="str">
        <f>_xlfn.IFNA(VLOOKUP(Master_Reference[[#This Row],[C-Flex 3000K Eco Part Number]],Lutron_CFlex_Lookup[],MATCH("Lutron Kit PN",Lutron_CFlex_Lookup[#Headers],0),FALSE),"")</f>
        <v/>
      </c>
      <c r="AG552" s="1" t="str">
        <f>_xlfn.IFNA(VLOOKUP(Master_Reference[[#This Row],[C-Flex 3500K Eco Part Number]],Lutron_CFlex_Lookup[],MATCH("Lutron Kit PN",Lutron_CFlex_Lookup[#Headers],0),FALSE),"")</f>
        <v/>
      </c>
      <c r="AH552" s="1" t="str">
        <f>_xlfn.IFNA(VLOOKUP(Master_Reference[[#This Row],[C-Flex 4000K Eco Part Number]],Lutron_CFlex_Lookup[],MATCH("Lutron Kit PN",Lutron_CFlex_Lookup[#Headers],0),FALSE),"")</f>
        <v/>
      </c>
      <c r="AI552" s="1" t="str">
        <f>_xlfn.IFNA(VLOOKUP(Master_Reference[[#This Row],[C-Flex 5000K Eco Part Number]],Lutron_CFlex_Lookup[],MATCH("Lutron Kit PN",Lutron_CFlex_Lookup[#Headers],0),FALSE),"")</f>
        <v/>
      </c>
      <c r="AJ552" s="1" t="str">
        <f>_xlfn.IFNA(VLOOKUP(Master_Reference[[#This Row],[C-Flex 3000K 3W Part Number]],Lutron_CFlex_Lookup[],MATCH("Lutron Kit PN",Lutron_CFlex_Lookup[#Headers],0),FALSE),"")</f>
        <v/>
      </c>
      <c r="AK552" s="1" t="str">
        <f>_xlfn.IFNA(VLOOKUP(Master_Reference[[#This Row],[C-Flex 3500K 3W Part Number]],Lutron_CFlex_Lookup[],MATCH("Lutron Kit PN",Lutron_CFlex_Lookup[#Headers],0),FALSE),"")</f>
        <v/>
      </c>
      <c r="AL552" s="1" t="str">
        <f>_xlfn.IFNA(VLOOKUP(Master_Reference[[#This Row],[C-Flex 4000K 3W Part Number]],Lutron_CFlex_Lookup[],MATCH("Lutron Kit PN",Lutron_CFlex_Lookup[#Headers],0),FALSE),"")</f>
        <v/>
      </c>
      <c r="AM552" s="1" t="str">
        <f>_xlfn.IFNA(VLOOKUP(Master_Reference[[#This Row],[C-Flex 5000K 3W Part Number]],Lutron_CFlex_Lookup[],MATCH("Lutron Kit PN",Lutron_CFlex_Lookup[#Headers],0),FALSE),"")</f>
        <v/>
      </c>
      <c r="AN552" s="1" t="b">
        <f>NOT(ISNA(VLOOKUP(Master_Reference[[#This Row],[Model Number]],ObsoleteModels[],1,FALSE)))</f>
        <v>1</v>
      </c>
      <c r="AO552" s="1" t="str">
        <f>IF(LEFT(Master_Reference[[#This Row],[Model Number]],1)="U",LEFT(Master_Reference[[#This Row],[Model Number]],4),LEFT(Master_Reference[[#This Row],[Model Number]],3))</f>
        <v>FCE</v>
      </c>
    </row>
    <row r="553" spans="1:41" x14ac:dyDescent="0.25">
      <c r="A553" s="2" t="s">
        <v>834</v>
      </c>
      <c r="B553" s="1"/>
      <c r="E553" s="1" t="b">
        <v>1</v>
      </c>
      <c r="G553" s="1" t="str">
        <f>IF(OR(LEFT(RIGHT(Master_Reference[[#This Row],[Model Number]],3),1)="C",LEFT(RIGHT(Master_Reference[[#This Row],[Model Number]],4),1)="C"),TRUE,"")</f>
        <v/>
      </c>
      <c r="H553" s="1" t="str">
        <f>IF(LEFT(Master_Reference[[#This Row],[Model Number]],1)="U",TRUE,"")</f>
        <v/>
      </c>
      <c r="I553" s="1" t="b">
        <f>IF(Master_Reference[[#This Row],[Lamp Type]]="T4","",IF(Master_Reference[[#This Row],[Case Type]]="M","",TRUE))</f>
        <v>1</v>
      </c>
      <c r="J553" s="1" t="s">
        <v>111</v>
      </c>
      <c r="K553" s="1">
        <v>36</v>
      </c>
      <c r="L553" s="1" t="s">
        <v>118</v>
      </c>
      <c r="M553" s="1">
        <v>1</v>
      </c>
      <c r="N553" s="1">
        <v>240</v>
      </c>
      <c r="O553" s="1" t="s">
        <v>144</v>
      </c>
      <c r="Q553" s="1" t="s">
        <v>456</v>
      </c>
      <c r="R553" t="b">
        <f>IF(COUNTBLANK(Master_Reference[[#This Row],[C-Flex 3000K Eco Part Number]:[C-Flex 4000K Eco Part Number]])=3,FALSE,TRUE)</f>
        <v>0</v>
      </c>
      <c r="S553" t="b">
        <f>IF(COUNTBLANK(Master_Reference[[#This Row],[C-Flex 3000K 3W Part Number]:[C-Flex 4000K 3W Part Number]])=3,FALSE,TRUE)</f>
        <v>0</v>
      </c>
      <c r="T553" t="b">
        <f>IF(COUNTBLANK(Master_Reference[[#This Row],[Lutron 3000K Eco Part Number]:[Lutron 4000K Eco Part Number]])=3,FALSE,TRUE)</f>
        <v>0</v>
      </c>
      <c r="U553" t="b">
        <f>IF(COUNTBLANK(Master_Reference[[#This Row],[Lutron 3000K 3W Part Number]:[Lutron 4000K 3W Part Number]])=3,FALSE,TRUE)</f>
        <v>0</v>
      </c>
      <c r="V553" s="12"/>
      <c r="W553" s="12"/>
      <c r="X553" s="12"/>
      <c r="Y553" t="s">
        <v>2125</v>
      </c>
      <c r="Z553" s="12"/>
      <c r="AA553" s="12"/>
      <c r="AB553" s="12"/>
      <c r="AC553" t="s">
        <v>2125</v>
      </c>
      <c r="AD553" t="str">
        <f>SUBSTITUTE(Master_Reference[[#This Row],[C-Flex 4000K Eco Part Number]],"40-","xx-")</f>
        <v/>
      </c>
      <c r="AE553" t="str">
        <f>SUBSTITUTE(Master_Reference[[#This Row],[C-Flex 4000K 3W Part Number]],"40-","xx-")</f>
        <v/>
      </c>
      <c r="AF553" s="1" t="str">
        <f>_xlfn.IFNA(VLOOKUP(Master_Reference[[#This Row],[C-Flex 3000K Eco Part Number]],Lutron_CFlex_Lookup[],MATCH("Lutron Kit PN",Lutron_CFlex_Lookup[#Headers],0),FALSE),"")</f>
        <v/>
      </c>
      <c r="AG553" s="1" t="str">
        <f>_xlfn.IFNA(VLOOKUP(Master_Reference[[#This Row],[C-Flex 3500K Eco Part Number]],Lutron_CFlex_Lookup[],MATCH("Lutron Kit PN",Lutron_CFlex_Lookup[#Headers],0),FALSE),"")</f>
        <v/>
      </c>
      <c r="AH553" s="1" t="str">
        <f>_xlfn.IFNA(VLOOKUP(Master_Reference[[#This Row],[C-Flex 4000K Eco Part Number]],Lutron_CFlex_Lookup[],MATCH("Lutron Kit PN",Lutron_CFlex_Lookup[#Headers],0),FALSE),"")</f>
        <v/>
      </c>
      <c r="AI553" s="1" t="str">
        <f>_xlfn.IFNA(VLOOKUP(Master_Reference[[#This Row],[C-Flex 5000K Eco Part Number]],Lutron_CFlex_Lookup[],MATCH("Lutron Kit PN",Lutron_CFlex_Lookup[#Headers],0),FALSE),"")</f>
        <v/>
      </c>
      <c r="AJ553" s="1" t="str">
        <f>_xlfn.IFNA(VLOOKUP(Master_Reference[[#This Row],[C-Flex 3000K 3W Part Number]],Lutron_CFlex_Lookup[],MATCH("Lutron Kit PN",Lutron_CFlex_Lookup[#Headers],0),FALSE),"")</f>
        <v/>
      </c>
      <c r="AK553" s="1" t="str">
        <f>_xlfn.IFNA(VLOOKUP(Master_Reference[[#This Row],[C-Flex 3500K 3W Part Number]],Lutron_CFlex_Lookup[],MATCH("Lutron Kit PN",Lutron_CFlex_Lookup[#Headers],0),FALSE),"")</f>
        <v/>
      </c>
      <c r="AL553" s="1" t="str">
        <f>_xlfn.IFNA(VLOOKUP(Master_Reference[[#This Row],[C-Flex 4000K 3W Part Number]],Lutron_CFlex_Lookup[],MATCH("Lutron Kit PN",Lutron_CFlex_Lookup[#Headers],0),FALSE),"")</f>
        <v/>
      </c>
      <c r="AM553" s="1" t="str">
        <f>_xlfn.IFNA(VLOOKUP(Master_Reference[[#This Row],[C-Flex 5000K 3W Part Number]],Lutron_CFlex_Lookup[],MATCH("Lutron Kit PN",Lutron_CFlex_Lookup[#Headers],0),FALSE),"")</f>
        <v/>
      </c>
      <c r="AN553" s="1" t="b">
        <f>NOT(ISNA(VLOOKUP(Master_Reference[[#This Row],[Model Number]],ObsoleteModels[],1,FALSE)))</f>
        <v>1</v>
      </c>
      <c r="AO553" s="1" t="str">
        <f>IF(LEFT(Master_Reference[[#This Row],[Model Number]],1)="U",LEFT(Master_Reference[[#This Row],[Model Number]],4),LEFT(Master_Reference[[#This Row],[Model Number]],3))</f>
        <v>FCE</v>
      </c>
    </row>
    <row r="554" spans="1:41" x14ac:dyDescent="0.25">
      <c r="A554" s="2" t="s">
        <v>835</v>
      </c>
      <c r="B554" s="1"/>
      <c r="E554" s="1" t="b">
        <v>1</v>
      </c>
      <c r="G554" s="1" t="str">
        <f>IF(OR(LEFT(RIGHT(Master_Reference[[#This Row],[Model Number]],3),1)="C",LEFT(RIGHT(Master_Reference[[#This Row],[Model Number]],4),1)="C"),TRUE,"")</f>
        <v/>
      </c>
      <c r="H554" s="1" t="str">
        <f>IF(LEFT(Master_Reference[[#This Row],[Model Number]],1)="U",TRUE,"")</f>
        <v/>
      </c>
      <c r="I554" s="1" t="b">
        <f>IF(Master_Reference[[#This Row],[Lamp Type]]="T4","",IF(Master_Reference[[#This Row],[Case Type]]="M","",TRUE))</f>
        <v>1</v>
      </c>
      <c r="J554" s="1" t="s">
        <v>111</v>
      </c>
      <c r="K554" s="1">
        <v>36</v>
      </c>
      <c r="L554" s="1" t="s">
        <v>118</v>
      </c>
      <c r="M554" s="1">
        <v>2</v>
      </c>
      <c r="N554" s="1">
        <v>240</v>
      </c>
      <c r="O554" s="1" t="s">
        <v>144</v>
      </c>
      <c r="Q554" s="1" t="s">
        <v>456</v>
      </c>
      <c r="R554" t="b">
        <f>IF(COUNTBLANK(Master_Reference[[#This Row],[C-Flex 3000K Eco Part Number]:[C-Flex 4000K Eco Part Number]])=3,FALSE,TRUE)</f>
        <v>0</v>
      </c>
      <c r="S554" t="b">
        <f>IF(COUNTBLANK(Master_Reference[[#This Row],[C-Flex 3000K 3W Part Number]:[C-Flex 4000K 3W Part Number]])=3,FALSE,TRUE)</f>
        <v>0</v>
      </c>
      <c r="T554" t="b">
        <f>IF(COUNTBLANK(Master_Reference[[#This Row],[Lutron 3000K Eco Part Number]:[Lutron 4000K Eco Part Number]])=3,FALSE,TRUE)</f>
        <v>0</v>
      </c>
      <c r="U554" t="b">
        <f>IF(COUNTBLANK(Master_Reference[[#This Row],[Lutron 3000K 3W Part Number]:[Lutron 4000K 3W Part Number]])=3,FALSE,TRUE)</f>
        <v>0</v>
      </c>
      <c r="V554" s="12"/>
      <c r="W554" s="12"/>
      <c r="X554" s="12"/>
      <c r="Y554" t="s">
        <v>2125</v>
      </c>
      <c r="Z554" s="12"/>
      <c r="AA554" s="12"/>
      <c r="AB554" s="12"/>
      <c r="AC554" t="s">
        <v>2125</v>
      </c>
      <c r="AD554" t="str">
        <f>SUBSTITUTE(Master_Reference[[#This Row],[C-Flex 4000K Eco Part Number]],"40-","xx-")</f>
        <v/>
      </c>
      <c r="AE554" t="str">
        <f>SUBSTITUTE(Master_Reference[[#This Row],[C-Flex 4000K 3W Part Number]],"40-","xx-")</f>
        <v/>
      </c>
      <c r="AF554" s="1" t="str">
        <f>_xlfn.IFNA(VLOOKUP(Master_Reference[[#This Row],[C-Flex 3000K Eco Part Number]],Lutron_CFlex_Lookup[],MATCH("Lutron Kit PN",Lutron_CFlex_Lookup[#Headers],0),FALSE),"")</f>
        <v/>
      </c>
      <c r="AG554" s="1" t="str">
        <f>_xlfn.IFNA(VLOOKUP(Master_Reference[[#This Row],[C-Flex 3500K Eco Part Number]],Lutron_CFlex_Lookup[],MATCH("Lutron Kit PN",Lutron_CFlex_Lookup[#Headers],0),FALSE),"")</f>
        <v/>
      </c>
      <c r="AH554" s="1" t="str">
        <f>_xlfn.IFNA(VLOOKUP(Master_Reference[[#This Row],[C-Flex 4000K Eco Part Number]],Lutron_CFlex_Lookup[],MATCH("Lutron Kit PN",Lutron_CFlex_Lookup[#Headers],0),FALSE),"")</f>
        <v/>
      </c>
      <c r="AI554" s="1" t="str">
        <f>_xlfn.IFNA(VLOOKUP(Master_Reference[[#This Row],[C-Flex 5000K Eco Part Number]],Lutron_CFlex_Lookup[],MATCH("Lutron Kit PN",Lutron_CFlex_Lookup[#Headers],0),FALSE),"")</f>
        <v/>
      </c>
      <c r="AJ554" s="1" t="str">
        <f>_xlfn.IFNA(VLOOKUP(Master_Reference[[#This Row],[C-Flex 3000K 3W Part Number]],Lutron_CFlex_Lookup[],MATCH("Lutron Kit PN",Lutron_CFlex_Lookup[#Headers],0),FALSE),"")</f>
        <v/>
      </c>
      <c r="AK554" s="1" t="str">
        <f>_xlfn.IFNA(VLOOKUP(Master_Reference[[#This Row],[C-Flex 3500K 3W Part Number]],Lutron_CFlex_Lookup[],MATCH("Lutron Kit PN",Lutron_CFlex_Lookup[#Headers],0),FALSE),"")</f>
        <v/>
      </c>
      <c r="AL554" s="1" t="str">
        <f>_xlfn.IFNA(VLOOKUP(Master_Reference[[#This Row],[C-Flex 4000K 3W Part Number]],Lutron_CFlex_Lookup[],MATCH("Lutron Kit PN",Lutron_CFlex_Lookup[#Headers],0),FALSE),"")</f>
        <v/>
      </c>
      <c r="AM554" s="1" t="str">
        <f>_xlfn.IFNA(VLOOKUP(Master_Reference[[#This Row],[C-Flex 5000K 3W Part Number]],Lutron_CFlex_Lookup[],MATCH("Lutron Kit PN",Lutron_CFlex_Lookup[#Headers],0),FALSE),"")</f>
        <v/>
      </c>
      <c r="AN554" s="1" t="b">
        <f>NOT(ISNA(VLOOKUP(Master_Reference[[#This Row],[Model Number]],ObsoleteModels[],1,FALSE)))</f>
        <v>1</v>
      </c>
      <c r="AO554" s="1" t="str">
        <f>IF(LEFT(Master_Reference[[#This Row],[Model Number]],1)="U",LEFT(Master_Reference[[#This Row],[Model Number]],4),LEFT(Master_Reference[[#This Row],[Model Number]],3))</f>
        <v>FCE</v>
      </c>
    </row>
    <row r="555" spans="1:41" x14ac:dyDescent="0.25">
      <c r="A555" s="2" t="s">
        <v>836</v>
      </c>
      <c r="B555" s="1"/>
      <c r="E555" s="1" t="b">
        <v>1</v>
      </c>
      <c r="G555" s="1" t="str">
        <f>IF(OR(LEFT(RIGHT(Master_Reference[[#This Row],[Model Number]],3),1)="C",LEFT(RIGHT(Master_Reference[[#This Row],[Model Number]],4),1)="C"),TRUE,"")</f>
        <v/>
      </c>
      <c r="H555" s="1" t="str">
        <f>IF(LEFT(Master_Reference[[#This Row],[Model Number]],1)="U",TRUE,"")</f>
        <v/>
      </c>
      <c r="I555" s="1" t="b">
        <f>IF(Master_Reference[[#This Row],[Lamp Type]]="T4","",IF(Master_Reference[[#This Row],[Case Type]]="M","",TRUE))</f>
        <v>1</v>
      </c>
      <c r="J555" s="1" t="s">
        <v>111</v>
      </c>
      <c r="K555" s="1">
        <v>58</v>
      </c>
      <c r="L555" s="1" t="s">
        <v>220</v>
      </c>
      <c r="M555" s="1">
        <v>1</v>
      </c>
      <c r="N555" s="1">
        <v>240</v>
      </c>
      <c r="O555" s="1" t="s">
        <v>144</v>
      </c>
      <c r="Q555" s="1" t="s">
        <v>456</v>
      </c>
      <c r="R555" t="b">
        <f>IF(COUNTBLANK(Master_Reference[[#This Row],[C-Flex 3000K Eco Part Number]:[C-Flex 4000K Eco Part Number]])=3,FALSE,TRUE)</f>
        <v>0</v>
      </c>
      <c r="S555" t="b">
        <f>IF(COUNTBLANK(Master_Reference[[#This Row],[C-Flex 3000K 3W Part Number]:[C-Flex 4000K 3W Part Number]])=3,FALSE,TRUE)</f>
        <v>0</v>
      </c>
      <c r="T555" t="b">
        <f>IF(COUNTBLANK(Master_Reference[[#This Row],[Lutron 3000K Eco Part Number]:[Lutron 4000K Eco Part Number]])=3,FALSE,TRUE)</f>
        <v>0</v>
      </c>
      <c r="U555" t="b">
        <f>IF(COUNTBLANK(Master_Reference[[#This Row],[Lutron 3000K 3W Part Number]:[Lutron 4000K 3W Part Number]])=3,FALSE,TRUE)</f>
        <v>0</v>
      </c>
      <c r="V555" s="12"/>
      <c r="W555" s="12"/>
      <c r="X555" s="12"/>
      <c r="Y555" t="s">
        <v>2125</v>
      </c>
      <c r="Z555" s="12"/>
      <c r="AA555" s="12"/>
      <c r="AB555" s="12"/>
      <c r="AC555" t="s">
        <v>2125</v>
      </c>
      <c r="AD555" t="str">
        <f>SUBSTITUTE(Master_Reference[[#This Row],[C-Flex 4000K Eco Part Number]],"40-","xx-")</f>
        <v/>
      </c>
      <c r="AE555" t="str">
        <f>SUBSTITUTE(Master_Reference[[#This Row],[C-Flex 4000K 3W Part Number]],"40-","xx-")</f>
        <v/>
      </c>
      <c r="AF555" s="1" t="str">
        <f>_xlfn.IFNA(VLOOKUP(Master_Reference[[#This Row],[C-Flex 3000K Eco Part Number]],Lutron_CFlex_Lookup[],MATCH("Lutron Kit PN",Lutron_CFlex_Lookup[#Headers],0),FALSE),"")</f>
        <v/>
      </c>
      <c r="AG555" s="1" t="str">
        <f>_xlfn.IFNA(VLOOKUP(Master_Reference[[#This Row],[C-Flex 3500K Eco Part Number]],Lutron_CFlex_Lookup[],MATCH("Lutron Kit PN",Lutron_CFlex_Lookup[#Headers],0),FALSE),"")</f>
        <v/>
      </c>
      <c r="AH555" s="1" t="str">
        <f>_xlfn.IFNA(VLOOKUP(Master_Reference[[#This Row],[C-Flex 4000K Eco Part Number]],Lutron_CFlex_Lookup[],MATCH("Lutron Kit PN",Lutron_CFlex_Lookup[#Headers],0),FALSE),"")</f>
        <v/>
      </c>
      <c r="AI555" s="1" t="str">
        <f>_xlfn.IFNA(VLOOKUP(Master_Reference[[#This Row],[C-Flex 5000K Eco Part Number]],Lutron_CFlex_Lookup[],MATCH("Lutron Kit PN",Lutron_CFlex_Lookup[#Headers],0),FALSE),"")</f>
        <v/>
      </c>
      <c r="AJ555" s="1" t="str">
        <f>_xlfn.IFNA(VLOOKUP(Master_Reference[[#This Row],[C-Flex 3000K 3W Part Number]],Lutron_CFlex_Lookup[],MATCH("Lutron Kit PN",Lutron_CFlex_Lookup[#Headers],0),FALSE),"")</f>
        <v/>
      </c>
      <c r="AK555" s="1" t="str">
        <f>_xlfn.IFNA(VLOOKUP(Master_Reference[[#This Row],[C-Flex 3500K 3W Part Number]],Lutron_CFlex_Lookup[],MATCH("Lutron Kit PN",Lutron_CFlex_Lookup[#Headers],0),FALSE),"")</f>
        <v/>
      </c>
      <c r="AL555" s="1" t="str">
        <f>_xlfn.IFNA(VLOOKUP(Master_Reference[[#This Row],[C-Flex 4000K 3W Part Number]],Lutron_CFlex_Lookup[],MATCH("Lutron Kit PN",Lutron_CFlex_Lookup[#Headers],0),FALSE),"")</f>
        <v/>
      </c>
      <c r="AM555" s="1" t="str">
        <f>_xlfn.IFNA(VLOOKUP(Master_Reference[[#This Row],[C-Flex 5000K 3W Part Number]],Lutron_CFlex_Lookup[],MATCH("Lutron Kit PN",Lutron_CFlex_Lookup[#Headers],0),FALSE),"")</f>
        <v/>
      </c>
      <c r="AN555" s="1" t="b">
        <f>NOT(ISNA(VLOOKUP(Master_Reference[[#This Row],[Model Number]],ObsoleteModels[],1,FALSE)))</f>
        <v>1</v>
      </c>
      <c r="AO555" s="1" t="str">
        <f>IF(LEFT(Master_Reference[[#This Row],[Model Number]],1)="U",LEFT(Master_Reference[[#This Row],[Model Number]],4),LEFT(Master_Reference[[#This Row],[Model Number]],3))</f>
        <v>FCE</v>
      </c>
    </row>
    <row r="556" spans="1:41" x14ac:dyDescent="0.25">
      <c r="A556" s="2" t="s">
        <v>837</v>
      </c>
      <c r="B556" s="1"/>
      <c r="E556" s="1" t="b">
        <v>1</v>
      </c>
      <c r="G556" s="1" t="str">
        <f>IF(OR(LEFT(RIGHT(Master_Reference[[#This Row],[Model Number]],3),1)="C",LEFT(RIGHT(Master_Reference[[#This Row],[Model Number]],4),1)="C"),TRUE,"")</f>
        <v/>
      </c>
      <c r="H556" s="1" t="str">
        <f>IF(LEFT(Master_Reference[[#This Row],[Model Number]],1)="U",TRUE,"")</f>
        <v/>
      </c>
      <c r="I556" s="1" t="b">
        <f>IF(Master_Reference[[#This Row],[Lamp Type]]="T4","",IF(Master_Reference[[#This Row],[Case Type]]="M","",TRUE))</f>
        <v>1</v>
      </c>
      <c r="J556" s="1" t="s">
        <v>111</v>
      </c>
      <c r="K556" s="1">
        <v>58</v>
      </c>
      <c r="L556" s="1" t="s">
        <v>220</v>
      </c>
      <c r="M556" s="1">
        <v>2</v>
      </c>
      <c r="N556" s="1">
        <v>240</v>
      </c>
      <c r="O556" s="1" t="s">
        <v>144</v>
      </c>
      <c r="Q556" s="1" t="s">
        <v>456</v>
      </c>
      <c r="R556" t="b">
        <f>IF(COUNTBLANK(Master_Reference[[#This Row],[C-Flex 3000K Eco Part Number]:[C-Flex 4000K Eco Part Number]])=3,FALSE,TRUE)</f>
        <v>0</v>
      </c>
      <c r="S556" t="b">
        <f>IF(COUNTBLANK(Master_Reference[[#This Row],[C-Flex 3000K 3W Part Number]:[C-Flex 4000K 3W Part Number]])=3,FALSE,TRUE)</f>
        <v>0</v>
      </c>
      <c r="T556" t="b">
        <f>IF(COUNTBLANK(Master_Reference[[#This Row],[Lutron 3000K Eco Part Number]:[Lutron 4000K Eco Part Number]])=3,FALSE,TRUE)</f>
        <v>0</v>
      </c>
      <c r="U556" t="b">
        <f>IF(COUNTBLANK(Master_Reference[[#This Row],[Lutron 3000K 3W Part Number]:[Lutron 4000K 3W Part Number]])=3,FALSE,TRUE)</f>
        <v>0</v>
      </c>
      <c r="V556" s="12"/>
      <c r="W556" s="12"/>
      <c r="X556" s="12"/>
      <c r="Y556" t="s">
        <v>2125</v>
      </c>
      <c r="Z556" s="12"/>
      <c r="AA556" s="12"/>
      <c r="AB556" s="12"/>
      <c r="AC556" t="s">
        <v>2125</v>
      </c>
      <c r="AD556" t="str">
        <f>SUBSTITUTE(Master_Reference[[#This Row],[C-Flex 4000K Eco Part Number]],"40-","xx-")</f>
        <v/>
      </c>
      <c r="AE556" t="str">
        <f>SUBSTITUTE(Master_Reference[[#This Row],[C-Flex 4000K 3W Part Number]],"40-","xx-")</f>
        <v/>
      </c>
      <c r="AF556" s="1" t="str">
        <f>_xlfn.IFNA(VLOOKUP(Master_Reference[[#This Row],[C-Flex 3000K Eco Part Number]],Lutron_CFlex_Lookup[],MATCH("Lutron Kit PN",Lutron_CFlex_Lookup[#Headers],0),FALSE),"")</f>
        <v/>
      </c>
      <c r="AG556" s="1" t="str">
        <f>_xlfn.IFNA(VLOOKUP(Master_Reference[[#This Row],[C-Flex 3500K Eco Part Number]],Lutron_CFlex_Lookup[],MATCH("Lutron Kit PN",Lutron_CFlex_Lookup[#Headers],0),FALSE),"")</f>
        <v/>
      </c>
      <c r="AH556" s="1" t="str">
        <f>_xlfn.IFNA(VLOOKUP(Master_Reference[[#This Row],[C-Flex 4000K Eco Part Number]],Lutron_CFlex_Lookup[],MATCH("Lutron Kit PN",Lutron_CFlex_Lookup[#Headers],0),FALSE),"")</f>
        <v/>
      </c>
      <c r="AI556" s="1" t="str">
        <f>_xlfn.IFNA(VLOOKUP(Master_Reference[[#This Row],[C-Flex 5000K Eco Part Number]],Lutron_CFlex_Lookup[],MATCH("Lutron Kit PN",Lutron_CFlex_Lookup[#Headers],0),FALSE),"")</f>
        <v/>
      </c>
      <c r="AJ556" s="1" t="str">
        <f>_xlfn.IFNA(VLOOKUP(Master_Reference[[#This Row],[C-Flex 3000K 3W Part Number]],Lutron_CFlex_Lookup[],MATCH("Lutron Kit PN",Lutron_CFlex_Lookup[#Headers],0),FALSE),"")</f>
        <v/>
      </c>
      <c r="AK556" s="1" t="str">
        <f>_xlfn.IFNA(VLOOKUP(Master_Reference[[#This Row],[C-Flex 3500K 3W Part Number]],Lutron_CFlex_Lookup[],MATCH("Lutron Kit PN",Lutron_CFlex_Lookup[#Headers],0),FALSE),"")</f>
        <v/>
      </c>
      <c r="AL556" s="1" t="str">
        <f>_xlfn.IFNA(VLOOKUP(Master_Reference[[#This Row],[C-Flex 4000K 3W Part Number]],Lutron_CFlex_Lookup[],MATCH("Lutron Kit PN",Lutron_CFlex_Lookup[#Headers],0),FALSE),"")</f>
        <v/>
      </c>
      <c r="AM556" s="1" t="str">
        <f>_xlfn.IFNA(VLOOKUP(Master_Reference[[#This Row],[C-Flex 5000K 3W Part Number]],Lutron_CFlex_Lookup[],MATCH("Lutron Kit PN",Lutron_CFlex_Lookup[#Headers],0),FALSE),"")</f>
        <v/>
      </c>
      <c r="AN556" s="1" t="b">
        <f>NOT(ISNA(VLOOKUP(Master_Reference[[#This Row],[Model Number]],ObsoleteModels[],1,FALSE)))</f>
        <v>1</v>
      </c>
      <c r="AO556" s="1" t="str">
        <f>IF(LEFT(Master_Reference[[#This Row],[Model Number]],1)="U",LEFT(Master_Reference[[#This Row],[Model Number]],4),LEFT(Master_Reference[[#This Row],[Model Number]],3))</f>
        <v>FCE</v>
      </c>
    </row>
    <row r="557" spans="1:41" x14ac:dyDescent="0.25">
      <c r="A557" s="2" t="s">
        <v>838</v>
      </c>
      <c r="B557" s="1"/>
      <c r="C557" s="1" t="b">
        <v>1</v>
      </c>
      <c r="G557" s="1" t="str">
        <f>IF(OR(LEFT(RIGHT(Master_Reference[[#This Row],[Model Number]],3),1)="C",LEFT(RIGHT(Master_Reference[[#This Row],[Model Number]],4),1)="C"),TRUE,"")</f>
        <v/>
      </c>
      <c r="H557" s="1" t="str">
        <f>IF(LEFT(Master_Reference[[#This Row],[Model Number]],1)="U",TRUE,"")</f>
        <v/>
      </c>
      <c r="I557" s="1" t="str">
        <f>IF(Master_Reference[[#This Row],[Lamp Type]]="T4","",IF(Master_Reference[[#This Row],[Case Type]]="M","",TRUE))</f>
        <v/>
      </c>
      <c r="J557" s="1" t="s">
        <v>87</v>
      </c>
      <c r="K557" s="1">
        <v>18</v>
      </c>
      <c r="L557" s="1" t="s">
        <v>88</v>
      </c>
      <c r="M557" s="1">
        <v>1</v>
      </c>
      <c r="N557" s="1">
        <v>240</v>
      </c>
      <c r="O557" s="1" t="s">
        <v>89</v>
      </c>
      <c r="Q557" s="1" t="s">
        <v>456</v>
      </c>
      <c r="R557" t="b">
        <f>IF(COUNTBLANK(Master_Reference[[#This Row],[C-Flex 3000K Eco Part Number]:[C-Flex 4000K Eco Part Number]])=3,FALSE,TRUE)</f>
        <v>0</v>
      </c>
      <c r="S557" t="b">
        <f>IF(COUNTBLANK(Master_Reference[[#This Row],[C-Flex 3000K 3W Part Number]:[C-Flex 4000K 3W Part Number]])=3,FALSE,TRUE)</f>
        <v>0</v>
      </c>
      <c r="T557" s="1" t="b">
        <f>IF(COUNTBLANK(Master_Reference[[#This Row],[Lutron 3000K Eco Part Number]:[Lutron 4000K Eco Part Number]])=3,FALSE,TRUE)</f>
        <v>0</v>
      </c>
      <c r="U557" s="1" t="b">
        <f>IF(COUNTBLANK(Master_Reference[[#This Row],[Lutron 3000K 3W Part Number]:[Lutron 4000K 3W Part Number]])=3,FALSE,TRUE)</f>
        <v>0</v>
      </c>
      <c r="V557" s="13"/>
      <c r="W557" s="13"/>
      <c r="X557" s="12"/>
      <c r="Y557" t="s">
        <v>2125</v>
      </c>
      <c r="Z557" s="12"/>
      <c r="AA557" s="12"/>
      <c r="AB557" s="12"/>
      <c r="AC557" t="s">
        <v>2125</v>
      </c>
      <c r="AD557" t="str">
        <f>SUBSTITUTE(Master_Reference[[#This Row],[C-Flex 4000K Eco Part Number]],"40-","xx-")</f>
        <v/>
      </c>
      <c r="AE557" t="str">
        <f>SUBSTITUTE(Master_Reference[[#This Row],[C-Flex 4000K 3W Part Number]],"40-","xx-")</f>
        <v/>
      </c>
      <c r="AF557" s="1" t="str">
        <f>_xlfn.IFNA(VLOOKUP(Master_Reference[[#This Row],[C-Flex 3000K Eco Part Number]],Lutron_CFlex_Lookup[],MATCH("Lutron Kit PN",Lutron_CFlex_Lookup[#Headers],0),FALSE),"")</f>
        <v/>
      </c>
      <c r="AG557" s="1" t="str">
        <f>_xlfn.IFNA(VLOOKUP(Master_Reference[[#This Row],[C-Flex 3500K Eco Part Number]],Lutron_CFlex_Lookup[],MATCH("Lutron Kit PN",Lutron_CFlex_Lookup[#Headers],0),FALSE),"")</f>
        <v/>
      </c>
      <c r="AH557" s="1" t="str">
        <f>_xlfn.IFNA(VLOOKUP(Master_Reference[[#This Row],[C-Flex 4000K Eco Part Number]],Lutron_CFlex_Lookup[],MATCH("Lutron Kit PN",Lutron_CFlex_Lookup[#Headers],0),FALSE),"")</f>
        <v/>
      </c>
      <c r="AI557" s="1" t="str">
        <f>_xlfn.IFNA(VLOOKUP(Master_Reference[[#This Row],[C-Flex 5000K Eco Part Number]],Lutron_CFlex_Lookup[],MATCH("Lutron Kit PN",Lutron_CFlex_Lookup[#Headers],0),FALSE),"")</f>
        <v/>
      </c>
      <c r="AJ557" s="1" t="str">
        <f>_xlfn.IFNA(VLOOKUP(Master_Reference[[#This Row],[C-Flex 3000K 3W Part Number]],Lutron_CFlex_Lookup[],MATCH("Lutron Kit PN",Lutron_CFlex_Lookup[#Headers],0),FALSE),"")</f>
        <v/>
      </c>
      <c r="AK557" s="1" t="str">
        <f>_xlfn.IFNA(VLOOKUP(Master_Reference[[#This Row],[C-Flex 3500K 3W Part Number]],Lutron_CFlex_Lookup[],MATCH("Lutron Kit PN",Lutron_CFlex_Lookup[#Headers],0),FALSE),"")</f>
        <v/>
      </c>
      <c r="AL557" s="1" t="str">
        <f>_xlfn.IFNA(VLOOKUP(Master_Reference[[#This Row],[C-Flex 4000K 3W Part Number]],Lutron_CFlex_Lookup[],MATCH("Lutron Kit PN",Lutron_CFlex_Lookup[#Headers],0),FALSE),"")</f>
        <v/>
      </c>
      <c r="AM557" s="1" t="str">
        <f>_xlfn.IFNA(VLOOKUP(Master_Reference[[#This Row],[C-Flex 5000K 3W Part Number]],Lutron_CFlex_Lookup[],MATCH("Lutron Kit PN",Lutron_CFlex_Lookup[#Headers],0),FALSE),"")</f>
        <v/>
      </c>
      <c r="AN557" s="1" t="b">
        <f>NOT(ISNA(VLOOKUP(Master_Reference[[#This Row],[Model Number]],ObsoleteModels[],1,FALSE)))</f>
        <v>1</v>
      </c>
      <c r="AO557" s="1" t="str">
        <f>IF(LEFT(Master_Reference[[#This Row],[Model Number]],1)="U",LEFT(Master_Reference[[#This Row],[Model Number]],4),LEFT(Master_Reference[[#This Row],[Model Number]],3))</f>
        <v>FCE</v>
      </c>
    </row>
    <row r="558" spans="1:41" x14ac:dyDescent="0.25">
      <c r="A558" s="2" t="s">
        <v>839</v>
      </c>
      <c r="B558" s="1"/>
      <c r="C558" s="1" t="b">
        <v>1</v>
      </c>
      <c r="G558" s="1" t="str">
        <f>IF(OR(LEFT(RIGHT(Master_Reference[[#This Row],[Model Number]],3),1)="C",LEFT(RIGHT(Master_Reference[[#This Row],[Model Number]],4),1)="C"),TRUE,"")</f>
        <v/>
      </c>
      <c r="H558" s="1" t="str">
        <f>IF(LEFT(Master_Reference[[#This Row],[Model Number]],1)="U",TRUE,"")</f>
        <v/>
      </c>
      <c r="I558" s="1" t="str">
        <f>IF(Master_Reference[[#This Row],[Lamp Type]]="T4","",IF(Master_Reference[[#This Row],[Case Type]]="M","",TRUE))</f>
        <v/>
      </c>
      <c r="J558" s="1" t="s">
        <v>87</v>
      </c>
      <c r="K558" s="1">
        <v>18</v>
      </c>
      <c r="L558" s="1" t="s">
        <v>88</v>
      </c>
      <c r="M558" s="1">
        <v>2</v>
      </c>
      <c r="N558" s="1">
        <v>240</v>
      </c>
      <c r="O558" s="1" t="s">
        <v>106</v>
      </c>
      <c r="Q558" s="1" t="s">
        <v>456</v>
      </c>
      <c r="R558" t="b">
        <f>IF(COUNTBLANK(Master_Reference[[#This Row],[C-Flex 3000K Eco Part Number]:[C-Flex 4000K Eco Part Number]])=3,FALSE,TRUE)</f>
        <v>0</v>
      </c>
      <c r="S558" t="b">
        <f>IF(COUNTBLANK(Master_Reference[[#This Row],[C-Flex 3000K 3W Part Number]:[C-Flex 4000K 3W Part Number]])=3,FALSE,TRUE)</f>
        <v>0</v>
      </c>
      <c r="T558" s="1" t="b">
        <f>IF(COUNTBLANK(Master_Reference[[#This Row],[Lutron 3000K Eco Part Number]:[Lutron 4000K Eco Part Number]])=3,FALSE,TRUE)</f>
        <v>0</v>
      </c>
      <c r="U558" s="1" t="b">
        <f>IF(COUNTBLANK(Master_Reference[[#This Row],[Lutron 3000K 3W Part Number]:[Lutron 4000K 3W Part Number]])=3,FALSE,TRUE)</f>
        <v>0</v>
      </c>
      <c r="V558" s="13"/>
      <c r="W558" s="13"/>
      <c r="X558" s="12"/>
      <c r="Y558" t="s">
        <v>2125</v>
      </c>
      <c r="Z558" s="12"/>
      <c r="AA558" s="12"/>
      <c r="AB558" s="12"/>
      <c r="AC558" t="s">
        <v>2125</v>
      </c>
      <c r="AD558" t="str">
        <f>SUBSTITUTE(Master_Reference[[#This Row],[C-Flex 4000K Eco Part Number]],"40-","xx-")</f>
        <v/>
      </c>
      <c r="AE558" t="str">
        <f>SUBSTITUTE(Master_Reference[[#This Row],[C-Flex 4000K 3W Part Number]],"40-","xx-")</f>
        <v/>
      </c>
      <c r="AF558" s="1" t="str">
        <f>_xlfn.IFNA(VLOOKUP(Master_Reference[[#This Row],[C-Flex 3000K Eco Part Number]],Lutron_CFlex_Lookup[],MATCH("Lutron Kit PN",Lutron_CFlex_Lookup[#Headers],0),FALSE),"")</f>
        <v/>
      </c>
      <c r="AG558" s="1" t="str">
        <f>_xlfn.IFNA(VLOOKUP(Master_Reference[[#This Row],[C-Flex 3500K Eco Part Number]],Lutron_CFlex_Lookup[],MATCH("Lutron Kit PN",Lutron_CFlex_Lookup[#Headers],0),FALSE),"")</f>
        <v/>
      </c>
      <c r="AH558" s="1" t="str">
        <f>_xlfn.IFNA(VLOOKUP(Master_Reference[[#This Row],[C-Flex 4000K Eco Part Number]],Lutron_CFlex_Lookup[],MATCH("Lutron Kit PN",Lutron_CFlex_Lookup[#Headers],0),FALSE),"")</f>
        <v/>
      </c>
      <c r="AI558" s="1" t="str">
        <f>_xlfn.IFNA(VLOOKUP(Master_Reference[[#This Row],[C-Flex 5000K Eco Part Number]],Lutron_CFlex_Lookup[],MATCH("Lutron Kit PN",Lutron_CFlex_Lookup[#Headers],0),FALSE),"")</f>
        <v/>
      </c>
      <c r="AJ558" s="1" t="str">
        <f>_xlfn.IFNA(VLOOKUP(Master_Reference[[#This Row],[C-Flex 3000K 3W Part Number]],Lutron_CFlex_Lookup[],MATCH("Lutron Kit PN",Lutron_CFlex_Lookup[#Headers],0),FALSE),"")</f>
        <v/>
      </c>
      <c r="AK558" s="1" t="str">
        <f>_xlfn.IFNA(VLOOKUP(Master_Reference[[#This Row],[C-Flex 3500K 3W Part Number]],Lutron_CFlex_Lookup[],MATCH("Lutron Kit PN",Lutron_CFlex_Lookup[#Headers],0),FALSE),"")</f>
        <v/>
      </c>
      <c r="AL558" s="1" t="str">
        <f>_xlfn.IFNA(VLOOKUP(Master_Reference[[#This Row],[C-Flex 4000K 3W Part Number]],Lutron_CFlex_Lookup[],MATCH("Lutron Kit PN",Lutron_CFlex_Lookup[#Headers],0),FALSE),"")</f>
        <v/>
      </c>
      <c r="AM558" s="1" t="str">
        <f>_xlfn.IFNA(VLOOKUP(Master_Reference[[#This Row],[C-Flex 5000K 3W Part Number]],Lutron_CFlex_Lookup[],MATCH("Lutron Kit PN",Lutron_CFlex_Lookup[#Headers],0),FALSE),"")</f>
        <v/>
      </c>
      <c r="AN558" s="1" t="b">
        <f>NOT(ISNA(VLOOKUP(Master_Reference[[#This Row],[Model Number]],ObsoleteModels[],1,FALSE)))</f>
        <v>1</v>
      </c>
      <c r="AO558" s="1" t="str">
        <f>IF(LEFT(Master_Reference[[#This Row],[Model Number]],1)="U",LEFT(Master_Reference[[#This Row],[Model Number]],4),LEFT(Master_Reference[[#This Row],[Model Number]],3))</f>
        <v>FCE</v>
      </c>
    </row>
    <row r="559" spans="1:41" x14ac:dyDescent="0.25">
      <c r="A559" s="2" t="s">
        <v>840</v>
      </c>
      <c r="B559" s="1"/>
      <c r="C559" s="1" t="b">
        <v>1</v>
      </c>
      <c r="G559" s="1" t="str">
        <f>IF(OR(LEFT(RIGHT(Master_Reference[[#This Row],[Model Number]],3),1)="C",LEFT(RIGHT(Master_Reference[[#This Row],[Model Number]],4),1)="C"),TRUE,"")</f>
        <v/>
      </c>
      <c r="H559" s="1" t="str">
        <f>IF(LEFT(Master_Reference[[#This Row],[Model Number]],1)="U",TRUE,"")</f>
        <v/>
      </c>
      <c r="I559" s="1" t="str">
        <f>IF(Master_Reference[[#This Row],[Lamp Type]]="T4","",IF(Master_Reference[[#This Row],[Case Type]]="M","",TRUE))</f>
        <v/>
      </c>
      <c r="J559" s="1" t="s">
        <v>87</v>
      </c>
      <c r="K559" s="1">
        <v>26</v>
      </c>
      <c r="L559" s="1" t="s">
        <v>88</v>
      </c>
      <c r="M559" s="1">
        <v>1</v>
      </c>
      <c r="N559" s="1">
        <v>240</v>
      </c>
      <c r="O559" s="1" t="s">
        <v>89</v>
      </c>
      <c r="Q559" s="1" t="s">
        <v>456</v>
      </c>
      <c r="R559" t="b">
        <f>IF(COUNTBLANK(Master_Reference[[#This Row],[C-Flex 3000K Eco Part Number]:[C-Flex 4000K Eco Part Number]])=3,FALSE,TRUE)</f>
        <v>0</v>
      </c>
      <c r="S559" t="b">
        <f>IF(COUNTBLANK(Master_Reference[[#This Row],[C-Flex 3000K 3W Part Number]:[C-Flex 4000K 3W Part Number]])=3,FALSE,TRUE)</f>
        <v>0</v>
      </c>
      <c r="T559" s="1" t="b">
        <f>IF(COUNTBLANK(Master_Reference[[#This Row],[Lutron 3000K Eco Part Number]:[Lutron 4000K Eco Part Number]])=3,FALSE,TRUE)</f>
        <v>0</v>
      </c>
      <c r="U559" s="1" t="b">
        <f>IF(COUNTBLANK(Master_Reference[[#This Row],[Lutron 3000K 3W Part Number]:[Lutron 4000K 3W Part Number]])=3,FALSE,TRUE)</f>
        <v>0</v>
      </c>
      <c r="V559" s="13"/>
      <c r="W559" s="13"/>
      <c r="X559" s="12"/>
      <c r="Y559" t="s">
        <v>2125</v>
      </c>
      <c r="Z559" s="12"/>
      <c r="AA559" s="12"/>
      <c r="AB559" s="12"/>
      <c r="AC559" t="s">
        <v>2125</v>
      </c>
      <c r="AD559" t="str">
        <f>SUBSTITUTE(Master_Reference[[#This Row],[C-Flex 4000K Eco Part Number]],"40-","xx-")</f>
        <v/>
      </c>
      <c r="AE559" t="str">
        <f>SUBSTITUTE(Master_Reference[[#This Row],[C-Flex 4000K 3W Part Number]],"40-","xx-")</f>
        <v/>
      </c>
      <c r="AF559" s="1" t="str">
        <f>_xlfn.IFNA(VLOOKUP(Master_Reference[[#This Row],[C-Flex 3000K Eco Part Number]],Lutron_CFlex_Lookup[],MATCH("Lutron Kit PN",Lutron_CFlex_Lookup[#Headers],0),FALSE),"")</f>
        <v/>
      </c>
      <c r="AG559" s="1" t="str">
        <f>_xlfn.IFNA(VLOOKUP(Master_Reference[[#This Row],[C-Flex 3500K Eco Part Number]],Lutron_CFlex_Lookup[],MATCH("Lutron Kit PN",Lutron_CFlex_Lookup[#Headers],0),FALSE),"")</f>
        <v/>
      </c>
      <c r="AH559" s="1" t="str">
        <f>_xlfn.IFNA(VLOOKUP(Master_Reference[[#This Row],[C-Flex 4000K Eco Part Number]],Lutron_CFlex_Lookup[],MATCH("Lutron Kit PN",Lutron_CFlex_Lookup[#Headers],0),FALSE),"")</f>
        <v/>
      </c>
      <c r="AI559" s="1" t="str">
        <f>_xlfn.IFNA(VLOOKUP(Master_Reference[[#This Row],[C-Flex 5000K Eco Part Number]],Lutron_CFlex_Lookup[],MATCH("Lutron Kit PN",Lutron_CFlex_Lookup[#Headers],0),FALSE),"")</f>
        <v/>
      </c>
      <c r="AJ559" s="1" t="str">
        <f>_xlfn.IFNA(VLOOKUP(Master_Reference[[#This Row],[C-Flex 3000K 3W Part Number]],Lutron_CFlex_Lookup[],MATCH("Lutron Kit PN",Lutron_CFlex_Lookup[#Headers],0),FALSE),"")</f>
        <v/>
      </c>
      <c r="AK559" s="1" t="str">
        <f>_xlfn.IFNA(VLOOKUP(Master_Reference[[#This Row],[C-Flex 3500K 3W Part Number]],Lutron_CFlex_Lookup[],MATCH("Lutron Kit PN",Lutron_CFlex_Lookup[#Headers],0),FALSE),"")</f>
        <v/>
      </c>
      <c r="AL559" s="1" t="str">
        <f>_xlfn.IFNA(VLOOKUP(Master_Reference[[#This Row],[C-Flex 4000K 3W Part Number]],Lutron_CFlex_Lookup[],MATCH("Lutron Kit PN",Lutron_CFlex_Lookup[#Headers],0),FALSE),"")</f>
        <v/>
      </c>
      <c r="AM559" s="1" t="str">
        <f>_xlfn.IFNA(VLOOKUP(Master_Reference[[#This Row],[C-Flex 5000K 3W Part Number]],Lutron_CFlex_Lookup[],MATCH("Lutron Kit PN",Lutron_CFlex_Lookup[#Headers],0),FALSE),"")</f>
        <v/>
      </c>
      <c r="AN559" s="1" t="b">
        <f>NOT(ISNA(VLOOKUP(Master_Reference[[#This Row],[Model Number]],ObsoleteModels[],1,FALSE)))</f>
        <v>1</v>
      </c>
      <c r="AO559" s="1" t="str">
        <f>IF(LEFT(Master_Reference[[#This Row],[Model Number]],1)="U",LEFT(Master_Reference[[#This Row],[Model Number]],4),LEFT(Master_Reference[[#This Row],[Model Number]],3))</f>
        <v>FCE</v>
      </c>
    </row>
    <row r="560" spans="1:41" x14ac:dyDescent="0.25">
      <c r="A560" s="2" t="s">
        <v>841</v>
      </c>
      <c r="B560" s="1"/>
      <c r="C560" s="1" t="b">
        <v>1</v>
      </c>
      <c r="G560" s="1" t="str">
        <f>IF(OR(LEFT(RIGHT(Master_Reference[[#This Row],[Model Number]],3),1)="C",LEFT(RIGHT(Master_Reference[[#This Row],[Model Number]],4),1)="C"),TRUE,"")</f>
        <v/>
      </c>
      <c r="H560" s="1" t="str">
        <f>IF(LEFT(Master_Reference[[#This Row],[Model Number]],1)="U",TRUE,"")</f>
        <v/>
      </c>
      <c r="I560" s="1" t="str">
        <f>IF(Master_Reference[[#This Row],[Lamp Type]]="T4","",IF(Master_Reference[[#This Row],[Case Type]]="M","",TRUE))</f>
        <v/>
      </c>
      <c r="J560" s="1" t="s">
        <v>87</v>
      </c>
      <c r="K560" s="1">
        <v>26</v>
      </c>
      <c r="L560" s="1" t="s">
        <v>88</v>
      </c>
      <c r="M560" s="1">
        <v>2</v>
      </c>
      <c r="N560" s="1">
        <v>240</v>
      </c>
      <c r="O560" s="1" t="s">
        <v>106</v>
      </c>
      <c r="Q560" s="1" t="s">
        <v>456</v>
      </c>
      <c r="R560" t="b">
        <f>IF(COUNTBLANK(Master_Reference[[#This Row],[C-Flex 3000K Eco Part Number]:[C-Flex 4000K Eco Part Number]])=3,FALSE,TRUE)</f>
        <v>0</v>
      </c>
      <c r="S560" t="b">
        <f>IF(COUNTBLANK(Master_Reference[[#This Row],[C-Flex 3000K 3W Part Number]:[C-Flex 4000K 3W Part Number]])=3,FALSE,TRUE)</f>
        <v>0</v>
      </c>
      <c r="T560" s="1" t="b">
        <f>IF(COUNTBLANK(Master_Reference[[#This Row],[Lutron 3000K Eco Part Number]:[Lutron 4000K Eco Part Number]])=3,FALSE,TRUE)</f>
        <v>0</v>
      </c>
      <c r="U560" s="1" t="b">
        <f>IF(COUNTBLANK(Master_Reference[[#This Row],[Lutron 3000K 3W Part Number]:[Lutron 4000K 3W Part Number]])=3,FALSE,TRUE)</f>
        <v>0</v>
      </c>
      <c r="V560" s="13"/>
      <c r="W560" s="13"/>
      <c r="X560" s="12"/>
      <c r="Y560" t="s">
        <v>2125</v>
      </c>
      <c r="Z560" s="12"/>
      <c r="AA560" s="12"/>
      <c r="AB560" s="12"/>
      <c r="AC560" t="s">
        <v>2125</v>
      </c>
      <c r="AD560" t="str">
        <f>SUBSTITUTE(Master_Reference[[#This Row],[C-Flex 4000K Eco Part Number]],"40-","xx-")</f>
        <v/>
      </c>
      <c r="AE560" t="str">
        <f>SUBSTITUTE(Master_Reference[[#This Row],[C-Flex 4000K 3W Part Number]],"40-","xx-")</f>
        <v/>
      </c>
      <c r="AF560" s="1" t="str">
        <f>_xlfn.IFNA(VLOOKUP(Master_Reference[[#This Row],[C-Flex 3000K Eco Part Number]],Lutron_CFlex_Lookup[],MATCH("Lutron Kit PN",Lutron_CFlex_Lookup[#Headers],0),FALSE),"")</f>
        <v/>
      </c>
      <c r="AG560" s="1" t="str">
        <f>_xlfn.IFNA(VLOOKUP(Master_Reference[[#This Row],[C-Flex 3500K Eco Part Number]],Lutron_CFlex_Lookup[],MATCH("Lutron Kit PN",Lutron_CFlex_Lookup[#Headers],0),FALSE),"")</f>
        <v/>
      </c>
      <c r="AH560" s="1" t="str">
        <f>_xlfn.IFNA(VLOOKUP(Master_Reference[[#This Row],[C-Flex 4000K Eco Part Number]],Lutron_CFlex_Lookup[],MATCH("Lutron Kit PN",Lutron_CFlex_Lookup[#Headers],0),FALSE),"")</f>
        <v/>
      </c>
      <c r="AI560" s="1" t="str">
        <f>_xlfn.IFNA(VLOOKUP(Master_Reference[[#This Row],[C-Flex 5000K Eco Part Number]],Lutron_CFlex_Lookup[],MATCH("Lutron Kit PN",Lutron_CFlex_Lookup[#Headers],0),FALSE),"")</f>
        <v/>
      </c>
      <c r="AJ560" s="1" t="str">
        <f>_xlfn.IFNA(VLOOKUP(Master_Reference[[#This Row],[C-Flex 3000K 3W Part Number]],Lutron_CFlex_Lookup[],MATCH("Lutron Kit PN",Lutron_CFlex_Lookup[#Headers],0),FALSE),"")</f>
        <v/>
      </c>
      <c r="AK560" s="1" t="str">
        <f>_xlfn.IFNA(VLOOKUP(Master_Reference[[#This Row],[C-Flex 3500K 3W Part Number]],Lutron_CFlex_Lookup[],MATCH("Lutron Kit PN",Lutron_CFlex_Lookup[#Headers],0),FALSE),"")</f>
        <v/>
      </c>
      <c r="AL560" s="1" t="str">
        <f>_xlfn.IFNA(VLOOKUP(Master_Reference[[#This Row],[C-Flex 4000K 3W Part Number]],Lutron_CFlex_Lookup[],MATCH("Lutron Kit PN",Lutron_CFlex_Lookup[#Headers],0),FALSE),"")</f>
        <v/>
      </c>
      <c r="AM560" s="1" t="str">
        <f>_xlfn.IFNA(VLOOKUP(Master_Reference[[#This Row],[C-Flex 5000K 3W Part Number]],Lutron_CFlex_Lookup[],MATCH("Lutron Kit PN",Lutron_CFlex_Lookup[#Headers],0),FALSE),"")</f>
        <v/>
      </c>
      <c r="AN560" s="1" t="b">
        <f>NOT(ISNA(VLOOKUP(Master_Reference[[#This Row],[Model Number]],ObsoleteModels[],1,FALSE)))</f>
        <v>1</v>
      </c>
      <c r="AO560" s="1" t="str">
        <f>IF(LEFT(Master_Reference[[#This Row],[Model Number]],1)="U",LEFT(Master_Reference[[#This Row],[Model Number]],4),LEFT(Master_Reference[[#This Row],[Model Number]],3))</f>
        <v>FCE</v>
      </c>
    </row>
    <row r="561" spans="1:41" x14ac:dyDescent="0.25">
      <c r="A561" s="2" t="s">
        <v>842</v>
      </c>
      <c r="B561" s="1"/>
      <c r="C561" s="1" t="b">
        <v>1</v>
      </c>
      <c r="G561" s="1" t="str">
        <f>IF(OR(LEFT(RIGHT(Master_Reference[[#This Row],[Model Number]],3),1)="C",LEFT(RIGHT(Master_Reference[[#This Row],[Model Number]],4),1)="C"),TRUE,"")</f>
        <v/>
      </c>
      <c r="H561" s="1" t="str">
        <f>IF(LEFT(Master_Reference[[#This Row],[Model Number]],1)="U",TRUE,"")</f>
        <v/>
      </c>
      <c r="I561" s="1" t="str">
        <f>IF(Master_Reference[[#This Row],[Lamp Type]]="T4","",IF(Master_Reference[[#This Row],[Case Type]]="M","",TRUE))</f>
        <v/>
      </c>
      <c r="J561" s="1" t="s">
        <v>87</v>
      </c>
      <c r="K561" s="1">
        <v>36</v>
      </c>
      <c r="L561" s="1" t="s">
        <v>88</v>
      </c>
      <c r="M561" s="1">
        <v>1</v>
      </c>
      <c r="N561" s="1">
        <v>240</v>
      </c>
      <c r="O561" s="1" t="s">
        <v>89</v>
      </c>
      <c r="Q561" s="1" t="s">
        <v>456</v>
      </c>
      <c r="R561" t="b">
        <f>IF(COUNTBLANK(Master_Reference[[#This Row],[C-Flex 3000K Eco Part Number]:[C-Flex 4000K Eco Part Number]])=3,FALSE,TRUE)</f>
        <v>0</v>
      </c>
      <c r="S561" t="b">
        <f>IF(COUNTBLANK(Master_Reference[[#This Row],[C-Flex 3000K 3W Part Number]:[C-Flex 4000K 3W Part Number]])=3,FALSE,TRUE)</f>
        <v>0</v>
      </c>
      <c r="T561" s="1" t="b">
        <f>IF(COUNTBLANK(Master_Reference[[#This Row],[Lutron 3000K Eco Part Number]:[Lutron 4000K Eco Part Number]])=3,FALSE,TRUE)</f>
        <v>0</v>
      </c>
      <c r="U561" s="1" t="b">
        <f>IF(COUNTBLANK(Master_Reference[[#This Row],[Lutron 3000K 3W Part Number]:[Lutron 4000K 3W Part Number]])=3,FALSE,TRUE)</f>
        <v>0</v>
      </c>
      <c r="V561" s="13"/>
      <c r="W561" s="13"/>
      <c r="X561" s="12"/>
      <c r="Y561" t="s">
        <v>2125</v>
      </c>
      <c r="Z561" s="12"/>
      <c r="AA561" s="12"/>
      <c r="AB561" s="12"/>
      <c r="AC561" t="s">
        <v>2125</v>
      </c>
      <c r="AD561" t="str">
        <f>SUBSTITUTE(Master_Reference[[#This Row],[C-Flex 4000K Eco Part Number]],"40-","xx-")</f>
        <v/>
      </c>
      <c r="AE561" t="str">
        <f>SUBSTITUTE(Master_Reference[[#This Row],[C-Flex 4000K 3W Part Number]],"40-","xx-")</f>
        <v/>
      </c>
      <c r="AF561" s="1" t="str">
        <f>_xlfn.IFNA(VLOOKUP(Master_Reference[[#This Row],[C-Flex 3000K Eco Part Number]],Lutron_CFlex_Lookup[],MATCH("Lutron Kit PN",Lutron_CFlex_Lookup[#Headers],0),FALSE),"")</f>
        <v/>
      </c>
      <c r="AG561" s="1" t="str">
        <f>_xlfn.IFNA(VLOOKUP(Master_Reference[[#This Row],[C-Flex 3500K Eco Part Number]],Lutron_CFlex_Lookup[],MATCH("Lutron Kit PN",Lutron_CFlex_Lookup[#Headers],0),FALSE),"")</f>
        <v/>
      </c>
      <c r="AH561" s="1" t="str">
        <f>_xlfn.IFNA(VLOOKUP(Master_Reference[[#This Row],[C-Flex 4000K Eco Part Number]],Lutron_CFlex_Lookup[],MATCH("Lutron Kit PN",Lutron_CFlex_Lookup[#Headers],0),FALSE),"")</f>
        <v/>
      </c>
      <c r="AI561" s="1" t="str">
        <f>_xlfn.IFNA(VLOOKUP(Master_Reference[[#This Row],[C-Flex 5000K Eco Part Number]],Lutron_CFlex_Lookup[],MATCH("Lutron Kit PN",Lutron_CFlex_Lookup[#Headers],0),FALSE),"")</f>
        <v/>
      </c>
      <c r="AJ561" s="1" t="str">
        <f>_xlfn.IFNA(VLOOKUP(Master_Reference[[#This Row],[C-Flex 3000K 3W Part Number]],Lutron_CFlex_Lookup[],MATCH("Lutron Kit PN",Lutron_CFlex_Lookup[#Headers],0),FALSE),"")</f>
        <v/>
      </c>
      <c r="AK561" s="1" t="str">
        <f>_xlfn.IFNA(VLOOKUP(Master_Reference[[#This Row],[C-Flex 3500K 3W Part Number]],Lutron_CFlex_Lookup[],MATCH("Lutron Kit PN",Lutron_CFlex_Lookup[#Headers],0),FALSE),"")</f>
        <v/>
      </c>
      <c r="AL561" s="1" t="str">
        <f>_xlfn.IFNA(VLOOKUP(Master_Reference[[#This Row],[C-Flex 4000K 3W Part Number]],Lutron_CFlex_Lookup[],MATCH("Lutron Kit PN",Lutron_CFlex_Lookup[#Headers],0),FALSE),"")</f>
        <v/>
      </c>
      <c r="AM561" s="1" t="str">
        <f>_xlfn.IFNA(VLOOKUP(Master_Reference[[#This Row],[C-Flex 5000K 3W Part Number]],Lutron_CFlex_Lookup[],MATCH("Lutron Kit PN",Lutron_CFlex_Lookup[#Headers],0),FALSE),"")</f>
        <v/>
      </c>
      <c r="AN561" s="1" t="b">
        <f>NOT(ISNA(VLOOKUP(Master_Reference[[#This Row],[Model Number]],ObsoleteModels[],1,FALSE)))</f>
        <v>1</v>
      </c>
      <c r="AO561" s="1" t="str">
        <f>IF(LEFT(Master_Reference[[#This Row],[Model Number]],1)="U",LEFT(Master_Reference[[#This Row],[Model Number]],4),LEFT(Master_Reference[[#This Row],[Model Number]],3))</f>
        <v>FCE</v>
      </c>
    </row>
    <row r="562" spans="1:41" x14ac:dyDescent="0.25">
      <c r="A562" s="2" t="s">
        <v>843</v>
      </c>
      <c r="B562" s="1"/>
      <c r="C562" s="1" t="b">
        <v>1</v>
      </c>
      <c r="G562" s="1" t="str">
        <f>IF(OR(LEFT(RIGHT(Master_Reference[[#This Row],[Model Number]],3),1)="C",LEFT(RIGHT(Master_Reference[[#This Row],[Model Number]],4),1)="C"),TRUE,"")</f>
        <v/>
      </c>
      <c r="H562" s="1" t="str">
        <f>IF(LEFT(Master_Reference[[#This Row],[Model Number]],1)="U",TRUE,"")</f>
        <v/>
      </c>
      <c r="I562" s="1" t="str">
        <f>IF(Master_Reference[[#This Row],[Lamp Type]]="T4","",IF(Master_Reference[[#This Row],[Case Type]]="M","",TRUE))</f>
        <v/>
      </c>
      <c r="J562" s="1" t="s">
        <v>87</v>
      </c>
      <c r="K562" s="1">
        <v>36</v>
      </c>
      <c r="L562" s="1" t="s">
        <v>88</v>
      </c>
      <c r="M562" s="1">
        <v>2</v>
      </c>
      <c r="N562" s="1">
        <v>240</v>
      </c>
      <c r="O562" s="1" t="s">
        <v>106</v>
      </c>
      <c r="Q562" s="1" t="s">
        <v>456</v>
      </c>
      <c r="R562" t="b">
        <f>IF(COUNTBLANK(Master_Reference[[#This Row],[C-Flex 3000K Eco Part Number]:[C-Flex 4000K Eco Part Number]])=3,FALSE,TRUE)</f>
        <v>0</v>
      </c>
      <c r="S562" t="b">
        <f>IF(COUNTBLANK(Master_Reference[[#This Row],[C-Flex 3000K 3W Part Number]:[C-Flex 4000K 3W Part Number]])=3,FALSE,TRUE)</f>
        <v>0</v>
      </c>
      <c r="T562" s="1" t="b">
        <f>IF(COUNTBLANK(Master_Reference[[#This Row],[Lutron 3000K Eco Part Number]:[Lutron 4000K Eco Part Number]])=3,FALSE,TRUE)</f>
        <v>0</v>
      </c>
      <c r="U562" s="1" t="b">
        <f>IF(COUNTBLANK(Master_Reference[[#This Row],[Lutron 3000K 3W Part Number]:[Lutron 4000K 3W Part Number]])=3,FALSE,TRUE)</f>
        <v>0</v>
      </c>
      <c r="V562" s="13"/>
      <c r="W562" s="13"/>
      <c r="X562" s="12"/>
      <c r="Y562" t="s">
        <v>2125</v>
      </c>
      <c r="Z562" s="12"/>
      <c r="AA562" s="12"/>
      <c r="AB562" s="12"/>
      <c r="AC562" t="s">
        <v>2125</v>
      </c>
      <c r="AD562" t="str">
        <f>SUBSTITUTE(Master_Reference[[#This Row],[C-Flex 4000K Eco Part Number]],"40-","xx-")</f>
        <v/>
      </c>
      <c r="AE562" t="str">
        <f>SUBSTITUTE(Master_Reference[[#This Row],[C-Flex 4000K 3W Part Number]],"40-","xx-")</f>
        <v/>
      </c>
      <c r="AF562" s="1" t="str">
        <f>_xlfn.IFNA(VLOOKUP(Master_Reference[[#This Row],[C-Flex 3000K Eco Part Number]],Lutron_CFlex_Lookup[],MATCH("Lutron Kit PN",Lutron_CFlex_Lookup[#Headers],0),FALSE),"")</f>
        <v/>
      </c>
      <c r="AG562" s="1" t="str">
        <f>_xlfn.IFNA(VLOOKUP(Master_Reference[[#This Row],[C-Flex 3500K Eco Part Number]],Lutron_CFlex_Lookup[],MATCH("Lutron Kit PN",Lutron_CFlex_Lookup[#Headers],0),FALSE),"")</f>
        <v/>
      </c>
      <c r="AH562" s="1" t="str">
        <f>_xlfn.IFNA(VLOOKUP(Master_Reference[[#This Row],[C-Flex 4000K Eco Part Number]],Lutron_CFlex_Lookup[],MATCH("Lutron Kit PN",Lutron_CFlex_Lookup[#Headers],0),FALSE),"")</f>
        <v/>
      </c>
      <c r="AI562" s="1" t="str">
        <f>_xlfn.IFNA(VLOOKUP(Master_Reference[[#This Row],[C-Flex 5000K Eco Part Number]],Lutron_CFlex_Lookup[],MATCH("Lutron Kit PN",Lutron_CFlex_Lookup[#Headers],0),FALSE),"")</f>
        <v/>
      </c>
      <c r="AJ562" s="1" t="str">
        <f>_xlfn.IFNA(VLOOKUP(Master_Reference[[#This Row],[C-Flex 3000K 3W Part Number]],Lutron_CFlex_Lookup[],MATCH("Lutron Kit PN",Lutron_CFlex_Lookup[#Headers],0),FALSE),"")</f>
        <v/>
      </c>
      <c r="AK562" s="1" t="str">
        <f>_xlfn.IFNA(VLOOKUP(Master_Reference[[#This Row],[C-Flex 3500K 3W Part Number]],Lutron_CFlex_Lookup[],MATCH("Lutron Kit PN",Lutron_CFlex_Lookup[#Headers],0),FALSE),"")</f>
        <v/>
      </c>
      <c r="AL562" s="1" t="str">
        <f>_xlfn.IFNA(VLOOKUP(Master_Reference[[#This Row],[C-Flex 4000K 3W Part Number]],Lutron_CFlex_Lookup[],MATCH("Lutron Kit PN",Lutron_CFlex_Lookup[#Headers],0),FALSE),"")</f>
        <v/>
      </c>
      <c r="AM562" s="1" t="str">
        <f>_xlfn.IFNA(VLOOKUP(Master_Reference[[#This Row],[C-Flex 5000K 3W Part Number]],Lutron_CFlex_Lookup[],MATCH("Lutron Kit PN",Lutron_CFlex_Lookup[#Headers],0),FALSE),"")</f>
        <v/>
      </c>
      <c r="AN562" s="1" t="b">
        <f>NOT(ISNA(VLOOKUP(Master_Reference[[#This Row],[Model Number]],ObsoleteModels[],1,FALSE)))</f>
        <v>1</v>
      </c>
      <c r="AO562" s="1" t="str">
        <f>IF(LEFT(Master_Reference[[#This Row],[Model Number]],1)="U",LEFT(Master_Reference[[#This Row],[Model Number]],4),LEFT(Master_Reference[[#This Row],[Model Number]],3))</f>
        <v>FCE</v>
      </c>
    </row>
    <row r="563" spans="1:41" x14ac:dyDescent="0.25">
      <c r="A563" s="2" t="s">
        <v>844</v>
      </c>
      <c r="B563" s="1"/>
      <c r="C563" s="1" t="b">
        <v>1</v>
      </c>
      <c r="G563" s="1" t="str">
        <f>IF(OR(LEFT(RIGHT(Master_Reference[[#This Row],[Model Number]],3),1)="C",LEFT(RIGHT(Master_Reference[[#This Row],[Model Number]],4),1)="C"),TRUE,"")</f>
        <v/>
      </c>
      <c r="H563" s="1" t="str">
        <f>IF(LEFT(Master_Reference[[#This Row],[Model Number]],1)="U",TRUE,"")</f>
        <v/>
      </c>
      <c r="I563" s="1" t="b">
        <f>IF(Master_Reference[[#This Row],[Lamp Type]]="T4","",IF(Master_Reference[[#This Row],[Case Type]]="M","",TRUE))</f>
        <v>1</v>
      </c>
      <c r="J563" s="1" t="s">
        <v>111</v>
      </c>
      <c r="K563" s="1">
        <v>29</v>
      </c>
      <c r="L563" s="1" t="s">
        <v>112</v>
      </c>
      <c r="M563" s="1">
        <v>2</v>
      </c>
      <c r="N563" s="1">
        <v>240</v>
      </c>
      <c r="O563" s="1" t="s">
        <v>144</v>
      </c>
      <c r="Q563" s="1" t="s">
        <v>456</v>
      </c>
      <c r="R563" t="b">
        <f>IF(COUNTBLANK(Master_Reference[[#This Row],[C-Flex 3000K Eco Part Number]:[C-Flex 4000K Eco Part Number]])=3,FALSE,TRUE)</f>
        <v>0</v>
      </c>
      <c r="S563" t="b">
        <f>IF(COUNTBLANK(Master_Reference[[#This Row],[C-Flex 3000K 3W Part Number]:[C-Flex 4000K 3W Part Number]])=3,FALSE,TRUE)</f>
        <v>0</v>
      </c>
      <c r="T563" s="1" t="b">
        <f>IF(COUNTBLANK(Master_Reference[[#This Row],[Lutron 3000K Eco Part Number]:[Lutron 4000K Eco Part Number]])=3,FALSE,TRUE)</f>
        <v>0</v>
      </c>
      <c r="U563" s="1" t="b">
        <f>IF(COUNTBLANK(Master_Reference[[#This Row],[Lutron 3000K 3W Part Number]:[Lutron 4000K 3W Part Number]])=3,FALSE,TRUE)</f>
        <v>0</v>
      </c>
      <c r="V563" s="13"/>
      <c r="W563" s="13"/>
      <c r="X563" s="12"/>
      <c r="Y563" t="s">
        <v>2125</v>
      </c>
      <c r="Z563" s="12"/>
      <c r="AA563" s="12"/>
      <c r="AB563" s="12"/>
      <c r="AC563" t="s">
        <v>2125</v>
      </c>
      <c r="AD563" t="str">
        <f>SUBSTITUTE(Master_Reference[[#This Row],[C-Flex 4000K Eco Part Number]],"40-","xx-")</f>
        <v/>
      </c>
      <c r="AE563" t="str">
        <f>SUBSTITUTE(Master_Reference[[#This Row],[C-Flex 4000K 3W Part Number]],"40-","xx-")</f>
        <v/>
      </c>
      <c r="AF563" s="1" t="str">
        <f>_xlfn.IFNA(VLOOKUP(Master_Reference[[#This Row],[C-Flex 3000K Eco Part Number]],Lutron_CFlex_Lookup[],MATCH("Lutron Kit PN",Lutron_CFlex_Lookup[#Headers],0),FALSE),"")</f>
        <v/>
      </c>
      <c r="AG563" s="1" t="str">
        <f>_xlfn.IFNA(VLOOKUP(Master_Reference[[#This Row],[C-Flex 3500K Eco Part Number]],Lutron_CFlex_Lookup[],MATCH("Lutron Kit PN",Lutron_CFlex_Lookup[#Headers],0),FALSE),"")</f>
        <v/>
      </c>
      <c r="AH563" s="1" t="str">
        <f>_xlfn.IFNA(VLOOKUP(Master_Reference[[#This Row],[C-Flex 4000K Eco Part Number]],Lutron_CFlex_Lookup[],MATCH("Lutron Kit PN",Lutron_CFlex_Lookup[#Headers],0),FALSE),"")</f>
        <v/>
      </c>
      <c r="AI563" s="1" t="str">
        <f>_xlfn.IFNA(VLOOKUP(Master_Reference[[#This Row],[C-Flex 5000K Eco Part Number]],Lutron_CFlex_Lookup[],MATCH("Lutron Kit PN",Lutron_CFlex_Lookup[#Headers],0),FALSE),"")</f>
        <v/>
      </c>
      <c r="AJ563" s="1" t="str">
        <f>_xlfn.IFNA(VLOOKUP(Master_Reference[[#This Row],[C-Flex 3000K 3W Part Number]],Lutron_CFlex_Lookup[],MATCH("Lutron Kit PN",Lutron_CFlex_Lookup[#Headers],0),FALSE),"")</f>
        <v/>
      </c>
      <c r="AK563" s="1" t="str">
        <f>_xlfn.IFNA(VLOOKUP(Master_Reference[[#This Row],[C-Flex 3500K 3W Part Number]],Lutron_CFlex_Lookup[],MATCH("Lutron Kit PN",Lutron_CFlex_Lookup[#Headers],0),FALSE),"")</f>
        <v/>
      </c>
      <c r="AL563" s="1" t="str">
        <f>_xlfn.IFNA(VLOOKUP(Master_Reference[[#This Row],[C-Flex 4000K 3W Part Number]],Lutron_CFlex_Lookup[],MATCH("Lutron Kit PN",Lutron_CFlex_Lookup[#Headers],0),FALSE),"")</f>
        <v/>
      </c>
      <c r="AM563" s="1" t="str">
        <f>_xlfn.IFNA(VLOOKUP(Master_Reference[[#This Row],[C-Flex 5000K 3W Part Number]],Lutron_CFlex_Lookup[],MATCH("Lutron Kit PN",Lutron_CFlex_Lookup[#Headers],0),FALSE),"")</f>
        <v/>
      </c>
      <c r="AN563" s="1" t="b">
        <f>NOT(ISNA(VLOOKUP(Master_Reference[[#This Row],[Model Number]],ObsoleteModels[],1,FALSE)))</f>
        <v>1</v>
      </c>
      <c r="AO563" s="1" t="str">
        <f>IF(LEFT(Master_Reference[[#This Row],[Model Number]],1)="U",LEFT(Master_Reference[[#This Row],[Model Number]],4),LEFT(Master_Reference[[#This Row],[Model Number]],3))</f>
        <v>FDB</v>
      </c>
    </row>
    <row r="564" spans="1:41" x14ac:dyDescent="0.25">
      <c r="A564" s="2" t="s">
        <v>845</v>
      </c>
      <c r="B564" s="1"/>
      <c r="C564" s="1" t="b">
        <v>1</v>
      </c>
      <c r="G564" s="1" t="str">
        <f>IF(OR(LEFT(RIGHT(Master_Reference[[#This Row],[Model Number]],3),1)="C",LEFT(RIGHT(Master_Reference[[#This Row],[Model Number]],4),1)="C"),TRUE,"")</f>
        <v/>
      </c>
      <c r="H564" s="1" t="str">
        <f>IF(LEFT(Master_Reference[[#This Row],[Model Number]],1)="U",TRUE,"")</f>
        <v/>
      </c>
      <c r="I564" s="1" t="b">
        <f>IF(Master_Reference[[#This Row],[Lamp Type]]="T4","",IF(Master_Reference[[#This Row],[Case Type]]="M","",TRUE))</f>
        <v>1</v>
      </c>
      <c r="J564" s="1" t="s">
        <v>111</v>
      </c>
      <c r="K564" s="1">
        <v>36</v>
      </c>
      <c r="L564" s="1" t="s">
        <v>118</v>
      </c>
      <c r="M564" s="1">
        <v>1</v>
      </c>
      <c r="N564" s="1">
        <v>240</v>
      </c>
      <c r="O564" s="1" t="s">
        <v>144</v>
      </c>
      <c r="Q564" s="1" t="s">
        <v>456</v>
      </c>
      <c r="R564" t="b">
        <f>IF(COUNTBLANK(Master_Reference[[#This Row],[C-Flex 3000K Eco Part Number]:[C-Flex 4000K Eco Part Number]])=3,FALSE,TRUE)</f>
        <v>0</v>
      </c>
      <c r="S564" t="b">
        <f>IF(COUNTBLANK(Master_Reference[[#This Row],[C-Flex 3000K 3W Part Number]:[C-Flex 4000K 3W Part Number]])=3,FALSE,TRUE)</f>
        <v>0</v>
      </c>
      <c r="T564" s="1" t="b">
        <f>IF(COUNTBLANK(Master_Reference[[#This Row],[Lutron 3000K Eco Part Number]:[Lutron 4000K Eco Part Number]])=3,FALSE,TRUE)</f>
        <v>0</v>
      </c>
      <c r="U564" s="1" t="b">
        <f>IF(COUNTBLANK(Master_Reference[[#This Row],[Lutron 3000K 3W Part Number]:[Lutron 4000K 3W Part Number]])=3,FALSE,TRUE)</f>
        <v>0</v>
      </c>
      <c r="V564" s="13"/>
      <c r="W564" s="13"/>
      <c r="X564" s="12"/>
      <c r="Y564" t="s">
        <v>2125</v>
      </c>
      <c r="Z564" s="12"/>
      <c r="AA564" s="12"/>
      <c r="AB564" s="12"/>
      <c r="AC564" t="s">
        <v>2125</v>
      </c>
      <c r="AD564" t="str">
        <f>SUBSTITUTE(Master_Reference[[#This Row],[C-Flex 4000K Eco Part Number]],"40-","xx-")</f>
        <v/>
      </c>
      <c r="AE564" t="str">
        <f>SUBSTITUTE(Master_Reference[[#This Row],[C-Flex 4000K 3W Part Number]],"40-","xx-")</f>
        <v/>
      </c>
      <c r="AF564" s="1" t="str">
        <f>_xlfn.IFNA(VLOOKUP(Master_Reference[[#This Row],[C-Flex 3000K Eco Part Number]],Lutron_CFlex_Lookup[],MATCH("Lutron Kit PN",Lutron_CFlex_Lookup[#Headers],0),FALSE),"")</f>
        <v/>
      </c>
      <c r="AG564" s="1" t="str">
        <f>_xlfn.IFNA(VLOOKUP(Master_Reference[[#This Row],[C-Flex 3500K Eco Part Number]],Lutron_CFlex_Lookup[],MATCH("Lutron Kit PN",Lutron_CFlex_Lookup[#Headers],0),FALSE),"")</f>
        <v/>
      </c>
      <c r="AH564" s="1" t="str">
        <f>_xlfn.IFNA(VLOOKUP(Master_Reference[[#This Row],[C-Flex 4000K Eco Part Number]],Lutron_CFlex_Lookup[],MATCH("Lutron Kit PN",Lutron_CFlex_Lookup[#Headers],0),FALSE),"")</f>
        <v/>
      </c>
      <c r="AI564" s="1" t="str">
        <f>_xlfn.IFNA(VLOOKUP(Master_Reference[[#This Row],[C-Flex 5000K Eco Part Number]],Lutron_CFlex_Lookup[],MATCH("Lutron Kit PN",Lutron_CFlex_Lookup[#Headers],0),FALSE),"")</f>
        <v/>
      </c>
      <c r="AJ564" s="1" t="str">
        <f>_xlfn.IFNA(VLOOKUP(Master_Reference[[#This Row],[C-Flex 3000K 3W Part Number]],Lutron_CFlex_Lookup[],MATCH("Lutron Kit PN",Lutron_CFlex_Lookup[#Headers],0),FALSE),"")</f>
        <v/>
      </c>
      <c r="AK564" s="1" t="str">
        <f>_xlfn.IFNA(VLOOKUP(Master_Reference[[#This Row],[C-Flex 3500K 3W Part Number]],Lutron_CFlex_Lookup[],MATCH("Lutron Kit PN",Lutron_CFlex_Lookup[#Headers],0),FALSE),"")</f>
        <v/>
      </c>
      <c r="AL564" s="1" t="str">
        <f>_xlfn.IFNA(VLOOKUP(Master_Reference[[#This Row],[C-Flex 4000K 3W Part Number]],Lutron_CFlex_Lookup[],MATCH("Lutron Kit PN",Lutron_CFlex_Lookup[#Headers],0),FALSE),"")</f>
        <v/>
      </c>
      <c r="AM564" s="1" t="str">
        <f>_xlfn.IFNA(VLOOKUP(Master_Reference[[#This Row],[C-Flex 5000K 3W Part Number]],Lutron_CFlex_Lookup[],MATCH("Lutron Kit PN",Lutron_CFlex_Lookup[#Headers],0),FALSE),"")</f>
        <v/>
      </c>
      <c r="AN564" s="1" t="b">
        <f>NOT(ISNA(VLOOKUP(Master_Reference[[#This Row],[Model Number]],ObsoleteModels[],1,FALSE)))</f>
        <v>1</v>
      </c>
      <c r="AO564" s="1" t="str">
        <f>IF(LEFT(Master_Reference[[#This Row],[Model Number]],1)="U",LEFT(Master_Reference[[#This Row],[Model Number]],4),LEFT(Master_Reference[[#This Row],[Model Number]],3))</f>
        <v>FDB</v>
      </c>
    </row>
    <row r="565" spans="1:41" x14ac:dyDescent="0.25">
      <c r="A565" s="2" t="s">
        <v>846</v>
      </c>
      <c r="B565" s="1"/>
      <c r="C565" s="1" t="b">
        <v>1</v>
      </c>
      <c r="G565" s="1" t="str">
        <f>IF(OR(LEFT(RIGHT(Master_Reference[[#This Row],[Model Number]],3),1)="C",LEFT(RIGHT(Master_Reference[[#This Row],[Model Number]],4),1)="C"),TRUE,"")</f>
        <v/>
      </c>
      <c r="H565" s="1" t="str">
        <f>IF(LEFT(Master_Reference[[#This Row],[Model Number]],1)="U",TRUE,"")</f>
        <v/>
      </c>
      <c r="I565" s="1" t="b">
        <f>IF(Master_Reference[[#This Row],[Lamp Type]]="T4","",IF(Master_Reference[[#This Row],[Case Type]]="M","",TRUE))</f>
        <v>1</v>
      </c>
      <c r="J565" s="1" t="s">
        <v>111</v>
      </c>
      <c r="K565" s="1">
        <v>36</v>
      </c>
      <c r="L565" s="1" t="s">
        <v>118</v>
      </c>
      <c r="M565" s="1">
        <v>2</v>
      </c>
      <c r="N565" s="1">
        <v>240</v>
      </c>
      <c r="O565" s="1" t="s">
        <v>144</v>
      </c>
      <c r="Q565" s="1" t="s">
        <v>456</v>
      </c>
      <c r="R565" t="b">
        <f>IF(COUNTBLANK(Master_Reference[[#This Row],[C-Flex 3000K Eco Part Number]:[C-Flex 4000K Eco Part Number]])=3,FALSE,TRUE)</f>
        <v>0</v>
      </c>
      <c r="S565" t="b">
        <f>IF(COUNTBLANK(Master_Reference[[#This Row],[C-Flex 3000K 3W Part Number]:[C-Flex 4000K 3W Part Number]])=3,FALSE,TRUE)</f>
        <v>0</v>
      </c>
      <c r="T565" s="1" t="b">
        <f>IF(COUNTBLANK(Master_Reference[[#This Row],[Lutron 3000K Eco Part Number]:[Lutron 4000K Eco Part Number]])=3,FALSE,TRUE)</f>
        <v>0</v>
      </c>
      <c r="U565" s="1" t="b">
        <f>IF(COUNTBLANK(Master_Reference[[#This Row],[Lutron 3000K 3W Part Number]:[Lutron 4000K 3W Part Number]])=3,FALSE,TRUE)</f>
        <v>0</v>
      </c>
      <c r="V565" s="13"/>
      <c r="W565" s="13"/>
      <c r="X565" s="12"/>
      <c r="Y565" t="s">
        <v>2125</v>
      </c>
      <c r="Z565" s="12"/>
      <c r="AA565" s="12"/>
      <c r="AB565" s="12"/>
      <c r="AC565" t="s">
        <v>2125</v>
      </c>
      <c r="AD565" t="str">
        <f>SUBSTITUTE(Master_Reference[[#This Row],[C-Flex 4000K Eco Part Number]],"40-","xx-")</f>
        <v/>
      </c>
      <c r="AE565" t="str">
        <f>SUBSTITUTE(Master_Reference[[#This Row],[C-Flex 4000K 3W Part Number]],"40-","xx-")</f>
        <v/>
      </c>
      <c r="AF565" s="1" t="str">
        <f>_xlfn.IFNA(VLOOKUP(Master_Reference[[#This Row],[C-Flex 3000K Eco Part Number]],Lutron_CFlex_Lookup[],MATCH("Lutron Kit PN",Lutron_CFlex_Lookup[#Headers],0),FALSE),"")</f>
        <v/>
      </c>
      <c r="AG565" s="1" t="str">
        <f>_xlfn.IFNA(VLOOKUP(Master_Reference[[#This Row],[C-Flex 3500K Eco Part Number]],Lutron_CFlex_Lookup[],MATCH("Lutron Kit PN",Lutron_CFlex_Lookup[#Headers],0),FALSE),"")</f>
        <v/>
      </c>
      <c r="AH565" s="1" t="str">
        <f>_xlfn.IFNA(VLOOKUP(Master_Reference[[#This Row],[C-Flex 4000K Eco Part Number]],Lutron_CFlex_Lookup[],MATCH("Lutron Kit PN",Lutron_CFlex_Lookup[#Headers],0),FALSE),"")</f>
        <v/>
      </c>
      <c r="AI565" s="1" t="str">
        <f>_xlfn.IFNA(VLOOKUP(Master_Reference[[#This Row],[C-Flex 5000K Eco Part Number]],Lutron_CFlex_Lookup[],MATCH("Lutron Kit PN",Lutron_CFlex_Lookup[#Headers],0),FALSE),"")</f>
        <v/>
      </c>
      <c r="AJ565" s="1" t="str">
        <f>_xlfn.IFNA(VLOOKUP(Master_Reference[[#This Row],[C-Flex 3000K 3W Part Number]],Lutron_CFlex_Lookup[],MATCH("Lutron Kit PN",Lutron_CFlex_Lookup[#Headers],0),FALSE),"")</f>
        <v/>
      </c>
      <c r="AK565" s="1" t="str">
        <f>_xlfn.IFNA(VLOOKUP(Master_Reference[[#This Row],[C-Flex 3500K 3W Part Number]],Lutron_CFlex_Lookup[],MATCH("Lutron Kit PN",Lutron_CFlex_Lookup[#Headers],0),FALSE),"")</f>
        <v/>
      </c>
      <c r="AL565" s="1" t="str">
        <f>_xlfn.IFNA(VLOOKUP(Master_Reference[[#This Row],[C-Flex 4000K 3W Part Number]],Lutron_CFlex_Lookup[],MATCH("Lutron Kit PN",Lutron_CFlex_Lookup[#Headers],0),FALSE),"")</f>
        <v/>
      </c>
      <c r="AM565" s="1" t="str">
        <f>_xlfn.IFNA(VLOOKUP(Master_Reference[[#This Row],[C-Flex 5000K 3W Part Number]],Lutron_CFlex_Lookup[],MATCH("Lutron Kit PN",Lutron_CFlex_Lookup[#Headers],0),FALSE),"")</f>
        <v/>
      </c>
      <c r="AN565" s="1" t="b">
        <f>NOT(ISNA(VLOOKUP(Master_Reference[[#This Row],[Model Number]],ObsoleteModels[],1,FALSE)))</f>
        <v>1</v>
      </c>
      <c r="AO565" s="1" t="str">
        <f>IF(LEFT(Master_Reference[[#This Row],[Model Number]],1)="U",LEFT(Master_Reference[[#This Row],[Model Number]],4),LEFT(Master_Reference[[#This Row],[Model Number]],3))</f>
        <v>FDB</v>
      </c>
    </row>
    <row r="566" spans="1:41" x14ac:dyDescent="0.25">
      <c r="A566" s="2" t="s">
        <v>847</v>
      </c>
      <c r="B566" s="1"/>
      <c r="C566" s="1" t="b">
        <v>1</v>
      </c>
      <c r="G566" s="1" t="str">
        <f>IF(OR(LEFT(RIGHT(Master_Reference[[#This Row],[Model Number]],3),1)="C",LEFT(RIGHT(Master_Reference[[#This Row],[Model Number]],4),1)="C"),TRUE,"")</f>
        <v/>
      </c>
      <c r="H566" s="1" t="str">
        <f>IF(LEFT(Master_Reference[[#This Row],[Model Number]],1)="U",TRUE,"")</f>
        <v/>
      </c>
      <c r="I566" s="1" t="b">
        <f>IF(Master_Reference[[#This Row],[Lamp Type]]="T4","",IF(Master_Reference[[#This Row],[Case Type]]="M","",TRUE))</f>
        <v>1</v>
      </c>
      <c r="J566" s="1" t="s">
        <v>111</v>
      </c>
      <c r="K566" s="1">
        <v>58</v>
      </c>
      <c r="L566" s="1" t="s">
        <v>220</v>
      </c>
      <c r="M566" s="1">
        <v>1</v>
      </c>
      <c r="N566" s="1">
        <v>240</v>
      </c>
      <c r="O566" s="1" t="s">
        <v>144</v>
      </c>
      <c r="Q566" s="1" t="s">
        <v>456</v>
      </c>
      <c r="R566" t="b">
        <f>IF(COUNTBLANK(Master_Reference[[#This Row],[C-Flex 3000K Eco Part Number]:[C-Flex 4000K Eco Part Number]])=3,FALSE,TRUE)</f>
        <v>0</v>
      </c>
      <c r="S566" t="b">
        <f>IF(COUNTBLANK(Master_Reference[[#This Row],[C-Flex 3000K 3W Part Number]:[C-Flex 4000K 3W Part Number]])=3,FALSE,TRUE)</f>
        <v>0</v>
      </c>
      <c r="T566" s="1" t="b">
        <f>IF(COUNTBLANK(Master_Reference[[#This Row],[Lutron 3000K Eco Part Number]:[Lutron 4000K Eco Part Number]])=3,FALSE,TRUE)</f>
        <v>0</v>
      </c>
      <c r="U566" s="1" t="b">
        <f>IF(COUNTBLANK(Master_Reference[[#This Row],[Lutron 3000K 3W Part Number]:[Lutron 4000K 3W Part Number]])=3,FALSE,TRUE)</f>
        <v>0</v>
      </c>
      <c r="V566" s="13"/>
      <c r="W566" s="13"/>
      <c r="X566" s="12"/>
      <c r="Y566" t="s">
        <v>2125</v>
      </c>
      <c r="Z566" s="12"/>
      <c r="AA566" s="12"/>
      <c r="AB566" s="12"/>
      <c r="AC566" t="s">
        <v>2125</v>
      </c>
      <c r="AD566" t="str">
        <f>SUBSTITUTE(Master_Reference[[#This Row],[C-Flex 4000K Eco Part Number]],"40-","xx-")</f>
        <v/>
      </c>
      <c r="AE566" t="str">
        <f>SUBSTITUTE(Master_Reference[[#This Row],[C-Flex 4000K 3W Part Number]],"40-","xx-")</f>
        <v/>
      </c>
      <c r="AF566" s="1" t="str">
        <f>_xlfn.IFNA(VLOOKUP(Master_Reference[[#This Row],[C-Flex 3000K Eco Part Number]],Lutron_CFlex_Lookup[],MATCH("Lutron Kit PN",Lutron_CFlex_Lookup[#Headers],0),FALSE),"")</f>
        <v/>
      </c>
      <c r="AG566" s="1" t="str">
        <f>_xlfn.IFNA(VLOOKUP(Master_Reference[[#This Row],[C-Flex 3500K Eco Part Number]],Lutron_CFlex_Lookup[],MATCH("Lutron Kit PN",Lutron_CFlex_Lookup[#Headers],0),FALSE),"")</f>
        <v/>
      </c>
      <c r="AH566" s="1" t="str">
        <f>_xlfn.IFNA(VLOOKUP(Master_Reference[[#This Row],[C-Flex 4000K Eco Part Number]],Lutron_CFlex_Lookup[],MATCH("Lutron Kit PN",Lutron_CFlex_Lookup[#Headers],0),FALSE),"")</f>
        <v/>
      </c>
      <c r="AI566" s="1" t="str">
        <f>_xlfn.IFNA(VLOOKUP(Master_Reference[[#This Row],[C-Flex 5000K Eco Part Number]],Lutron_CFlex_Lookup[],MATCH("Lutron Kit PN",Lutron_CFlex_Lookup[#Headers],0),FALSE),"")</f>
        <v/>
      </c>
      <c r="AJ566" s="1" t="str">
        <f>_xlfn.IFNA(VLOOKUP(Master_Reference[[#This Row],[C-Flex 3000K 3W Part Number]],Lutron_CFlex_Lookup[],MATCH("Lutron Kit PN",Lutron_CFlex_Lookup[#Headers],0),FALSE),"")</f>
        <v/>
      </c>
      <c r="AK566" s="1" t="str">
        <f>_xlfn.IFNA(VLOOKUP(Master_Reference[[#This Row],[C-Flex 3500K 3W Part Number]],Lutron_CFlex_Lookup[],MATCH("Lutron Kit PN",Lutron_CFlex_Lookup[#Headers],0),FALSE),"")</f>
        <v/>
      </c>
      <c r="AL566" s="1" t="str">
        <f>_xlfn.IFNA(VLOOKUP(Master_Reference[[#This Row],[C-Flex 4000K 3W Part Number]],Lutron_CFlex_Lookup[],MATCH("Lutron Kit PN",Lutron_CFlex_Lookup[#Headers],0),FALSE),"")</f>
        <v/>
      </c>
      <c r="AM566" s="1" t="str">
        <f>_xlfn.IFNA(VLOOKUP(Master_Reference[[#This Row],[C-Flex 5000K 3W Part Number]],Lutron_CFlex_Lookup[],MATCH("Lutron Kit PN",Lutron_CFlex_Lookup[#Headers],0),FALSE),"")</f>
        <v/>
      </c>
      <c r="AN566" s="1" t="b">
        <f>NOT(ISNA(VLOOKUP(Master_Reference[[#This Row],[Model Number]],ObsoleteModels[],1,FALSE)))</f>
        <v>1</v>
      </c>
      <c r="AO566" s="1" t="str">
        <f>IF(LEFT(Master_Reference[[#This Row],[Model Number]],1)="U",LEFT(Master_Reference[[#This Row],[Model Number]],4),LEFT(Master_Reference[[#This Row],[Model Number]],3))</f>
        <v>FDB</v>
      </c>
    </row>
    <row r="567" spans="1:41" x14ac:dyDescent="0.25">
      <c r="A567" s="2" t="s">
        <v>848</v>
      </c>
      <c r="B567" s="1"/>
      <c r="C567" s="1" t="b">
        <v>1</v>
      </c>
      <c r="G567" s="1" t="str">
        <f>IF(OR(LEFT(RIGHT(Master_Reference[[#This Row],[Model Number]],3),1)="C",LEFT(RIGHT(Master_Reference[[#This Row],[Model Number]],4),1)="C"),TRUE,"")</f>
        <v/>
      </c>
      <c r="H567" s="1" t="str">
        <f>IF(LEFT(Master_Reference[[#This Row],[Model Number]],1)="U",TRUE,"")</f>
        <v/>
      </c>
      <c r="I567" s="1" t="b">
        <f>IF(Master_Reference[[#This Row],[Lamp Type]]="T4","",IF(Master_Reference[[#This Row],[Case Type]]="M","",TRUE))</f>
        <v>1</v>
      </c>
      <c r="J567" s="1" t="s">
        <v>111</v>
      </c>
      <c r="K567" s="1">
        <v>58</v>
      </c>
      <c r="L567" s="1" t="s">
        <v>220</v>
      </c>
      <c r="M567" s="1">
        <v>2</v>
      </c>
      <c r="N567" s="1">
        <v>240</v>
      </c>
      <c r="O567" s="1" t="s">
        <v>144</v>
      </c>
      <c r="Q567" s="1" t="s">
        <v>456</v>
      </c>
      <c r="R567" t="b">
        <f>IF(COUNTBLANK(Master_Reference[[#This Row],[C-Flex 3000K Eco Part Number]:[C-Flex 4000K Eco Part Number]])=3,FALSE,TRUE)</f>
        <v>0</v>
      </c>
      <c r="S567" t="b">
        <f>IF(COUNTBLANK(Master_Reference[[#This Row],[C-Flex 3000K 3W Part Number]:[C-Flex 4000K 3W Part Number]])=3,FALSE,TRUE)</f>
        <v>0</v>
      </c>
      <c r="T567" s="1" t="b">
        <f>IF(COUNTBLANK(Master_Reference[[#This Row],[Lutron 3000K Eco Part Number]:[Lutron 4000K Eco Part Number]])=3,FALSE,TRUE)</f>
        <v>0</v>
      </c>
      <c r="U567" s="1" t="b">
        <f>IF(COUNTBLANK(Master_Reference[[#This Row],[Lutron 3000K 3W Part Number]:[Lutron 4000K 3W Part Number]])=3,FALSE,TRUE)</f>
        <v>0</v>
      </c>
      <c r="V567" s="13"/>
      <c r="W567" s="13"/>
      <c r="X567" s="12"/>
      <c r="Y567" t="s">
        <v>2125</v>
      </c>
      <c r="Z567" s="12"/>
      <c r="AA567" s="12"/>
      <c r="AB567" s="12"/>
      <c r="AC567" t="s">
        <v>2125</v>
      </c>
      <c r="AD567" t="str">
        <f>SUBSTITUTE(Master_Reference[[#This Row],[C-Flex 4000K Eco Part Number]],"40-","xx-")</f>
        <v/>
      </c>
      <c r="AE567" t="str">
        <f>SUBSTITUTE(Master_Reference[[#This Row],[C-Flex 4000K 3W Part Number]],"40-","xx-")</f>
        <v/>
      </c>
      <c r="AF567" s="1" t="str">
        <f>_xlfn.IFNA(VLOOKUP(Master_Reference[[#This Row],[C-Flex 3000K Eco Part Number]],Lutron_CFlex_Lookup[],MATCH("Lutron Kit PN",Lutron_CFlex_Lookup[#Headers],0),FALSE),"")</f>
        <v/>
      </c>
      <c r="AG567" s="1" t="str">
        <f>_xlfn.IFNA(VLOOKUP(Master_Reference[[#This Row],[C-Flex 3500K Eco Part Number]],Lutron_CFlex_Lookup[],MATCH("Lutron Kit PN",Lutron_CFlex_Lookup[#Headers],0),FALSE),"")</f>
        <v/>
      </c>
      <c r="AH567" s="1" t="str">
        <f>_xlfn.IFNA(VLOOKUP(Master_Reference[[#This Row],[C-Flex 4000K Eco Part Number]],Lutron_CFlex_Lookup[],MATCH("Lutron Kit PN",Lutron_CFlex_Lookup[#Headers],0),FALSE),"")</f>
        <v/>
      </c>
      <c r="AI567" s="1" t="str">
        <f>_xlfn.IFNA(VLOOKUP(Master_Reference[[#This Row],[C-Flex 5000K Eco Part Number]],Lutron_CFlex_Lookup[],MATCH("Lutron Kit PN",Lutron_CFlex_Lookup[#Headers],0),FALSE),"")</f>
        <v/>
      </c>
      <c r="AJ567" s="1" t="str">
        <f>_xlfn.IFNA(VLOOKUP(Master_Reference[[#This Row],[C-Flex 3000K 3W Part Number]],Lutron_CFlex_Lookup[],MATCH("Lutron Kit PN",Lutron_CFlex_Lookup[#Headers],0),FALSE),"")</f>
        <v/>
      </c>
      <c r="AK567" s="1" t="str">
        <f>_xlfn.IFNA(VLOOKUP(Master_Reference[[#This Row],[C-Flex 3500K 3W Part Number]],Lutron_CFlex_Lookup[],MATCH("Lutron Kit PN",Lutron_CFlex_Lookup[#Headers],0),FALSE),"")</f>
        <v/>
      </c>
      <c r="AL567" s="1" t="str">
        <f>_xlfn.IFNA(VLOOKUP(Master_Reference[[#This Row],[C-Flex 4000K 3W Part Number]],Lutron_CFlex_Lookup[],MATCH("Lutron Kit PN",Lutron_CFlex_Lookup[#Headers],0),FALSE),"")</f>
        <v/>
      </c>
      <c r="AM567" s="1" t="str">
        <f>_xlfn.IFNA(VLOOKUP(Master_Reference[[#This Row],[C-Flex 5000K 3W Part Number]],Lutron_CFlex_Lookup[],MATCH("Lutron Kit PN",Lutron_CFlex_Lookup[#Headers],0),FALSE),"")</f>
        <v/>
      </c>
      <c r="AN567" s="1" t="b">
        <f>NOT(ISNA(VLOOKUP(Master_Reference[[#This Row],[Model Number]],ObsoleteModels[],1,FALSE)))</f>
        <v>1</v>
      </c>
      <c r="AO567" s="1" t="str">
        <f>IF(LEFT(Master_Reference[[#This Row],[Model Number]],1)="U",LEFT(Master_Reference[[#This Row],[Model Number]],4),LEFT(Master_Reference[[#This Row],[Model Number]],3))</f>
        <v>FDB</v>
      </c>
    </row>
    <row r="568" spans="1:41" x14ac:dyDescent="0.25">
      <c r="A568" s="2" t="s">
        <v>849</v>
      </c>
      <c r="B568" s="1"/>
      <c r="C568" s="1" t="b">
        <v>1</v>
      </c>
      <c r="G568" s="1" t="str">
        <f>IF(OR(LEFT(RIGHT(Master_Reference[[#This Row],[Model Number]],3),1)="C",LEFT(RIGHT(Master_Reference[[#This Row],[Model Number]],4),1)="C"),TRUE,"")</f>
        <v/>
      </c>
      <c r="H568" s="1" t="str">
        <f>IF(LEFT(Master_Reference[[#This Row],[Model Number]],1)="U",TRUE,"")</f>
        <v/>
      </c>
      <c r="I568" s="1" t="b">
        <f>IF(Master_Reference[[#This Row],[Lamp Type]]="T4","",IF(Master_Reference[[#This Row],[Case Type]]="M","",TRUE))</f>
        <v>1</v>
      </c>
      <c r="J568" s="1" t="s">
        <v>215</v>
      </c>
      <c r="K568" s="1">
        <v>39</v>
      </c>
      <c r="L568" s="1" t="s">
        <v>216</v>
      </c>
      <c r="M568" s="1">
        <v>1</v>
      </c>
      <c r="N568" s="1" t="str">
        <f t="shared" ref="N568:N573" si="8">LEFT(RIGHT(A568,5),3)</f>
        <v>120</v>
      </c>
      <c r="O568" s="1" t="s">
        <v>144</v>
      </c>
      <c r="R568" t="b">
        <f>IF(COUNTBLANK(Master_Reference[[#This Row],[C-Flex 3000K Eco Part Number]:[C-Flex 4000K Eco Part Number]])=3,FALSE,TRUE)</f>
        <v>0</v>
      </c>
      <c r="S568" t="b">
        <f>IF(COUNTBLANK(Master_Reference[[#This Row],[C-Flex 3000K 3W Part Number]:[C-Flex 4000K 3W Part Number]])=3,FALSE,TRUE)</f>
        <v>0</v>
      </c>
      <c r="T568" t="b">
        <f>IF(COUNTBLANK(Master_Reference[[#This Row],[Lutron 3000K Eco Part Number]:[Lutron 4000K Eco Part Number]])=3,FALSE,TRUE)</f>
        <v>0</v>
      </c>
      <c r="U568" t="b">
        <f>IF(COUNTBLANK(Master_Reference[[#This Row],[Lutron 3000K 3W Part Number]:[Lutron 4000K 3W Part Number]])=3,FALSE,TRUE)</f>
        <v>0</v>
      </c>
      <c r="V568" s="12"/>
      <c r="W568" s="12"/>
      <c r="X568" s="12"/>
      <c r="Y568" t="s">
        <v>2125</v>
      </c>
      <c r="Z568" s="12"/>
      <c r="AA568" s="12"/>
      <c r="AB568" s="12"/>
      <c r="AC568" t="s">
        <v>2125</v>
      </c>
      <c r="AD568" t="str">
        <f>SUBSTITUTE(Master_Reference[[#This Row],[C-Flex 4000K Eco Part Number]],"40-","xx-")</f>
        <v/>
      </c>
      <c r="AE568" t="str">
        <f>SUBSTITUTE(Master_Reference[[#This Row],[C-Flex 4000K 3W Part Number]],"40-","xx-")</f>
        <v/>
      </c>
      <c r="AF568" s="1" t="str">
        <f>_xlfn.IFNA(VLOOKUP(Master_Reference[[#This Row],[C-Flex 3000K Eco Part Number]],Lutron_CFlex_Lookup[],MATCH("Lutron Kit PN",Lutron_CFlex_Lookup[#Headers],0),FALSE),"")</f>
        <v/>
      </c>
      <c r="AG568" s="1" t="str">
        <f>_xlfn.IFNA(VLOOKUP(Master_Reference[[#This Row],[C-Flex 3500K Eco Part Number]],Lutron_CFlex_Lookup[],MATCH("Lutron Kit PN",Lutron_CFlex_Lookup[#Headers],0),FALSE),"")</f>
        <v/>
      </c>
      <c r="AH568" s="1" t="str">
        <f>_xlfn.IFNA(VLOOKUP(Master_Reference[[#This Row],[C-Flex 4000K Eco Part Number]],Lutron_CFlex_Lookup[],MATCH("Lutron Kit PN",Lutron_CFlex_Lookup[#Headers],0),FALSE),"")</f>
        <v/>
      </c>
      <c r="AI568" s="1" t="str">
        <f>_xlfn.IFNA(VLOOKUP(Master_Reference[[#This Row],[C-Flex 5000K Eco Part Number]],Lutron_CFlex_Lookup[],MATCH("Lutron Kit PN",Lutron_CFlex_Lookup[#Headers],0),FALSE),"")</f>
        <v/>
      </c>
      <c r="AJ568" s="1" t="str">
        <f>_xlfn.IFNA(VLOOKUP(Master_Reference[[#This Row],[C-Flex 3000K 3W Part Number]],Lutron_CFlex_Lookup[],MATCH("Lutron Kit PN",Lutron_CFlex_Lookup[#Headers],0),FALSE),"")</f>
        <v/>
      </c>
      <c r="AK568" s="1" t="str">
        <f>_xlfn.IFNA(VLOOKUP(Master_Reference[[#This Row],[C-Flex 3500K 3W Part Number]],Lutron_CFlex_Lookup[],MATCH("Lutron Kit PN",Lutron_CFlex_Lookup[#Headers],0),FALSE),"")</f>
        <v/>
      </c>
      <c r="AL568" s="1" t="str">
        <f>_xlfn.IFNA(VLOOKUP(Master_Reference[[#This Row],[C-Flex 4000K 3W Part Number]],Lutron_CFlex_Lookup[],MATCH("Lutron Kit PN",Lutron_CFlex_Lookup[#Headers],0),FALSE),"")</f>
        <v/>
      </c>
      <c r="AM568" s="1" t="str">
        <f>_xlfn.IFNA(VLOOKUP(Master_Reference[[#This Row],[C-Flex 5000K 3W Part Number]],Lutron_CFlex_Lookup[],MATCH("Lutron Kit PN",Lutron_CFlex_Lookup[#Headers],0),FALSE),"")</f>
        <v/>
      </c>
      <c r="AN568" s="1" t="b">
        <f>NOT(ISNA(VLOOKUP(Master_Reference[[#This Row],[Model Number]],ObsoleteModels[],1,FALSE)))</f>
        <v>1</v>
      </c>
      <c r="AO568" s="1" t="str">
        <f>IF(LEFT(Master_Reference[[#This Row],[Model Number]],1)="U",LEFT(Master_Reference[[#This Row],[Model Number]],4),LEFT(Master_Reference[[#This Row],[Model Number]],3))</f>
        <v>FDB</v>
      </c>
    </row>
    <row r="569" spans="1:41" x14ac:dyDescent="0.25">
      <c r="A569" s="2" t="s">
        <v>850</v>
      </c>
      <c r="B569" s="1"/>
      <c r="C569" s="1" t="b">
        <v>1</v>
      </c>
      <c r="G569" s="1" t="str">
        <f>IF(OR(LEFT(RIGHT(Master_Reference[[#This Row],[Model Number]],3),1)="C",LEFT(RIGHT(Master_Reference[[#This Row],[Model Number]],4),1)="C"),TRUE,"")</f>
        <v/>
      </c>
      <c r="H569" s="1" t="str">
        <f>IF(LEFT(Master_Reference[[#This Row],[Model Number]],1)="U",TRUE,"")</f>
        <v/>
      </c>
      <c r="I569" s="1" t="b">
        <f>IF(Master_Reference[[#This Row],[Lamp Type]]="T4","",IF(Master_Reference[[#This Row],[Case Type]]="M","",TRUE))</f>
        <v>1</v>
      </c>
      <c r="J569" s="1" t="s">
        <v>215</v>
      </c>
      <c r="K569" s="1">
        <v>39</v>
      </c>
      <c r="L569" s="1" t="s">
        <v>216</v>
      </c>
      <c r="M569" s="1">
        <v>2</v>
      </c>
      <c r="N569" s="1" t="str">
        <f t="shared" si="8"/>
        <v>120</v>
      </c>
      <c r="O569" s="1" t="s">
        <v>144</v>
      </c>
      <c r="R569" t="b">
        <f>IF(COUNTBLANK(Master_Reference[[#This Row],[C-Flex 3000K Eco Part Number]:[C-Flex 4000K Eco Part Number]])=3,FALSE,TRUE)</f>
        <v>0</v>
      </c>
      <c r="S569" t="b">
        <f>IF(COUNTBLANK(Master_Reference[[#This Row],[C-Flex 3000K 3W Part Number]:[C-Flex 4000K 3W Part Number]])=3,FALSE,TRUE)</f>
        <v>0</v>
      </c>
      <c r="T569" t="b">
        <f>IF(COUNTBLANK(Master_Reference[[#This Row],[Lutron 3000K Eco Part Number]:[Lutron 4000K Eco Part Number]])=3,FALSE,TRUE)</f>
        <v>0</v>
      </c>
      <c r="U569" t="b">
        <f>IF(COUNTBLANK(Master_Reference[[#This Row],[Lutron 3000K 3W Part Number]:[Lutron 4000K 3W Part Number]])=3,FALSE,TRUE)</f>
        <v>0</v>
      </c>
      <c r="V569" s="12"/>
      <c r="W569" s="12"/>
      <c r="X569" s="12"/>
      <c r="Y569" t="s">
        <v>2125</v>
      </c>
      <c r="Z569" s="12"/>
      <c r="AA569" s="12"/>
      <c r="AB569" s="12"/>
      <c r="AC569" t="s">
        <v>2125</v>
      </c>
      <c r="AD569" t="str">
        <f>SUBSTITUTE(Master_Reference[[#This Row],[C-Flex 4000K Eco Part Number]],"40-","xx-")</f>
        <v/>
      </c>
      <c r="AE569" t="str">
        <f>SUBSTITUTE(Master_Reference[[#This Row],[C-Flex 4000K 3W Part Number]],"40-","xx-")</f>
        <v/>
      </c>
      <c r="AF569" s="1" t="str">
        <f>_xlfn.IFNA(VLOOKUP(Master_Reference[[#This Row],[C-Flex 3000K Eco Part Number]],Lutron_CFlex_Lookup[],MATCH("Lutron Kit PN",Lutron_CFlex_Lookup[#Headers],0),FALSE),"")</f>
        <v/>
      </c>
      <c r="AG569" s="1" t="str">
        <f>_xlfn.IFNA(VLOOKUP(Master_Reference[[#This Row],[C-Flex 3500K Eco Part Number]],Lutron_CFlex_Lookup[],MATCH("Lutron Kit PN",Lutron_CFlex_Lookup[#Headers],0),FALSE),"")</f>
        <v/>
      </c>
      <c r="AH569" s="1" t="str">
        <f>_xlfn.IFNA(VLOOKUP(Master_Reference[[#This Row],[C-Flex 4000K Eco Part Number]],Lutron_CFlex_Lookup[],MATCH("Lutron Kit PN",Lutron_CFlex_Lookup[#Headers],0),FALSE),"")</f>
        <v/>
      </c>
      <c r="AI569" s="1" t="str">
        <f>_xlfn.IFNA(VLOOKUP(Master_Reference[[#This Row],[C-Flex 5000K Eco Part Number]],Lutron_CFlex_Lookup[],MATCH("Lutron Kit PN",Lutron_CFlex_Lookup[#Headers],0),FALSE),"")</f>
        <v/>
      </c>
      <c r="AJ569" s="1" t="str">
        <f>_xlfn.IFNA(VLOOKUP(Master_Reference[[#This Row],[C-Flex 3000K 3W Part Number]],Lutron_CFlex_Lookup[],MATCH("Lutron Kit PN",Lutron_CFlex_Lookup[#Headers],0),FALSE),"")</f>
        <v/>
      </c>
      <c r="AK569" s="1" t="str">
        <f>_xlfn.IFNA(VLOOKUP(Master_Reference[[#This Row],[C-Flex 3500K 3W Part Number]],Lutron_CFlex_Lookup[],MATCH("Lutron Kit PN",Lutron_CFlex_Lookup[#Headers],0),FALSE),"")</f>
        <v/>
      </c>
      <c r="AL569" s="1" t="str">
        <f>_xlfn.IFNA(VLOOKUP(Master_Reference[[#This Row],[C-Flex 4000K 3W Part Number]],Lutron_CFlex_Lookup[],MATCH("Lutron Kit PN",Lutron_CFlex_Lookup[#Headers],0),FALSE),"")</f>
        <v/>
      </c>
      <c r="AM569" s="1" t="str">
        <f>_xlfn.IFNA(VLOOKUP(Master_Reference[[#This Row],[C-Flex 5000K 3W Part Number]],Lutron_CFlex_Lookup[],MATCH("Lutron Kit PN",Lutron_CFlex_Lookup[#Headers],0),FALSE),"")</f>
        <v/>
      </c>
      <c r="AN569" s="1" t="b">
        <f>NOT(ISNA(VLOOKUP(Master_Reference[[#This Row],[Model Number]],ObsoleteModels[],1,FALSE)))</f>
        <v>1</v>
      </c>
      <c r="AO569" s="1" t="str">
        <f>IF(LEFT(Master_Reference[[#This Row],[Model Number]],1)="U",LEFT(Master_Reference[[#This Row],[Model Number]],4),LEFT(Master_Reference[[#This Row],[Model Number]],3))</f>
        <v>FDB</v>
      </c>
    </row>
    <row r="570" spans="1:41" x14ac:dyDescent="0.25">
      <c r="A570" s="2" t="s">
        <v>851</v>
      </c>
      <c r="B570" s="1"/>
      <c r="C570" s="1" t="b">
        <v>1</v>
      </c>
      <c r="G570" s="1" t="str">
        <f>IF(OR(LEFT(RIGHT(Master_Reference[[#This Row],[Model Number]],3),1)="C",LEFT(RIGHT(Master_Reference[[#This Row],[Model Number]],4),1)="C"),TRUE,"")</f>
        <v/>
      </c>
      <c r="H570" s="1" t="str">
        <f>IF(LEFT(Master_Reference[[#This Row],[Model Number]],1)="U",TRUE,"")</f>
        <v/>
      </c>
      <c r="I570" s="1" t="b">
        <f>IF(Master_Reference[[#This Row],[Lamp Type]]="T4","",IF(Master_Reference[[#This Row],[Case Type]]="M","",TRUE))</f>
        <v>1</v>
      </c>
      <c r="J570" s="1" t="s">
        <v>215</v>
      </c>
      <c r="K570" s="1">
        <v>39</v>
      </c>
      <c r="L570" s="1" t="s">
        <v>216</v>
      </c>
      <c r="M570" s="1">
        <v>3</v>
      </c>
      <c r="N570" s="1" t="str">
        <f t="shared" si="8"/>
        <v>120</v>
      </c>
      <c r="O570" s="1" t="s">
        <v>144</v>
      </c>
      <c r="R570" t="b">
        <f>IF(COUNTBLANK(Master_Reference[[#This Row],[C-Flex 3000K Eco Part Number]:[C-Flex 4000K Eco Part Number]])=3,FALSE,TRUE)</f>
        <v>0</v>
      </c>
      <c r="S570" t="b">
        <f>IF(COUNTBLANK(Master_Reference[[#This Row],[C-Flex 3000K 3W Part Number]:[C-Flex 4000K 3W Part Number]])=3,FALSE,TRUE)</f>
        <v>0</v>
      </c>
      <c r="T570" t="b">
        <f>IF(COUNTBLANK(Master_Reference[[#This Row],[Lutron 3000K Eco Part Number]:[Lutron 4000K Eco Part Number]])=3,FALSE,TRUE)</f>
        <v>0</v>
      </c>
      <c r="U570" t="b">
        <f>IF(COUNTBLANK(Master_Reference[[#This Row],[Lutron 3000K 3W Part Number]:[Lutron 4000K 3W Part Number]])=3,FALSE,TRUE)</f>
        <v>0</v>
      </c>
      <c r="V570" s="12"/>
      <c r="W570" s="12"/>
      <c r="X570" s="12"/>
      <c r="Y570" t="s">
        <v>2125</v>
      </c>
      <c r="Z570" s="12"/>
      <c r="AA570" s="12"/>
      <c r="AB570" s="12"/>
      <c r="AC570" t="s">
        <v>2125</v>
      </c>
      <c r="AD570" t="str">
        <f>SUBSTITUTE(Master_Reference[[#This Row],[C-Flex 4000K Eco Part Number]],"40-","xx-")</f>
        <v/>
      </c>
      <c r="AE570" t="str">
        <f>SUBSTITUTE(Master_Reference[[#This Row],[C-Flex 4000K 3W Part Number]],"40-","xx-")</f>
        <v/>
      </c>
      <c r="AF570" s="1" t="str">
        <f>_xlfn.IFNA(VLOOKUP(Master_Reference[[#This Row],[C-Flex 3000K Eco Part Number]],Lutron_CFlex_Lookup[],MATCH("Lutron Kit PN",Lutron_CFlex_Lookup[#Headers],0),FALSE),"")</f>
        <v/>
      </c>
      <c r="AG570" s="1" t="str">
        <f>_xlfn.IFNA(VLOOKUP(Master_Reference[[#This Row],[C-Flex 3500K Eco Part Number]],Lutron_CFlex_Lookup[],MATCH("Lutron Kit PN",Lutron_CFlex_Lookup[#Headers],0),FALSE),"")</f>
        <v/>
      </c>
      <c r="AH570" s="1" t="str">
        <f>_xlfn.IFNA(VLOOKUP(Master_Reference[[#This Row],[C-Flex 4000K Eco Part Number]],Lutron_CFlex_Lookup[],MATCH("Lutron Kit PN",Lutron_CFlex_Lookup[#Headers],0),FALSE),"")</f>
        <v/>
      </c>
      <c r="AI570" s="1" t="str">
        <f>_xlfn.IFNA(VLOOKUP(Master_Reference[[#This Row],[C-Flex 5000K Eco Part Number]],Lutron_CFlex_Lookup[],MATCH("Lutron Kit PN",Lutron_CFlex_Lookup[#Headers],0),FALSE),"")</f>
        <v/>
      </c>
      <c r="AJ570" s="1" t="str">
        <f>_xlfn.IFNA(VLOOKUP(Master_Reference[[#This Row],[C-Flex 3000K 3W Part Number]],Lutron_CFlex_Lookup[],MATCH("Lutron Kit PN",Lutron_CFlex_Lookup[#Headers],0),FALSE),"")</f>
        <v/>
      </c>
      <c r="AK570" s="1" t="str">
        <f>_xlfn.IFNA(VLOOKUP(Master_Reference[[#This Row],[C-Flex 3500K 3W Part Number]],Lutron_CFlex_Lookup[],MATCH("Lutron Kit PN",Lutron_CFlex_Lookup[#Headers],0),FALSE),"")</f>
        <v/>
      </c>
      <c r="AL570" s="1" t="str">
        <f>_xlfn.IFNA(VLOOKUP(Master_Reference[[#This Row],[C-Flex 4000K 3W Part Number]],Lutron_CFlex_Lookup[],MATCH("Lutron Kit PN",Lutron_CFlex_Lookup[#Headers],0),FALSE),"")</f>
        <v/>
      </c>
      <c r="AM570" s="1" t="str">
        <f>_xlfn.IFNA(VLOOKUP(Master_Reference[[#This Row],[C-Flex 5000K 3W Part Number]],Lutron_CFlex_Lookup[],MATCH("Lutron Kit PN",Lutron_CFlex_Lookup[#Headers],0),FALSE),"")</f>
        <v/>
      </c>
      <c r="AN570" s="1" t="b">
        <f>NOT(ISNA(VLOOKUP(Master_Reference[[#This Row],[Model Number]],ObsoleteModels[],1,FALSE)))</f>
        <v>1</v>
      </c>
      <c r="AO570" s="1" t="str">
        <f>IF(LEFT(Master_Reference[[#This Row],[Model Number]],1)="U",LEFT(Master_Reference[[#This Row],[Model Number]],4),LEFT(Master_Reference[[#This Row],[Model Number]],3))</f>
        <v>FDB</v>
      </c>
    </row>
    <row r="571" spans="1:41" x14ac:dyDescent="0.25">
      <c r="A571" s="2" t="s">
        <v>852</v>
      </c>
      <c r="B571" s="1"/>
      <c r="C571" s="1" t="b">
        <v>1</v>
      </c>
      <c r="G571" s="1" t="str">
        <f>IF(OR(LEFT(RIGHT(Master_Reference[[#This Row],[Model Number]],3),1)="C",LEFT(RIGHT(Master_Reference[[#This Row],[Model Number]],4),1)="C"),TRUE,"")</f>
        <v/>
      </c>
      <c r="H571" s="1" t="str">
        <f>IF(LEFT(Master_Reference[[#This Row],[Model Number]],1)="U",TRUE,"")</f>
        <v/>
      </c>
      <c r="I571" s="1" t="b">
        <f>IF(Master_Reference[[#This Row],[Lamp Type]]="T4","",IF(Master_Reference[[#This Row],[Case Type]]="M","",TRUE))</f>
        <v>1</v>
      </c>
      <c r="J571" s="1" t="s">
        <v>215</v>
      </c>
      <c r="K571" s="1">
        <v>39</v>
      </c>
      <c r="L571" s="1" t="s">
        <v>216</v>
      </c>
      <c r="M571" s="1">
        <v>1</v>
      </c>
      <c r="N571" s="1" t="str">
        <f t="shared" si="8"/>
        <v>277</v>
      </c>
      <c r="O571" s="1" t="s">
        <v>144</v>
      </c>
      <c r="R571" t="b">
        <f>IF(COUNTBLANK(Master_Reference[[#This Row],[C-Flex 3000K Eco Part Number]:[C-Flex 4000K Eco Part Number]])=3,FALSE,TRUE)</f>
        <v>0</v>
      </c>
      <c r="S571" t="b">
        <f>IF(COUNTBLANK(Master_Reference[[#This Row],[C-Flex 3000K 3W Part Number]:[C-Flex 4000K 3W Part Number]])=3,FALSE,TRUE)</f>
        <v>0</v>
      </c>
      <c r="T571" t="b">
        <f>IF(COUNTBLANK(Master_Reference[[#This Row],[Lutron 3000K Eco Part Number]:[Lutron 4000K Eco Part Number]])=3,FALSE,TRUE)</f>
        <v>0</v>
      </c>
      <c r="U571" t="b">
        <f>IF(COUNTBLANK(Master_Reference[[#This Row],[Lutron 3000K 3W Part Number]:[Lutron 4000K 3W Part Number]])=3,FALSE,TRUE)</f>
        <v>0</v>
      </c>
      <c r="V571" s="12"/>
      <c r="W571" s="12"/>
      <c r="X571" s="12"/>
      <c r="Y571" t="s">
        <v>2125</v>
      </c>
      <c r="Z571" s="12"/>
      <c r="AA571" s="12"/>
      <c r="AB571" s="12"/>
      <c r="AC571" t="s">
        <v>2125</v>
      </c>
      <c r="AD571" t="str">
        <f>SUBSTITUTE(Master_Reference[[#This Row],[C-Flex 4000K Eco Part Number]],"40-","xx-")</f>
        <v/>
      </c>
      <c r="AE571" t="str">
        <f>SUBSTITUTE(Master_Reference[[#This Row],[C-Flex 4000K 3W Part Number]],"40-","xx-")</f>
        <v/>
      </c>
      <c r="AF571" s="1" t="str">
        <f>_xlfn.IFNA(VLOOKUP(Master_Reference[[#This Row],[C-Flex 3000K Eco Part Number]],Lutron_CFlex_Lookup[],MATCH("Lutron Kit PN",Lutron_CFlex_Lookup[#Headers],0),FALSE),"")</f>
        <v/>
      </c>
      <c r="AG571" s="1" t="str">
        <f>_xlfn.IFNA(VLOOKUP(Master_Reference[[#This Row],[C-Flex 3500K Eco Part Number]],Lutron_CFlex_Lookup[],MATCH("Lutron Kit PN",Lutron_CFlex_Lookup[#Headers],0),FALSE),"")</f>
        <v/>
      </c>
      <c r="AH571" s="1" t="str">
        <f>_xlfn.IFNA(VLOOKUP(Master_Reference[[#This Row],[C-Flex 4000K Eco Part Number]],Lutron_CFlex_Lookup[],MATCH("Lutron Kit PN",Lutron_CFlex_Lookup[#Headers],0),FALSE),"")</f>
        <v/>
      </c>
      <c r="AI571" s="1" t="str">
        <f>_xlfn.IFNA(VLOOKUP(Master_Reference[[#This Row],[C-Flex 5000K Eco Part Number]],Lutron_CFlex_Lookup[],MATCH("Lutron Kit PN",Lutron_CFlex_Lookup[#Headers],0),FALSE),"")</f>
        <v/>
      </c>
      <c r="AJ571" s="1" t="str">
        <f>_xlfn.IFNA(VLOOKUP(Master_Reference[[#This Row],[C-Flex 3000K 3W Part Number]],Lutron_CFlex_Lookup[],MATCH("Lutron Kit PN",Lutron_CFlex_Lookup[#Headers],0),FALSE),"")</f>
        <v/>
      </c>
      <c r="AK571" s="1" t="str">
        <f>_xlfn.IFNA(VLOOKUP(Master_Reference[[#This Row],[C-Flex 3500K 3W Part Number]],Lutron_CFlex_Lookup[],MATCH("Lutron Kit PN",Lutron_CFlex_Lookup[#Headers],0),FALSE),"")</f>
        <v/>
      </c>
      <c r="AL571" s="1" t="str">
        <f>_xlfn.IFNA(VLOOKUP(Master_Reference[[#This Row],[C-Flex 4000K 3W Part Number]],Lutron_CFlex_Lookup[],MATCH("Lutron Kit PN",Lutron_CFlex_Lookup[#Headers],0),FALSE),"")</f>
        <v/>
      </c>
      <c r="AM571" s="1" t="str">
        <f>_xlfn.IFNA(VLOOKUP(Master_Reference[[#This Row],[C-Flex 5000K 3W Part Number]],Lutron_CFlex_Lookup[],MATCH("Lutron Kit PN",Lutron_CFlex_Lookup[#Headers],0),FALSE),"")</f>
        <v/>
      </c>
      <c r="AN571" s="1" t="b">
        <f>NOT(ISNA(VLOOKUP(Master_Reference[[#This Row],[Model Number]],ObsoleteModels[],1,FALSE)))</f>
        <v>1</v>
      </c>
      <c r="AO571" s="1" t="str">
        <f>IF(LEFT(Master_Reference[[#This Row],[Model Number]],1)="U",LEFT(Master_Reference[[#This Row],[Model Number]],4),LEFT(Master_Reference[[#This Row],[Model Number]],3))</f>
        <v>FDB</v>
      </c>
    </row>
    <row r="572" spans="1:41" x14ac:dyDescent="0.25">
      <c r="A572" s="2" t="s">
        <v>853</v>
      </c>
      <c r="B572" s="1"/>
      <c r="C572" s="1" t="b">
        <v>1</v>
      </c>
      <c r="G572" s="1" t="str">
        <f>IF(OR(LEFT(RIGHT(Master_Reference[[#This Row],[Model Number]],3),1)="C",LEFT(RIGHT(Master_Reference[[#This Row],[Model Number]],4),1)="C"),TRUE,"")</f>
        <v/>
      </c>
      <c r="H572" s="1" t="str">
        <f>IF(LEFT(Master_Reference[[#This Row],[Model Number]],1)="U",TRUE,"")</f>
        <v/>
      </c>
      <c r="I572" s="1" t="b">
        <f>IF(Master_Reference[[#This Row],[Lamp Type]]="T4","",IF(Master_Reference[[#This Row],[Case Type]]="M","",TRUE))</f>
        <v>1</v>
      </c>
      <c r="J572" s="1" t="s">
        <v>215</v>
      </c>
      <c r="K572" s="1">
        <v>39</v>
      </c>
      <c r="L572" s="1" t="s">
        <v>216</v>
      </c>
      <c r="M572" s="1">
        <v>2</v>
      </c>
      <c r="N572" s="1" t="str">
        <f t="shared" si="8"/>
        <v>277</v>
      </c>
      <c r="O572" s="1" t="s">
        <v>144</v>
      </c>
      <c r="R572" t="b">
        <f>IF(COUNTBLANK(Master_Reference[[#This Row],[C-Flex 3000K Eco Part Number]:[C-Flex 4000K Eco Part Number]])=3,FALSE,TRUE)</f>
        <v>0</v>
      </c>
      <c r="S572" t="b">
        <f>IF(COUNTBLANK(Master_Reference[[#This Row],[C-Flex 3000K 3W Part Number]:[C-Flex 4000K 3W Part Number]])=3,FALSE,TRUE)</f>
        <v>0</v>
      </c>
      <c r="T572" t="b">
        <f>IF(COUNTBLANK(Master_Reference[[#This Row],[Lutron 3000K Eco Part Number]:[Lutron 4000K Eco Part Number]])=3,FALSE,TRUE)</f>
        <v>0</v>
      </c>
      <c r="U572" t="b">
        <f>IF(COUNTBLANK(Master_Reference[[#This Row],[Lutron 3000K 3W Part Number]:[Lutron 4000K 3W Part Number]])=3,FALSE,TRUE)</f>
        <v>0</v>
      </c>
      <c r="V572" s="12"/>
      <c r="W572" s="12"/>
      <c r="X572" s="12"/>
      <c r="Y572" t="s">
        <v>2125</v>
      </c>
      <c r="Z572" s="12"/>
      <c r="AA572" s="12"/>
      <c r="AB572" s="12"/>
      <c r="AC572" t="s">
        <v>2125</v>
      </c>
      <c r="AD572" t="str">
        <f>SUBSTITUTE(Master_Reference[[#This Row],[C-Flex 4000K Eco Part Number]],"40-","xx-")</f>
        <v/>
      </c>
      <c r="AE572" t="str">
        <f>SUBSTITUTE(Master_Reference[[#This Row],[C-Flex 4000K 3W Part Number]],"40-","xx-")</f>
        <v/>
      </c>
      <c r="AF572" s="1" t="str">
        <f>_xlfn.IFNA(VLOOKUP(Master_Reference[[#This Row],[C-Flex 3000K Eco Part Number]],Lutron_CFlex_Lookup[],MATCH("Lutron Kit PN",Lutron_CFlex_Lookup[#Headers],0),FALSE),"")</f>
        <v/>
      </c>
      <c r="AG572" s="1" t="str">
        <f>_xlfn.IFNA(VLOOKUP(Master_Reference[[#This Row],[C-Flex 3500K Eco Part Number]],Lutron_CFlex_Lookup[],MATCH("Lutron Kit PN",Lutron_CFlex_Lookup[#Headers],0),FALSE),"")</f>
        <v/>
      </c>
      <c r="AH572" s="1" t="str">
        <f>_xlfn.IFNA(VLOOKUP(Master_Reference[[#This Row],[C-Flex 4000K Eco Part Number]],Lutron_CFlex_Lookup[],MATCH("Lutron Kit PN",Lutron_CFlex_Lookup[#Headers],0),FALSE),"")</f>
        <v/>
      </c>
      <c r="AI572" s="1" t="str">
        <f>_xlfn.IFNA(VLOOKUP(Master_Reference[[#This Row],[C-Flex 5000K Eco Part Number]],Lutron_CFlex_Lookup[],MATCH("Lutron Kit PN",Lutron_CFlex_Lookup[#Headers],0),FALSE),"")</f>
        <v/>
      </c>
      <c r="AJ572" s="1" t="str">
        <f>_xlfn.IFNA(VLOOKUP(Master_Reference[[#This Row],[C-Flex 3000K 3W Part Number]],Lutron_CFlex_Lookup[],MATCH("Lutron Kit PN",Lutron_CFlex_Lookup[#Headers],0),FALSE),"")</f>
        <v/>
      </c>
      <c r="AK572" s="1" t="str">
        <f>_xlfn.IFNA(VLOOKUP(Master_Reference[[#This Row],[C-Flex 3500K 3W Part Number]],Lutron_CFlex_Lookup[],MATCH("Lutron Kit PN",Lutron_CFlex_Lookup[#Headers],0),FALSE),"")</f>
        <v/>
      </c>
      <c r="AL572" s="1" t="str">
        <f>_xlfn.IFNA(VLOOKUP(Master_Reference[[#This Row],[C-Flex 4000K 3W Part Number]],Lutron_CFlex_Lookup[],MATCH("Lutron Kit PN",Lutron_CFlex_Lookup[#Headers],0),FALSE),"")</f>
        <v/>
      </c>
      <c r="AM572" s="1" t="str">
        <f>_xlfn.IFNA(VLOOKUP(Master_Reference[[#This Row],[C-Flex 5000K 3W Part Number]],Lutron_CFlex_Lookup[],MATCH("Lutron Kit PN",Lutron_CFlex_Lookup[#Headers],0),FALSE),"")</f>
        <v/>
      </c>
      <c r="AN572" s="1" t="b">
        <f>NOT(ISNA(VLOOKUP(Master_Reference[[#This Row],[Model Number]],ObsoleteModels[],1,FALSE)))</f>
        <v>1</v>
      </c>
      <c r="AO572" s="1" t="str">
        <f>IF(LEFT(Master_Reference[[#This Row],[Model Number]],1)="U",LEFT(Master_Reference[[#This Row],[Model Number]],4),LEFT(Master_Reference[[#This Row],[Model Number]],3))</f>
        <v>FDB</v>
      </c>
    </row>
    <row r="573" spans="1:41" x14ac:dyDescent="0.25">
      <c r="A573" s="2" t="s">
        <v>854</v>
      </c>
      <c r="B573" s="1"/>
      <c r="C573" s="1" t="b">
        <v>1</v>
      </c>
      <c r="G573" s="1" t="str">
        <f>IF(OR(LEFT(RIGHT(Master_Reference[[#This Row],[Model Number]],3),1)="C",LEFT(RIGHT(Master_Reference[[#This Row],[Model Number]],4),1)="C"),TRUE,"")</f>
        <v/>
      </c>
      <c r="H573" s="1" t="str">
        <f>IF(LEFT(Master_Reference[[#This Row],[Model Number]],1)="U",TRUE,"")</f>
        <v/>
      </c>
      <c r="I573" s="1" t="b">
        <f>IF(Master_Reference[[#This Row],[Lamp Type]]="T4","",IF(Master_Reference[[#This Row],[Case Type]]="M","",TRUE))</f>
        <v>1</v>
      </c>
      <c r="J573" s="1" t="s">
        <v>215</v>
      </c>
      <c r="K573" s="1">
        <v>39</v>
      </c>
      <c r="L573" s="1" t="s">
        <v>216</v>
      </c>
      <c r="M573" s="1">
        <v>3</v>
      </c>
      <c r="N573" s="1" t="str">
        <f t="shared" si="8"/>
        <v>277</v>
      </c>
      <c r="O573" s="1" t="s">
        <v>144</v>
      </c>
      <c r="R573" t="b">
        <f>IF(COUNTBLANK(Master_Reference[[#This Row],[C-Flex 3000K Eco Part Number]:[C-Flex 4000K Eco Part Number]])=3,FALSE,TRUE)</f>
        <v>0</v>
      </c>
      <c r="S573" t="b">
        <f>IF(COUNTBLANK(Master_Reference[[#This Row],[C-Flex 3000K 3W Part Number]:[C-Flex 4000K 3W Part Number]])=3,FALSE,TRUE)</f>
        <v>0</v>
      </c>
      <c r="T573" t="b">
        <f>IF(COUNTBLANK(Master_Reference[[#This Row],[Lutron 3000K Eco Part Number]:[Lutron 4000K Eco Part Number]])=3,FALSE,TRUE)</f>
        <v>0</v>
      </c>
      <c r="U573" t="b">
        <f>IF(COUNTBLANK(Master_Reference[[#This Row],[Lutron 3000K 3W Part Number]:[Lutron 4000K 3W Part Number]])=3,FALSE,TRUE)</f>
        <v>0</v>
      </c>
      <c r="V573" s="12"/>
      <c r="W573" s="12"/>
      <c r="X573" s="12"/>
      <c r="Y573" t="s">
        <v>2125</v>
      </c>
      <c r="Z573" s="12"/>
      <c r="AA573" s="12"/>
      <c r="AB573" s="12"/>
      <c r="AC573" t="s">
        <v>2125</v>
      </c>
      <c r="AD573" t="str">
        <f>SUBSTITUTE(Master_Reference[[#This Row],[C-Flex 4000K Eco Part Number]],"40-","xx-")</f>
        <v/>
      </c>
      <c r="AE573" t="str">
        <f>SUBSTITUTE(Master_Reference[[#This Row],[C-Flex 4000K 3W Part Number]],"40-","xx-")</f>
        <v/>
      </c>
      <c r="AF573" s="1" t="str">
        <f>_xlfn.IFNA(VLOOKUP(Master_Reference[[#This Row],[C-Flex 3000K Eco Part Number]],Lutron_CFlex_Lookup[],MATCH("Lutron Kit PN",Lutron_CFlex_Lookup[#Headers],0),FALSE),"")</f>
        <v/>
      </c>
      <c r="AG573" s="1" t="str">
        <f>_xlfn.IFNA(VLOOKUP(Master_Reference[[#This Row],[C-Flex 3500K Eco Part Number]],Lutron_CFlex_Lookup[],MATCH("Lutron Kit PN",Lutron_CFlex_Lookup[#Headers],0),FALSE),"")</f>
        <v/>
      </c>
      <c r="AH573" s="1" t="str">
        <f>_xlfn.IFNA(VLOOKUP(Master_Reference[[#This Row],[C-Flex 4000K Eco Part Number]],Lutron_CFlex_Lookup[],MATCH("Lutron Kit PN",Lutron_CFlex_Lookup[#Headers],0),FALSE),"")</f>
        <v/>
      </c>
      <c r="AI573" s="1" t="str">
        <f>_xlfn.IFNA(VLOOKUP(Master_Reference[[#This Row],[C-Flex 5000K Eco Part Number]],Lutron_CFlex_Lookup[],MATCH("Lutron Kit PN",Lutron_CFlex_Lookup[#Headers],0),FALSE),"")</f>
        <v/>
      </c>
      <c r="AJ573" s="1" t="str">
        <f>_xlfn.IFNA(VLOOKUP(Master_Reference[[#This Row],[C-Flex 3000K 3W Part Number]],Lutron_CFlex_Lookup[],MATCH("Lutron Kit PN",Lutron_CFlex_Lookup[#Headers],0),FALSE),"")</f>
        <v/>
      </c>
      <c r="AK573" s="1" t="str">
        <f>_xlfn.IFNA(VLOOKUP(Master_Reference[[#This Row],[C-Flex 3500K 3W Part Number]],Lutron_CFlex_Lookup[],MATCH("Lutron Kit PN",Lutron_CFlex_Lookup[#Headers],0),FALSE),"")</f>
        <v/>
      </c>
      <c r="AL573" s="1" t="str">
        <f>_xlfn.IFNA(VLOOKUP(Master_Reference[[#This Row],[C-Flex 4000K 3W Part Number]],Lutron_CFlex_Lookup[],MATCH("Lutron Kit PN",Lutron_CFlex_Lookup[#Headers],0),FALSE),"")</f>
        <v/>
      </c>
      <c r="AM573" s="1" t="str">
        <f>_xlfn.IFNA(VLOOKUP(Master_Reference[[#This Row],[C-Flex 5000K 3W Part Number]],Lutron_CFlex_Lookup[],MATCH("Lutron Kit PN",Lutron_CFlex_Lookup[#Headers],0),FALSE),"")</f>
        <v/>
      </c>
      <c r="AN573" s="1" t="b">
        <f>NOT(ISNA(VLOOKUP(Master_Reference[[#This Row],[Model Number]],ObsoleteModels[],1,FALSE)))</f>
        <v>1</v>
      </c>
      <c r="AO573" s="1" t="str">
        <f>IF(LEFT(Master_Reference[[#This Row],[Model Number]],1)="U",LEFT(Master_Reference[[#This Row],[Model Number]],4),LEFT(Master_Reference[[#This Row],[Model Number]],3))</f>
        <v>FDB</v>
      </c>
    </row>
    <row r="574" spans="1:41" x14ac:dyDescent="0.25">
      <c r="A574" s="2" t="s">
        <v>855</v>
      </c>
      <c r="B574" s="1"/>
      <c r="C574" s="1" t="b">
        <v>1</v>
      </c>
      <c r="G574" s="1" t="str">
        <f>IF(OR(LEFT(RIGHT(Master_Reference[[#This Row],[Model Number]],3),1)="C",LEFT(RIGHT(Master_Reference[[#This Row],[Model Number]],4),1)="C"),TRUE,"")</f>
        <v/>
      </c>
      <c r="H574" s="1" t="str">
        <f>IF(LEFT(Master_Reference[[#This Row],[Model Number]],1)="U",TRUE,"")</f>
        <v/>
      </c>
      <c r="I574" s="1" t="b">
        <f>IF(Master_Reference[[#This Row],[Lamp Type]]="T4","",IF(Master_Reference[[#This Row],[Case Type]]="M","",TRUE))</f>
        <v>1</v>
      </c>
      <c r="J574" s="1" t="s">
        <v>111</v>
      </c>
      <c r="K574" s="1">
        <v>20</v>
      </c>
      <c r="L574" s="1" t="s">
        <v>220</v>
      </c>
      <c r="M574" s="1">
        <v>1</v>
      </c>
      <c r="N574" s="1">
        <v>240</v>
      </c>
      <c r="O574" s="1" t="s">
        <v>144</v>
      </c>
      <c r="Q574" s="1" t="s">
        <v>456</v>
      </c>
      <c r="R574" t="b">
        <f>IF(COUNTBLANK(Master_Reference[[#This Row],[C-Flex 3000K Eco Part Number]:[C-Flex 4000K Eco Part Number]])=3,FALSE,TRUE)</f>
        <v>0</v>
      </c>
      <c r="S574" t="b">
        <f>IF(COUNTBLANK(Master_Reference[[#This Row],[C-Flex 3000K 3W Part Number]:[C-Flex 4000K 3W Part Number]])=3,FALSE,TRUE)</f>
        <v>0</v>
      </c>
      <c r="T574" s="1" t="b">
        <f>IF(COUNTBLANK(Master_Reference[[#This Row],[Lutron 3000K Eco Part Number]:[Lutron 4000K Eco Part Number]])=3,FALSE,TRUE)</f>
        <v>0</v>
      </c>
      <c r="U574" s="1" t="b">
        <f>IF(COUNTBLANK(Master_Reference[[#This Row],[Lutron 3000K 3W Part Number]:[Lutron 4000K 3W Part Number]])=3,FALSE,TRUE)</f>
        <v>0</v>
      </c>
      <c r="V574" s="13"/>
      <c r="W574" s="13"/>
      <c r="X574" s="12"/>
      <c r="Y574" t="s">
        <v>2125</v>
      </c>
      <c r="Z574" s="12"/>
      <c r="AA574" s="12"/>
      <c r="AB574" s="12"/>
      <c r="AC574" t="s">
        <v>2125</v>
      </c>
      <c r="AD574" t="str">
        <f>SUBSTITUTE(Master_Reference[[#This Row],[C-Flex 4000K Eco Part Number]],"40-","xx-")</f>
        <v/>
      </c>
      <c r="AE574" t="str">
        <f>SUBSTITUTE(Master_Reference[[#This Row],[C-Flex 4000K 3W Part Number]],"40-","xx-")</f>
        <v/>
      </c>
      <c r="AF574" s="1" t="str">
        <f>_xlfn.IFNA(VLOOKUP(Master_Reference[[#This Row],[C-Flex 3000K Eco Part Number]],Lutron_CFlex_Lookup[],MATCH("Lutron Kit PN",Lutron_CFlex_Lookup[#Headers],0),FALSE),"")</f>
        <v/>
      </c>
      <c r="AG574" s="1" t="str">
        <f>_xlfn.IFNA(VLOOKUP(Master_Reference[[#This Row],[C-Flex 3500K Eco Part Number]],Lutron_CFlex_Lookup[],MATCH("Lutron Kit PN",Lutron_CFlex_Lookup[#Headers],0),FALSE),"")</f>
        <v/>
      </c>
      <c r="AH574" s="1" t="str">
        <f>_xlfn.IFNA(VLOOKUP(Master_Reference[[#This Row],[C-Flex 4000K Eco Part Number]],Lutron_CFlex_Lookup[],MATCH("Lutron Kit PN",Lutron_CFlex_Lookup[#Headers],0),FALSE),"")</f>
        <v/>
      </c>
      <c r="AI574" s="1" t="str">
        <f>_xlfn.IFNA(VLOOKUP(Master_Reference[[#This Row],[C-Flex 5000K Eco Part Number]],Lutron_CFlex_Lookup[],MATCH("Lutron Kit PN",Lutron_CFlex_Lookup[#Headers],0),FALSE),"")</f>
        <v/>
      </c>
      <c r="AJ574" s="1" t="str">
        <f>_xlfn.IFNA(VLOOKUP(Master_Reference[[#This Row],[C-Flex 3000K 3W Part Number]],Lutron_CFlex_Lookup[],MATCH("Lutron Kit PN",Lutron_CFlex_Lookup[#Headers],0),FALSE),"")</f>
        <v/>
      </c>
      <c r="AK574" s="1" t="str">
        <f>_xlfn.IFNA(VLOOKUP(Master_Reference[[#This Row],[C-Flex 3500K 3W Part Number]],Lutron_CFlex_Lookup[],MATCH("Lutron Kit PN",Lutron_CFlex_Lookup[#Headers],0),FALSE),"")</f>
        <v/>
      </c>
      <c r="AL574" s="1" t="str">
        <f>_xlfn.IFNA(VLOOKUP(Master_Reference[[#This Row],[C-Flex 4000K 3W Part Number]],Lutron_CFlex_Lookup[],MATCH("Lutron Kit PN",Lutron_CFlex_Lookup[#Headers],0),FALSE),"")</f>
        <v/>
      </c>
      <c r="AM574" s="1" t="str">
        <f>_xlfn.IFNA(VLOOKUP(Master_Reference[[#This Row],[C-Flex 5000K 3W Part Number]],Lutron_CFlex_Lookup[],MATCH("Lutron Kit PN",Lutron_CFlex_Lookup[#Headers],0),FALSE),"")</f>
        <v/>
      </c>
      <c r="AN574" s="1" t="b">
        <f>NOT(ISNA(VLOOKUP(Master_Reference[[#This Row],[Model Number]],ObsoleteModels[],1,FALSE)))</f>
        <v>1</v>
      </c>
      <c r="AO574" s="1" t="str">
        <f>IF(LEFT(Master_Reference[[#This Row],[Model Number]],1)="U",LEFT(Master_Reference[[#This Row],[Model Number]],4),LEFT(Master_Reference[[#This Row],[Model Number]],3))</f>
        <v>FDB</v>
      </c>
    </row>
    <row r="575" spans="1:41" x14ac:dyDescent="0.25">
      <c r="A575" s="2" t="s">
        <v>856</v>
      </c>
      <c r="B575" s="1"/>
      <c r="C575" s="1" t="b">
        <v>1</v>
      </c>
      <c r="G575" s="1" t="str">
        <f>IF(OR(LEFT(RIGHT(Master_Reference[[#This Row],[Model Number]],3),1)="C",LEFT(RIGHT(Master_Reference[[#This Row],[Model Number]],4),1)="C"),TRUE,"")</f>
        <v/>
      </c>
      <c r="H575" s="1" t="str">
        <f>IF(LEFT(Master_Reference[[#This Row],[Model Number]],1)="U",TRUE,"")</f>
        <v/>
      </c>
      <c r="I575" s="1" t="b">
        <f>IF(Master_Reference[[#This Row],[Lamp Type]]="T4","",IF(Master_Reference[[#This Row],[Case Type]]="M","",TRUE))</f>
        <v>1</v>
      </c>
      <c r="J575" s="1" t="s">
        <v>215</v>
      </c>
      <c r="K575" s="1">
        <v>40</v>
      </c>
      <c r="L575" s="1" t="s">
        <v>225</v>
      </c>
      <c r="M575" s="1">
        <v>1</v>
      </c>
      <c r="N575" s="1" t="str">
        <f t="shared" ref="N575:N585" si="9">LEFT(RIGHT(A575,5),3)</f>
        <v>120</v>
      </c>
      <c r="O575" s="1" t="s">
        <v>144</v>
      </c>
      <c r="R575" t="b">
        <f>IF(COUNTBLANK(Master_Reference[[#This Row],[C-Flex 3000K Eco Part Number]:[C-Flex 4000K Eco Part Number]])=3,FALSE,TRUE)</f>
        <v>0</v>
      </c>
      <c r="S575" t="b">
        <f>IF(COUNTBLANK(Master_Reference[[#This Row],[C-Flex 3000K 3W Part Number]:[C-Flex 4000K 3W Part Number]])=3,FALSE,TRUE)</f>
        <v>1</v>
      </c>
      <c r="T575" t="b">
        <f>IF(COUNTBLANK(Master_Reference[[#This Row],[Lutron 3000K Eco Part Number]:[Lutron 4000K Eco Part Number]])=3,FALSE,TRUE)</f>
        <v>0</v>
      </c>
      <c r="U575" t="b">
        <f>IF(COUNTBLANK(Master_Reference[[#This Row],[Lutron 3000K 3W Part Number]:[Lutron 4000K 3W Part Number]])=3,FALSE,TRUE)</f>
        <v>1</v>
      </c>
      <c r="V575" s="12"/>
      <c r="W575" s="12"/>
      <c r="X575" s="12"/>
      <c r="Y575" t="s">
        <v>2125</v>
      </c>
      <c r="Z575" s="12" t="s">
        <v>229</v>
      </c>
      <c r="AA575" s="12" t="s">
        <v>230</v>
      </c>
      <c r="AB575" s="12" t="s">
        <v>231</v>
      </c>
      <c r="AC575" t="s">
        <v>1801</v>
      </c>
      <c r="AD575" t="str">
        <f>SUBSTITUTE(Master_Reference[[#This Row],[C-Flex 4000K Eco Part Number]],"40-","xx-")</f>
        <v/>
      </c>
      <c r="AE575" t="str">
        <f>SUBSTITUTE(Master_Reference[[#This Row],[C-Flex 4000K 3W Part Number]],"40-","xx-")</f>
        <v>RP-PLL-2.5K-1L-8xx-3W-M-G2</v>
      </c>
      <c r="AF575" s="1" t="str">
        <f>_xlfn.IFNA(VLOOKUP(Master_Reference[[#This Row],[C-Flex 3000K Eco Part Number]],Lutron_CFlex_Lookup[],MATCH("Lutron Kit PN",Lutron_CFlex_Lookup[#Headers],0),FALSE),"")</f>
        <v/>
      </c>
      <c r="AG575" s="1" t="str">
        <f>_xlfn.IFNA(VLOOKUP(Master_Reference[[#This Row],[C-Flex 3500K Eco Part Number]],Lutron_CFlex_Lookup[],MATCH("Lutron Kit PN",Lutron_CFlex_Lookup[#Headers],0),FALSE),"")</f>
        <v/>
      </c>
      <c r="AH575" s="1" t="str">
        <f>_xlfn.IFNA(VLOOKUP(Master_Reference[[#This Row],[C-Flex 4000K Eco Part Number]],Lutron_CFlex_Lookup[],MATCH("Lutron Kit PN",Lutron_CFlex_Lookup[#Headers],0),FALSE),"")</f>
        <v/>
      </c>
      <c r="AI575" s="1" t="str">
        <f>_xlfn.IFNA(VLOOKUP(Master_Reference[[#This Row],[C-Flex 5000K Eco Part Number]],Lutron_CFlex_Lookup[],MATCH("Lutron Kit PN",Lutron_CFlex_Lookup[#Headers],0),FALSE),"")</f>
        <v/>
      </c>
      <c r="AJ575" s="1" t="str">
        <f>_xlfn.IFNA(VLOOKUP(Master_Reference[[#This Row],[C-Flex 3000K 3W Part Number]],Lutron_CFlex_Lookup[],MATCH("Lutron Kit PN",Lutron_CFlex_Lookup[#Headers],0),FALSE),"")</f>
        <v>3LD-TT-1M30-q</v>
      </c>
      <c r="AK575" s="1" t="str">
        <f>_xlfn.IFNA(VLOOKUP(Master_Reference[[#This Row],[C-Flex 3500K 3W Part Number]],Lutron_CFlex_Lookup[],MATCH("Lutron Kit PN",Lutron_CFlex_Lookup[#Headers],0),FALSE),"")</f>
        <v>3LD-TT-1M35-q</v>
      </c>
      <c r="AL575" s="1" t="str">
        <f>_xlfn.IFNA(VLOOKUP(Master_Reference[[#This Row],[C-Flex 4000K 3W Part Number]],Lutron_CFlex_Lookup[],MATCH("Lutron Kit PN",Lutron_CFlex_Lookup[#Headers],0),FALSE),"")</f>
        <v>3LD-TT-1M40-q</v>
      </c>
      <c r="AM575" s="1" t="str">
        <f>_xlfn.IFNA(VLOOKUP(Master_Reference[[#This Row],[C-Flex 5000K 3W Part Number]],Lutron_CFlex_Lookup[],MATCH("Lutron Kit PN",Lutron_CFlex_Lookup[#Headers],0),FALSE),"")</f>
        <v>3LD-TT-1M50-q</v>
      </c>
      <c r="AN575" s="1" t="b">
        <f>NOT(ISNA(VLOOKUP(Master_Reference[[#This Row],[Model Number]],ObsoleteModels[],1,FALSE)))</f>
        <v>1</v>
      </c>
      <c r="AO575" s="1" t="str">
        <f>IF(LEFT(Master_Reference[[#This Row],[Model Number]],1)="U",LEFT(Master_Reference[[#This Row],[Model Number]],4),LEFT(Master_Reference[[#This Row],[Model Number]],3))</f>
        <v>FDB</v>
      </c>
    </row>
    <row r="576" spans="1:41" x14ac:dyDescent="0.25">
      <c r="A576" s="2" t="s">
        <v>857</v>
      </c>
      <c r="B576" s="1"/>
      <c r="C576" s="1" t="b">
        <v>1</v>
      </c>
      <c r="G576" s="1" t="str">
        <f>IF(OR(LEFT(RIGHT(Master_Reference[[#This Row],[Model Number]],3),1)="C",LEFT(RIGHT(Master_Reference[[#This Row],[Model Number]],4),1)="C"),TRUE,"")</f>
        <v/>
      </c>
      <c r="H576" s="1" t="str">
        <f>IF(LEFT(Master_Reference[[#This Row],[Model Number]],1)="U",TRUE,"")</f>
        <v/>
      </c>
      <c r="I576" s="1" t="b">
        <f>IF(Master_Reference[[#This Row],[Lamp Type]]="T4","",IF(Master_Reference[[#This Row],[Case Type]]="M","",TRUE))</f>
        <v>1</v>
      </c>
      <c r="J576" s="1" t="s">
        <v>215</v>
      </c>
      <c r="K576" s="1">
        <v>40</v>
      </c>
      <c r="L576" s="1" t="s">
        <v>225</v>
      </c>
      <c r="M576" s="1">
        <v>2</v>
      </c>
      <c r="N576" s="1" t="str">
        <f t="shared" si="9"/>
        <v>120</v>
      </c>
      <c r="O576" s="1" t="s">
        <v>144</v>
      </c>
      <c r="R576" t="b">
        <f>IF(COUNTBLANK(Master_Reference[[#This Row],[C-Flex 3000K Eco Part Number]:[C-Flex 4000K Eco Part Number]])=3,FALSE,TRUE)</f>
        <v>0</v>
      </c>
      <c r="S576" t="b">
        <f>IF(COUNTBLANK(Master_Reference[[#This Row],[C-Flex 3000K 3W Part Number]:[C-Flex 4000K 3W Part Number]])=3,FALSE,TRUE)</f>
        <v>1</v>
      </c>
      <c r="T576" t="b">
        <f>IF(COUNTBLANK(Master_Reference[[#This Row],[Lutron 3000K Eco Part Number]:[Lutron 4000K Eco Part Number]])=3,FALSE,TRUE)</f>
        <v>0</v>
      </c>
      <c r="U576" t="b">
        <f>IF(COUNTBLANK(Master_Reference[[#This Row],[Lutron 3000K 3W Part Number]:[Lutron 4000K 3W Part Number]])=3,FALSE,TRUE)</f>
        <v>1</v>
      </c>
      <c r="V576" s="12"/>
      <c r="W576" s="12"/>
      <c r="X576" s="12"/>
      <c r="Y576" t="s">
        <v>2125</v>
      </c>
      <c r="Z576" s="12" t="s">
        <v>236</v>
      </c>
      <c r="AA576" s="12" t="s">
        <v>237</v>
      </c>
      <c r="AB576" s="12" t="s">
        <v>238</v>
      </c>
      <c r="AC576" t="s">
        <v>1802</v>
      </c>
      <c r="AD576" t="str">
        <f>SUBSTITUTE(Master_Reference[[#This Row],[C-Flex 4000K Eco Part Number]],"40-","xx-")</f>
        <v/>
      </c>
      <c r="AE576" t="str">
        <f>SUBSTITUTE(Master_Reference[[#This Row],[C-Flex 4000K 3W Part Number]],"40-","xx-")</f>
        <v>RP-PLL-5.0K-2L-8xx-3W-M-G2</v>
      </c>
      <c r="AF576" s="1" t="str">
        <f>_xlfn.IFNA(VLOOKUP(Master_Reference[[#This Row],[C-Flex 3000K Eco Part Number]],Lutron_CFlex_Lookup[],MATCH("Lutron Kit PN",Lutron_CFlex_Lookup[#Headers],0),FALSE),"")</f>
        <v/>
      </c>
      <c r="AG576" s="1" t="str">
        <f>_xlfn.IFNA(VLOOKUP(Master_Reference[[#This Row],[C-Flex 3500K Eco Part Number]],Lutron_CFlex_Lookup[],MATCH("Lutron Kit PN",Lutron_CFlex_Lookup[#Headers],0),FALSE),"")</f>
        <v/>
      </c>
      <c r="AH576" s="1" t="str">
        <f>_xlfn.IFNA(VLOOKUP(Master_Reference[[#This Row],[C-Flex 4000K Eco Part Number]],Lutron_CFlex_Lookup[],MATCH("Lutron Kit PN",Lutron_CFlex_Lookup[#Headers],0),FALSE),"")</f>
        <v/>
      </c>
      <c r="AI576" s="1" t="str">
        <f>_xlfn.IFNA(VLOOKUP(Master_Reference[[#This Row],[C-Flex 5000K Eco Part Number]],Lutron_CFlex_Lookup[],MATCH("Lutron Kit PN",Lutron_CFlex_Lookup[#Headers],0),FALSE),"")</f>
        <v/>
      </c>
      <c r="AJ576" s="1" t="str">
        <f>_xlfn.IFNA(VLOOKUP(Master_Reference[[#This Row],[C-Flex 3000K 3W Part Number]],Lutron_CFlex_Lookup[],MATCH("Lutron Kit PN",Lutron_CFlex_Lookup[#Headers],0),FALSE),"")</f>
        <v>3LD-TT-2M30-q</v>
      </c>
      <c r="AK576" s="1" t="str">
        <f>_xlfn.IFNA(VLOOKUP(Master_Reference[[#This Row],[C-Flex 3500K 3W Part Number]],Lutron_CFlex_Lookup[],MATCH("Lutron Kit PN",Lutron_CFlex_Lookup[#Headers],0),FALSE),"")</f>
        <v>3LD-TT-2M35-q</v>
      </c>
      <c r="AL576" s="1" t="str">
        <f>_xlfn.IFNA(VLOOKUP(Master_Reference[[#This Row],[C-Flex 4000K 3W Part Number]],Lutron_CFlex_Lookup[],MATCH("Lutron Kit PN",Lutron_CFlex_Lookup[#Headers],0),FALSE),"")</f>
        <v>3LD-TT-2M40-q</v>
      </c>
      <c r="AM576" s="1" t="str">
        <f>_xlfn.IFNA(VLOOKUP(Master_Reference[[#This Row],[C-Flex 5000K 3W Part Number]],Lutron_CFlex_Lookup[],MATCH("Lutron Kit PN",Lutron_CFlex_Lookup[#Headers],0),FALSE),"")</f>
        <v>3LD-TT-2M50-q</v>
      </c>
      <c r="AN576" s="1" t="b">
        <f>NOT(ISNA(VLOOKUP(Master_Reference[[#This Row],[Model Number]],ObsoleteModels[],1,FALSE)))</f>
        <v>1</v>
      </c>
      <c r="AO576" s="1" t="str">
        <f>IF(LEFT(Master_Reference[[#This Row],[Model Number]],1)="U",LEFT(Master_Reference[[#This Row],[Model Number]],4),LEFT(Master_Reference[[#This Row],[Model Number]],3))</f>
        <v>FDB</v>
      </c>
    </row>
    <row r="577" spans="1:41" x14ac:dyDescent="0.25">
      <c r="A577" s="2" t="s">
        <v>858</v>
      </c>
      <c r="B577" s="1"/>
      <c r="C577" s="1" t="b">
        <v>1</v>
      </c>
      <c r="G577" s="1" t="str">
        <f>IF(OR(LEFT(RIGHT(Master_Reference[[#This Row],[Model Number]],3),1)="C",LEFT(RIGHT(Master_Reference[[#This Row],[Model Number]],4),1)="C"),TRUE,"")</f>
        <v/>
      </c>
      <c r="H577" s="1" t="str">
        <f>IF(LEFT(Master_Reference[[#This Row],[Model Number]],1)="U",TRUE,"")</f>
        <v/>
      </c>
      <c r="I577" s="1" t="b">
        <f>IF(Master_Reference[[#This Row],[Lamp Type]]="T4","",IF(Master_Reference[[#This Row],[Case Type]]="M","",TRUE))</f>
        <v>1</v>
      </c>
      <c r="J577" s="1" t="s">
        <v>215</v>
      </c>
      <c r="K577" s="1">
        <v>40</v>
      </c>
      <c r="L577" s="1" t="s">
        <v>225</v>
      </c>
      <c r="M577" s="1">
        <v>3</v>
      </c>
      <c r="N577" s="1" t="str">
        <f t="shared" si="9"/>
        <v>120</v>
      </c>
      <c r="O577" s="1" t="s">
        <v>144</v>
      </c>
      <c r="R577" t="b">
        <f>IF(COUNTBLANK(Master_Reference[[#This Row],[C-Flex 3000K Eco Part Number]:[C-Flex 4000K Eco Part Number]])=3,FALSE,TRUE)</f>
        <v>0</v>
      </c>
      <c r="S577" t="b">
        <f>IF(COUNTBLANK(Master_Reference[[#This Row],[C-Flex 3000K 3W Part Number]:[C-Flex 4000K 3W Part Number]])=3,FALSE,TRUE)</f>
        <v>0</v>
      </c>
      <c r="T577" t="b">
        <f>IF(COUNTBLANK(Master_Reference[[#This Row],[Lutron 3000K Eco Part Number]:[Lutron 4000K Eco Part Number]])=3,FALSE,TRUE)</f>
        <v>0</v>
      </c>
      <c r="U577" t="b">
        <f>IF(COUNTBLANK(Master_Reference[[#This Row],[Lutron 3000K 3W Part Number]:[Lutron 4000K 3W Part Number]])=3,FALSE,TRUE)</f>
        <v>0</v>
      </c>
      <c r="V577" s="12"/>
      <c r="W577" s="12"/>
      <c r="X577" s="12"/>
      <c r="Y577" t="s">
        <v>2125</v>
      </c>
      <c r="Z577" s="12"/>
      <c r="AA577" s="12"/>
      <c r="AB577" s="12"/>
      <c r="AC577" t="s">
        <v>2125</v>
      </c>
      <c r="AD577" t="str">
        <f>SUBSTITUTE(Master_Reference[[#This Row],[C-Flex 4000K Eco Part Number]],"40-","xx-")</f>
        <v/>
      </c>
      <c r="AE577" t="str">
        <f>SUBSTITUTE(Master_Reference[[#This Row],[C-Flex 4000K 3W Part Number]],"40-","xx-")</f>
        <v/>
      </c>
      <c r="AF577" s="1" t="str">
        <f>_xlfn.IFNA(VLOOKUP(Master_Reference[[#This Row],[C-Flex 3000K Eco Part Number]],Lutron_CFlex_Lookup[],MATCH("Lutron Kit PN",Lutron_CFlex_Lookup[#Headers],0),FALSE),"")</f>
        <v/>
      </c>
      <c r="AG577" s="1" t="str">
        <f>_xlfn.IFNA(VLOOKUP(Master_Reference[[#This Row],[C-Flex 3500K Eco Part Number]],Lutron_CFlex_Lookup[],MATCH("Lutron Kit PN",Lutron_CFlex_Lookup[#Headers],0),FALSE),"")</f>
        <v/>
      </c>
      <c r="AH577" s="1" t="str">
        <f>_xlfn.IFNA(VLOOKUP(Master_Reference[[#This Row],[C-Flex 4000K Eco Part Number]],Lutron_CFlex_Lookup[],MATCH("Lutron Kit PN",Lutron_CFlex_Lookup[#Headers],0),FALSE),"")</f>
        <v/>
      </c>
      <c r="AI577" s="1" t="str">
        <f>_xlfn.IFNA(VLOOKUP(Master_Reference[[#This Row],[C-Flex 5000K Eco Part Number]],Lutron_CFlex_Lookup[],MATCH("Lutron Kit PN",Lutron_CFlex_Lookup[#Headers],0),FALSE),"")</f>
        <v/>
      </c>
      <c r="AJ577" s="1" t="str">
        <f>_xlfn.IFNA(VLOOKUP(Master_Reference[[#This Row],[C-Flex 3000K 3W Part Number]],Lutron_CFlex_Lookup[],MATCH("Lutron Kit PN",Lutron_CFlex_Lookup[#Headers],0),FALSE),"")</f>
        <v/>
      </c>
      <c r="AK577" s="1" t="str">
        <f>_xlfn.IFNA(VLOOKUP(Master_Reference[[#This Row],[C-Flex 3500K 3W Part Number]],Lutron_CFlex_Lookup[],MATCH("Lutron Kit PN",Lutron_CFlex_Lookup[#Headers],0),FALSE),"")</f>
        <v/>
      </c>
      <c r="AL577" s="1" t="str">
        <f>_xlfn.IFNA(VLOOKUP(Master_Reference[[#This Row],[C-Flex 4000K 3W Part Number]],Lutron_CFlex_Lookup[],MATCH("Lutron Kit PN",Lutron_CFlex_Lookup[#Headers],0),FALSE),"")</f>
        <v/>
      </c>
      <c r="AM577" s="1" t="str">
        <f>_xlfn.IFNA(VLOOKUP(Master_Reference[[#This Row],[C-Flex 5000K 3W Part Number]],Lutron_CFlex_Lookup[],MATCH("Lutron Kit PN",Lutron_CFlex_Lookup[#Headers],0),FALSE),"")</f>
        <v/>
      </c>
      <c r="AN577" s="1" t="b">
        <f>NOT(ISNA(VLOOKUP(Master_Reference[[#This Row],[Model Number]],ObsoleteModels[],1,FALSE)))</f>
        <v>1</v>
      </c>
      <c r="AO577" s="1" t="str">
        <f>IF(LEFT(Master_Reference[[#This Row],[Model Number]],1)="U",LEFT(Master_Reference[[#This Row],[Model Number]],4),LEFT(Master_Reference[[#This Row],[Model Number]],3))</f>
        <v>FDB</v>
      </c>
    </row>
    <row r="578" spans="1:41" x14ac:dyDescent="0.25">
      <c r="A578" s="2" t="s">
        <v>859</v>
      </c>
      <c r="B578" s="1"/>
      <c r="C578" s="1" t="b">
        <v>1</v>
      </c>
      <c r="G578" s="1" t="str">
        <f>IF(OR(LEFT(RIGHT(Master_Reference[[#This Row],[Model Number]],3),1)="C",LEFT(RIGHT(Master_Reference[[#This Row],[Model Number]],4),1)="C"),TRUE,"")</f>
        <v/>
      </c>
      <c r="H578" s="1" t="str">
        <f>IF(LEFT(Master_Reference[[#This Row],[Model Number]],1)="U",TRUE,"")</f>
        <v/>
      </c>
      <c r="I578" s="1" t="b">
        <f>IF(Master_Reference[[#This Row],[Lamp Type]]="T4","",IF(Master_Reference[[#This Row],[Case Type]]="M","",TRUE))</f>
        <v>1</v>
      </c>
      <c r="J578" s="1" t="s">
        <v>215</v>
      </c>
      <c r="K578" s="1">
        <v>40</v>
      </c>
      <c r="L578" s="1" t="s">
        <v>225</v>
      </c>
      <c r="M578" s="1">
        <v>1</v>
      </c>
      <c r="N578" s="1" t="str">
        <f t="shared" si="9"/>
        <v>277</v>
      </c>
      <c r="O578" s="1" t="s">
        <v>144</v>
      </c>
      <c r="R578" t="b">
        <f>IF(COUNTBLANK(Master_Reference[[#This Row],[C-Flex 3000K Eco Part Number]:[C-Flex 4000K Eco Part Number]])=3,FALSE,TRUE)</f>
        <v>0</v>
      </c>
      <c r="S578" t="b">
        <f>IF(COUNTBLANK(Master_Reference[[#This Row],[C-Flex 3000K 3W Part Number]:[C-Flex 4000K 3W Part Number]])=3,FALSE,TRUE)</f>
        <v>1</v>
      </c>
      <c r="T578" t="b">
        <f>IF(COUNTBLANK(Master_Reference[[#This Row],[Lutron 3000K Eco Part Number]:[Lutron 4000K Eco Part Number]])=3,FALSE,TRUE)</f>
        <v>0</v>
      </c>
      <c r="U578" t="b">
        <f>IF(COUNTBLANK(Master_Reference[[#This Row],[Lutron 3000K 3W Part Number]:[Lutron 4000K 3W Part Number]])=3,FALSE,TRUE)</f>
        <v>1</v>
      </c>
      <c r="V578" s="12"/>
      <c r="W578" s="12"/>
      <c r="X578" s="12"/>
      <c r="Y578" t="s">
        <v>2125</v>
      </c>
      <c r="Z578" s="12" t="s">
        <v>229</v>
      </c>
      <c r="AA578" s="12" t="s">
        <v>230</v>
      </c>
      <c r="AB578" s="12" t="s">
        <v>231</v>
      </c>
      <c r="AC578" t="s">
        <v>1801</v>
      </c>
      <c r="AD578" t="str">
        <f>SUBSTITUTE(Master_Reference[[#This Row],[C-Flex 4000K Eco Part Number]],"40-","xx-")</f>
        <v/>
      </c>
      <c r="AE578" t="str">
        <f>SUBSTITUTE(Master_Reference[[#This Row],[C-Flex 4000K 3W Part Number]],"40-","xx-")</f>
        <v>RP-PLL-2.5K-1L-8xx-3W-M-G2</v>
      </c>
      <c r="AF578" s="1" t="str">
        <f>_xlfn.IFNA(VLOOKUP(Master_Reference[[#This Row],[C-Flex 3000K Eco Part Number]],Lutron_CFlex_Lookup[],MATCH("Lutron Kit PN",Lutron_CFlex_Lookup[#Headers],0),FALSE),"")</f>
        <v/>
      </c>
      <c r="AG578" s="1" t="str">
        <f>_xlfn.IFNA(VLOOKUP(Master_Reference[[#This Row],[C-Flex 3500K Eco Part Number]],Lutron_CFlex_Lookup[],MATCH("Lutron Kit PN",Lutron_CFlex_Lookup[#Headers],0),FALSE),"")</f>
        <v/>
      </c>
      <c r="AH578" s="1" t="str">
        <f>_xlfn.IFNA(VLOOKUP(Master_Reference[[#This Row],[C-Flex 4000K Eco Part Number]],Lutron_CFlex_Lookup[],MATCH("Lutron Kit PN",Lutron_CFlex_Lookup[#Headers],0),FALSE),"")</f>
        <v/>
      </c>
      <c r="AI578" s="1" t="str">
        <f>_xlfn.IFNA(VLOOKUP(Master_Reference[[#This Row],[C-Flex 5000K Eco Part Number]],Lutron_CFlex_Lookup[],MATCH("Lutron Kit PN",Lutron_CFlex_Lookup[#Headers],0),FALSE),"")</f>
        <v/>
      </c>
      <c r="AJ578" s="1" t="str">
        <f>_xlfn.IFNA(VLOOKUP(Master_Reference[[#This Row],[C-Flex 3000K 3W Part Number]],Lutron_CFlex_Lookup[],MATCH("Lutron Kit PN",Lutron_CFlex_Lookup[#Headers],0),FALSE),"")</f>
        <v>3LD-TT-1M30-q</v>
      </c>
      <c r="AK578" s="1" t="str">
        <f>_xlfn.IFNA(VLOOKUP(Master_Reference[[#This Row],[C-Flex 3500K 3W Part Number]],Lutron_CFlex_Lookup[],MATCH("Lutron Kit PN",Lutron_CFlex_Lookup[#Headers],0),FALSE),"")</f>
        <v>3LD-TT-1M35-q</v>
      </c>
      <c r="AL578" s="1" t="str">
        <f>_xlfn.IFNA(VLOOKUP(Master_Reference[[#This Row],[C-Flex 4000K 3W Part Number]],Lutron_CFlex_Lookup[],MATCH("Lutron Kit PN",Lutron_CFlex_Lookup[#Headers],0),FALSE),"")</f>
        <v>3LD-TT-1M40-q</v>
      </c>
      <c r="AM578" s="1" t="str">
        <f>_xlfn.IFNA(VLOOKUP(Master_Reference[[#This Row],[C-Flex 5000K 3W Part Number]],Lutron_CFlex_Lookup[],MATCH("Lutron Kit PN",Lutron_CFlex_Lookup[#Headers],0),FALSE),"")</f>
        <v>3LD-TT-1M50-q</v>
      </c>
      <c r="AN578" s="1" t="b">
        <f>NOT(ISNA(VLOOKUP(Master_Reference[[#This Row],[Model Number]],ObsoleteModels[],1,FALSE)))</f>
        <v>1</v>
      </c>
      <c r="AO578" s="1" t="str">
        <f>IF(LEFT(Master_Reference[[#This Row],[Model Number]],1)="U",LEFT(Master_Reference[[#This Row],[Model Number]],4),LEFT(Master_Reference[[#This Row],[Model Number]],3))</f>
        <v>FDB</v>
      </c>
    </row>
    <row r="579" spans="1:41" x14ac:dyDescent="0.25">
      <c r="A579" s="2" t="s">
        <v>860</v>
      </c>
      <c r="B579" s="1"/>
      <c r="C579" s="1" t="b">
        <v>1</v>
      </c>
      <c r="G579" s="1" t="str">
        <f>IF(OR(LEFT(RIGHT(Master_Reference[[#This Row],[Model Number]],3),1)="C",LEFT(RIGHT(Master_Reference[[#This Row],[Model Number]],4),1)="C"),TRUE,"")</f>
        <v/>
      </c>
      <c r="H579" s="1" t="str">
        <f>IF(LEFT(Master_Reference[[#This Row],[Model Number]],1)="U",TRUE,"")</f>
        <v/>
      </c>
      <c r="I579" s="1" t="b">
        <f>IF(Master_Reference[[#This Row],[Lamp Type]]="T4","",IF(Master_Reference[[#This Row],[Case Type]]="M","",TRUE))</f>
        <v>1</v>
      </c>
      <c r="J579" s="1" t="s">
        <v>215</v>
      </c>
      <c r="K579" s="1">
        <v>40</v>
      </c>
      <c r="L579" s="1" t="s">
        <v>225</v>
      </c>
      <c r="M579" s="1">
        <v>2</v>
      </c>
      <c r="N579" s="1" t="str">
        <f t="shared" si="9"/>
        <v>277</v>
      </c>
      <c r="O579" s="1" t="s">
        <v>144</v>
      </c>
      <c r="R579" t="b">
        <f>IF(COUNTBLANK(Master_Reference[[#This Row],[C-Flex 3000K Eco Part Number]:[C-Flex 4000K Eco Part Number]])=3,FALSE,TRUE)</f>
        <v>0</v>
      </c>
      <c r="S579" t="b">
        <f>IF(COUNTBLANK(Master_Reference[[#This Row],[C-Flex 3000K 3W Part Number]:[C-Flex 4000K 3W Part Number]])=3,FALSE,TRUE)</f>
        <v>1</v>
      </c>
      <c r="T579" t="b">
        <f>IF(COUNTBLANK(Master_Reference[[#This Row],[Lutron 3000K Eco Part Number]:[Lutron 4000K Eco Part Number]])=3,FALSE,TRUE)</f>
        <v>0</v>
      </c>
      <c r="U579" t="b">
        <f>IF(COUNTBLANK(Master_Reference[[#This Row],[Lutron 3000K 3W Part Number]:[Lutron 4000K 3W Part Number]])=3,FALSE,TRUE)</f>
        <v>1</v>
      </c>
      <c r="V579" s="12"/>
      <c r="W579" s="12"/>
      <c r="X579" s="12"/>
      <c r="Y579" t="s">
        <v>2125</v>
      </c>
      <c r="Z579" s="12" t="s">
        <v>236</v>
      </c>
      <c r="AA579" s="12" t="s">
        <v>237</v>
      </c>
      <c r="AB579" s="12" t="s">
        <v>238</v>
      </c>
      <c r="AC579" t="s">
        <v>1802</v>
      </c>
      <c r="AD579" t="str">
        <f>SUBSTITUTE(Master_Reference[[#This Row],[C-Flex 4000K Eco Part Number]],"40-","xx-")</f>
        <v/>
      </c>
      <c r="AE579" t="str">
        <f>SUBSTITUTE(Master_Reference[[#This Row],[C-Flex 4000K 3W Part Number]],"40-","xx-")</f>
        <v>RP-PLL-5.0K-2L-8xx-3W-M-G2</v>
      </c>
      <c r="AF579" s="1" t="str">
        <f>_xlfn.IFNA(VLOOKUP(Master_Reference[[#This Row],[C-Flex 3000K Eco Part Number]],Lutron_CFlex_Lookup[],MATCH("Lutron Kit PN",Lutron_CFlex_Lookup[#Headers],0),FALSE),"")</f>
        <v/>
      </c>
      <c r="AG579" s="1" t="str">
        <f>_xlfn.IFNA(VLOOKUP(Master_Reference[[#This Row],[C-Flex 3500K Eco Part Number]],Lutron_CFlex_Lookup[],MATCH("Lutron Kit PN",Lutron_CFlex_Lookup[#Headers],0),FALSE),"")</f>
        <v/>
      </c>
      <c r="AH579" s="1" t="str">
        <f>_xlfn.IFNA(VLOOKUP(Master_Reference[[#This Row],[C-Flex 4000K Eco Part Number]],Lutron_CFlex_Lookup[],MATCH("Lutron Kit PN",Lutron_CFlex_Lookup[#Headers],0),FALSE),"")</f>
        <v/>
      </c>
      <c r="AI579" s="1" t="str">
        <f>_xlfn.IFNA(VLOOKUP(Master_Reference[[#This Row],[C-Flex 5000K Eco Part Number]],Lutron_CFlex_Lookup[],MATCH("Lutron Kit PN",Lutron_CFlex_Lookup[#Headers],0),FALSE),"")</f>
        <v/>
      </c>
      <c r="AJ579" s="1" t="str">
        <f>_xlfn.IFNA(VLOOKUP(Master_Reference[[#This Row],[C-Flex 3000K 3W Part Number]],Lutron_CFlex_Lookup[],MATCH("Lutron Kit PN",Lutron_CFlex_Lookup[#Headers],0),FALSE),"")</f>
        <v>3LD-TT-2M30-q</v>
      </c>
      <c r="AK579" s="1" t="str">
        <f>_xlfn.IFNA(VLOOKUP(Master_Reference[[#This Row],[C-Flex 3500K 3W Part Number]],Lutron_CFlex_Lookup[],MATCH("Lutron Kit PN",Lutron_CFlex_Lookup[#Headers],0),FALSE),"")</f>
        <v>3LD-TT-2M35-q</v>
      </c>
      <c r="AL579" s="1" t="str">
        <f>_xlfn.IFNA(VLOOKUP(Master_Reference[[#This Row],[C-Flex 4000K 3W Part Number]],Lutron_CFlex_Lookup[],MATCH("Lutron Kit PN",Lutron_CFlex_Lookup[#Headers],0),FALSE),"")</f>
        <v>3LD-TT-2M40-q</v>
      </c>
      <c r="AM579" s="1" t="str">
        <f>_xlfn.IFNA(VLOOKUP(Master_Reference[[#This Row],[C-Flex 5000K 3W Part Number]],Lutron_CFlex_Lookup[],MATCH("Lutron Kit PN",Lutron_CFlex_Lookup[#Headers],0),FALSE),"")</f>
        <v>3LD-TT-2M50-q</v>
      </c>
      <c r="AN579" s="1" t="b">
        <f>NOT(ISNA(VLOOKUP(Master_Reference[[#This Row],[Model Number]],ObsoleteModels[],1,FALSE)))</f>
        <v>1</v>
      </c>
      <c r="AO579" s="1" t="str">
        <f>IF(LEFT(Master_Reference[[#This Row],[Model Number]],1)="U",LEFT(Master_Reference[[#This Row],[Model Number]],4),LEFT(Master_Reference[[#This Row],[Model Number]],3))</f>
        <v>FDB</v>
      </c>
    </row>
    <row r="580" spans="1:41" x14ac:dyDescent="0.25">
      <c r="A580" s="2" t="s">
        <v>861</v>
      </c>
      <c r="B580" s="1"/>
      <c r="C580" s="1" t="b">
        <v>1</v>
      </c>
      <c r="G580" s="1" t="str">
        <f>IF(OR(LEFT(RIGHT(Master_Reference[[#This Row],[Model Number]],3),1)="C",LEFT(RIGHT(Master_Reference[[#This Row],[Model Number]],4),1)="C"),TRUE,"")</f>
        <v/>
      </c>
      <c r="H580" s="1" t="str">
        <f>IF(LEFT(Master_Reference[[#This Row],[Model Number]],1)="U",TRUE,"")</f>
        <v/>
      </c>
      <c r="I580" s="1" t="b">
        <f>IF(Master_Reference[[#This Row],[Lamp Type]]="T4","",IF(Master_Reference[[#This Row],[Case Type]]="M","",TRUE))</f>
        <v>1</v>
      </c>
      <c r="J580" s="1" t="s">
        <v>215</v>
      </c>
      <c r="K580" s="1">
        <v>40</v>
      </c>
      <c r="L580" s="1" t="s">
        <v>225</v>
      </c>
      <c r="M580" s="1">
        <v>3</v>
      </c>
      <c r="N580" s="1" t="str">
        <f t="shared" si="9"/>
        <v>277</v>
      </c>
      <c r="O580" s="1" t="s">
        <v>144</v>
      </c>
      <c r="R580" t="b">
        <f>IF(COUNTBLANK(Master_Reference[[#This Row],[C-Flex 3000K Eco Part Number]:[C-Flex 4000K Eco Part Number]])=3,FALSE,TRUE)</f>
        <v>0</v>
      </c>
      <c r="S580" t="b">
        <f>IF(COUNTBLANK(Master_Reference[[#This Row],[C-Flex 3000K 3W Part Number]:[C-Flex 4000K 3W Part Number]])=3,FALSE,TRUE)</f>
        <v>0</v>
      </c>
      <c r="T580" t="b">
        <f>IF(COUNTBLANK(Master_Reference[[#This Row],[Lutron 3000K Eco Part Number]:[Lutron 4000K Eco Part Number]])=3,FALSE,TRUE)</f>
        <v>0</v>
      </c>
      <c r="U580" t="b">
        <f>IF(COUNTBLANK(Master_Reference[[#This Row],[Lutron 3000K 3W Part Number]:[Lutron 4000K 3W Part Number]])=3,FALSE,TRUE)</f>
        <v>0</v>
      </c>
      <c r="V580" s="12"/>
      <c r="W580" s="12"/>
      <c r="X580" s="12"/>
      <c r="Y580" t="s">
        <v>2125</v>
      </c>
      <c r="Z580" s="12"/>
      <c r="AA580" s="12"/>
      <c r="AB580" s="12"/>
      <c r="AC580" t="s">
        <v>2125</v>
      </c>
      <c r="AD580" t="str">
        <f>SUBSTITUTE(Master_Reference[[#This Row],[C-Flex 4000K Eco Part Number]],"40-","xx-")</f>
        <v/>
      </c>
      <c r="AE580" t="str">
        <f>SUBSTITUTE(Master_Reference[[#This Row],[C-Flex 4000K 3W Part Number]],"40-","xx-")</f>
        <v/>
      </c>
      <c r="AF580" s="1" t="str">
        <f>_xlfn.IFNA(VLOOKUP(Master_Reference[[#This Row],[C-Flex 3000K Eco Part Number]],Lutron_CFlex_Lookup[],MATCH("Lutron Kit PN",Lutron_CFlex_Lookup[#Headers],0),FALSE),"")</f>
        <v/>
      </c>
      <c r="AG580" s="1" t="str">
        <f>_xlfn.IFNA(VLOOKUP(Master_Reference[[#This Row],[C-Flex 3500K Eco Part Number]],Lutron_CFlex_Lookup[],MATCH("Lutron Kit PN",Lutron_CFlex_Lookup[#Headers],0),FALSE),"")</f>
        <v/>
      </c>
      <c r="AH580" s="1" t="str">
        <f>_xlfn.IFNA(VLOOKUP(Master_Reference[[#This Row],[C-Flex 4000K Eco Part Number]],Lutron_CFlex_Lookup[],MATCH("Lutron Kit PN",Lutron_CFlex_Lookup[#Headers],0),FALSE),"")</f>
        <v/>
      </c>
      <c r="AI580" s="1" t="str">
        <f>_xlfn.IFNA(VLOOKUP(Master_Reference[[#This Row],[C-Flex 5000K Eco Part Number]],Lutron_CFlex_Lookup[],MATCH("Lutron Kit PN",Lutron_CFlex_Lookup[#Headers],0),FALSE),"")</f>
        <v/>
      </c>
      <c r="AJ580" s="1" t="str">
        <f>_xlfn.IFNA(VLOOKUP(Master_Reference[[#This Row],[C-Flex 3000K 3W Part Number]],Lutron_CFlex_Lookup[],MATCH("Lutron Kit PN",Lutron_CFlex_Lookup[#Headers],0),FALSE),"")</f>
        <v/>
      </c>
      <c r="AK580" s="1" t="str">
        <f>_xlfn.IFNA(VLOOKUP(Master_Reference[[#This Row],[C-Flex 3500K 3W Part Number]],Lutron_CFlex_Lookup[],MATCH("Lutron Kit PN",Lutron_CFlex_Lookup[#Headers],0),FALSE),"")</f>
        <v/>
      </c>
      <c r="AL580" s="1" t="str">
        <f>_xlfn.IFNA(VLOOKUP(Master_Reference[[#This Row],[C-Flex 4000K 3W Part Number]],Lutron_CFlex_Lookup[],MATCH("Lutron Kit PN",Lutron_CFlex_Lookup[#Headers],0),FALSE),"")</f>
        <v/>
      </c>
      <c r="AM580" s="1" t="str">
        <f>_xlfn.IFNA(VLOOKUP(Master_Reference[[#This Row],[C-Flex 5000K 3W Part Number]],Lutron_CFlex_Lookup[],MATCH("Lutron Kit PN",Lutron_CFlex_Lookup[#Headers],0),FALSE),"")</f>
        <v/>
      </c>
      <c r="AN580" s="1" t="b">
        <f>NOT(ISNA(VLOOKUP(Master_Reference[[#This Row],[Model Number]],ObsoleteModels[],1,FALSE)))</f>
        <v>1</v>
      </c>
      <c r="AO580" s="1" t="str">
        <f>IF(LEFT(Master_Reference[[#This Row],[Model Number]],1)="U",LEFT(Master_Reference[[#This Row],[Model Number]],4),LEFT(Master_Reference[[#This Row],[Model Number]],3))</f>
        <v>FDB</v>
      </c>
    </row>
    <row r="581" spans="1:41" x14ac:dyDescent="0.25">
      <c r="A581" s="2" t="s">
        <v>862</v>
      </c>
      <c r="B581" s="1"/>
      <c r="C581" s="1" t="b">
        <v>1</v>
      </c>
      <c r="G581" s="1" t="str">
        <f>IF(OR(LEFT(RIGHT(Master_Reference[[#This Row],[Model Number]],3),1)="C",LEFT(RIGHT(Master_Reference[[#This Row],[Model Number]],4),1)="C"),TRUE,"")</f>
        <v/>
      </c>
      <c r="H581" s="1" t="str">
        <f>IF(LEFT(Master_Reference[[#This Row],[Model Number]],1)="U",TRUE,"")</f>
        <v/>
      </c>
      <c r="I581" s="1" t="b">
        <f>IF(Master_Reference[[#This Row],[Lamp Type]]="T4","",IF(Master_Reference[[#This Row],[Case Type]]="M","",TRUE))</f>
        <v>1</v>
      </c>
      <c r="J581" s="1" t="s">
        <v>215</v>
      </c>
      <c r="K581" s="1">
        <v>50</v>
      </c>
      <c r="L581" s="1" t="s">
        <v>225</v>
      </c>
      <c r="M581" s="1">
        <v>1</v>
      </c>
      <c r="N581" s="1" t="str">
        <f t="shared" si="9"/>
        <v>120</v>
      </c>
      <c r="O581" s="1" t="s">
        <v>144</v>
      </c>
      <c r="R581" t="b">
        <f>IF(COUNTBLANK(Master_Reference[[#This Row],[C-Flex 3000K Eco Part Number]:[C-Flex 4000K Eco Part Number]])=3,FALSE,TRUE)</f>
        <v>0</v>
      </c>
      <c r="S581" t="b">
        <f>IF(COUNTBLANK(Master_Reference[[#This Row],[C-Flex 3000K 3W Part Number]:[C-Flex 4000K 3W Part Number]])=3,FALSE,TRUE)</f>
        <v>1</v>
      </c>
      <c r="T581" t="b">
        <f>IF(COUNTBLANK(Master_Reference[[#This Row],[Lutron 3000K Eco Part Number]:[Lutron 4000K Eco Part Number]])=3,FALSE,TRUE)</f>
        <v>0</v>
      </c>
      <c r="U581" t="b">
        <f>IF(COUNTBLANK(Master_Reference[[#This Row],[Lutron 3000K 3W Part Number]:[Lutron 4000K 3W Part Number]])=3,FALSE,TRUE)</f>
        <v>1</v>
      </c>
      <c r="V581" s="12"/>
      <c r="W581" s="12"/>
      <c r="X581" s="12"/>
      <c r="Y581" t="s">
        <v>2125</v>
      </c>
      <c r="Z581" s="12" t="s">
        <v>229</v>
      </c>
      <c r="AA581" s="12" t="s">
        <v>230</v>
      </c>
      <c r="AB581" s="12" t="s">
        <v>231</v>
      </c>
      <c r="AC581" t="s">
        <v>1801</v>
      </c>
      <c r="AD581" t="str">
        <f>SUBSTITUTE(Master_Reference[[#This Row],[C-Flex 4000K Eco Part Number]],"40-","xx-")</f>
        <v/>
      </c>
      <c r="AE581" t="str">
        <f>SUBSTITUTE(Master_Reference[[#This Row],[C-Flex 4000K 3W Part Number]],"40-","xx-")</f>
        <v>RP-PLL-2.5K-1L-8xx-3W-M-G2</v>
      </c>
      <c r="AF581" s="1" t="str">
        <f>_xlfn.IFNA(VLOOKUP(Master_Reference[[#This Row],[C-Flex 3000K Eco Part Number]],Lutron_CFlex_Lookup[],MATCH("Lutron Kit PN",Lutron_CFlex_Lookup[#Headers],0),FALSE),"")</f>
        <v/>
      </c>
      <c r="AG581" s="1" t="str">
        <f>_xlfn.IFNA(VLOOKUP(Master_Reference[[#This Row],[C-Flex 3500K Eco Part Number]],Lutron_CFlex_Lookup[],MATCH("Lutron Kit PN",Lutron_CFlex_Lookup[#Headers],0),FALSE),"")</f>
        <v/>
      </c>
      <c r="AH581" s="1" t="str">
        <f>_xlfn.IFNA(VLOOKUP(Master_Reference[[#This Row],[C-Flex 4000K Eco Part Number]],Lutron_CFlex_Lookup[],MATCH("Lutron Kit PN",Lutron_CFlex_Lookup[#Headers],0),FALSE),"")</f>
        <v/>
      </c>
      <c r="AI581" s="1" t="str">
        <f>_xlfn.IFNA(VLOOKUP(Master_Reference[[#This Row],[C-Flex 5000K Eco Part Number]],Lutron_CFlex_Lookup[],MATCH("Lutron Kit PN",Lutron_CFlex_Lookup[#Headers],0),FALSE),"")</f>
        <v/>
      </c>
      <c r="AJ581" s="1" t="str">
        <f>_xlfn.IFNA(VLOOKUP(Master_Reference[[#This Row],[C-Flex 3000K 3W Part Number]],Lutron_CFlex_Lookup[],MATCH("Lutron Kit PN",Lutron_CFlex_Lookup[#Headers],0),FALSE),"")</f>
        <v>3LD-TT-1M30-q</v>
      </c>
      <c r="AK581" s="1" t="str">
        <f>_xlfn.IFNA(VLOOKUP(Master_Reference[[#This Row],[C-Flex 3500K 3W Part Number]],Lutron_CFlex_Lookup[],MATCH("Lutron Kit PN",Lutron_CFlex_Lookup[#Headers],0),FALSE),"")</f>
        <v>3LD-TT-1M35-q</v>
      </c>
      <c r="AL581" s="1" t="str">
        <f>_xlfn.IFNA(VLOOKUP(Master_Reference[[#This Row],[C-Flex 4000K 3W Part Number]],Lutron_CFlex_Lookup[],MATCH("Lutron Kit PN",Lutron_CFlex_Lookup[#Headers],0),FALSE),"")</f>
        <v>3LD-TT-1M40-q</v>
      </c>
      <c r="AM581" s="1" t="str">
        <f>_xlfn.IFNA(VLOOKUP(Master_Reference[[#This Row],[C-Flex 5000K 3W Part Number]],Lutron_CFlex_Lookup[],MATCH("Lutron Kit PN",Lutron_CFlex_Lookup[#Headers],0),FALSE),"")</f>
        <v>3LD-TT-1M50-q</v>
      </c>
      <c r="AN581" s="1" t="b">
        <f>NOT(ISNA(VLOOKUP(Master_Reference[[#This Row],[Model Number]],ObsoleteModels[],1,FALSE)))</f>
        <v>1</v>
      </c>
      <c r="AO581" s="1" t="str">
        <f>IF(LEFT(Master_Reference[[#This Row],[Model Number]],1)="U",LEFT(Master_Reference[[#This Row],[Model Number]],4),LEFT(Master_Reference[[#This Row],[Model Number]],3))</f>
        <v>FDB</v>
      </c>
    </row>
    <row r="582" spans="1:41" x14ac:dyDescent="0.25">
      <c r="A582" s="2" t="s">
        <v>863</v>
      </c>
      <c r="B582" s="1"/>
      <c r="C582" s="1" t="b">
        <v>1</v>
      </c>
      <c r="G582" s="1" t="str">
        <f>IF(OR(LEFT(RIGHT(Master_Reference[[#This Row],[Model Number]],3),1)="C",LEFT(RIGHT(Master_Reference[[#This Row],[Model Number]],4),1)="C"),TRUE,"")</f>
        <v/>
      </c>
      <c r="H582" s="1" t="str">
        <f>IF(LEFT(Master_Reference[[#This Row],[Model Number]],1)="U",TRUE,"")</f>
        <v/>
      </c>
      <c r="I582" s="1" t="b">
        <f>IF(Master_Reference[[#This Row],[Lamp Type]]="T4","",IF(Master_Reference[[#This Row],[Case Type]]="M","",TRUE))</f>
        <v>1</v>
      </c>
      <c r="J582" s="1" t="s">
        <v>215</v>
      </c>
      <c r="K582" s="1">
        <v>50</v>
      </c>
      <c r="L582" s="1" t="s">
        <v>225</v>
      </c>
      <c r="M582" s="1">
        <v>2</v>
      </c>
      <c r="N582" s="1" t="str">
        <f t="shared" si="9"/>
        <v>120</v>
      </c>
      <c r="O582" s="1" t="s">
        <v>144</v>
      </c>
      <c r="R582" t="b">
        <f>IF(COUNTBLANK(Master_Reference[[#This Row],[C-Flex 3000K Eco Part Number]:[C-Flex 4000K Eco Part Number]])=3,FALSE,TRUE)</f>
        <v>0</v>
      </c>
      <c r="S582" t="b">
        <f>IF(COUNTBLANK(Master_Reference[[#This Row],[C-Flex 3000K 3W Part Number]:[C-Flex 4000K 3W Part Number]])=3,FALSE,TRUE)</f>
        <v>1</v>
      </c>
      <c r="T582" t="b">
        <f>IF(COUNTBLANK(Master_Reference[[#This Row],[Lutron 3000K Eco Part Number]:[Lutron 4000K Eco Part Number]])=3,FALSE,TRUE)</f>
        <v>0</v>
      </c>
      <c r="U582" t="b">
        <f>IF(COUNTBLANK(Master_Reference[[#This Row],[Lutron 3000K 3W Part Number]:[Lutron 4000K 3W Part Number]])=3,FALSE,TRUE)</f>
        <v>1</v>
      </c>
      <c r="V582" s="12"/>
      <c r="W582" s="12"/>
      <c r="X582" s="12"/>
      <c r="Y582" t="s">
        <v>2125</v>
      </c>
      <c r="Z582" s="12" t="s">
        <v>236</v>
      </c>
      <c r="AA582" s="12" t="s">
        <v>237</v>
      </c>
      <c r="AB582" s="12" t="s">
        <v>238</v>
      </c>
      <c r="AC582" t="s">
        <v>1802</v>
      </c>
      <c r="AD582" t="str">
        <f>SUBSTITUTE(Master_Reference[[#This Row],[C-Flex 4000K Eco Part Number]],"40-","xx-")</f>
        <v/>
      </c>
      <c r="AE582" t="str">
        <f>SUBSTITUTE(Master_Reference[[#This Row],[C-Flex 4000K 3W Part Number]],"40-","xx-")</f>
        <v>RP-PLL-5.0K-2L-8xx-3W-M-G2</v>
      </c>
      <c r="AF582" s="1" t="str">
        <f>_xlfn.IFNA(VLOOKUP(Master_Reference[[#This Row],[C-Flex 3000K Eco Part Number]],Lutron_CFlex_Lookup[],MATCH("Lutron Kit PN",Lutron_CFlex_Lookup[#Headers],0),FALSE),"")</f>
        <v/>
      </c>
      <c r="AG582" s="1" t="str">
        <f>_xlfn.IFNA(VLOOKUP(Master_Reference[[#This Row],[C-Flex 3500K Eco Part Number]],Lutron_CFlex_Lookup[],MATCH("Lutron Kit PN",Lutron_CFlex_Lookup[#Headers],0),FALSE),"")</f>
        <v/>
      </c>
      <c r="AH582" s="1" t="str">
        <f>_xlfn.IFNA(VLOOKUP(Master_Reference[[#This Row],[C-Flex 4000K Eco Part Number]],Lutron_CFlex_Lookup[],MATCH("Lutron Kit PN",Lutron_CFlex_Lookup[#Headers],0),FALSE),"")</f>
        <v/>
      </c>
      <c r="AI582" s="1" t="str">
        <f>_xlfn.IFNA(VLOOKUP(Master_Reference[[#This Row],[C-Flex 5000K Eco Part Number]],Lutron_CFlex_Lookup[],MATCH("Lutron Kit PN",Lutron_CFlex_Lookup[#Headers],0),FALSE),"")</f>
        <v/>
      </c>
      <c r="AJ582" s="1" t="str">
        <f>_xlfn.IFNA(VLOOKUP(Master_Reference[[#This Row],[C-Flex 3000K 3W Part Number]],Lutron_CFlex_Lookup[],MATCH("Lutron Kit PN",Lutron_CFlex_Lookup[#Headers],0),FALSE),"")</f>
        <v>3LD-TT-2M30-q</v>
      </c>
      <c r="AK582" s="1" t="str">
        <f>_xlfn.IFNA(VLOOKUP(Master_Reference[[#This Row],[C-Flex 3500K 3W Part Number]],Lutron_CFlex_Lookup[],MATCH("Lutron Kit PN",Lutron_CFlex_Lookup[#Headers],0),FALSE),"")</f>
        <v>3LD-TT-2M35-q</v>
      </c>
      <c r="AL582" s="1" t="str">
        <f>_xlfn.IFNA(VLOOKUP(Master_Reference[[#This Row],[C-Flex 4000K 3W Part Number]],Lutron_CFlex_Lookup[],MATCH("Lutron Kit PN",Lutron_CFlex_Lookup[#Headers],0),FALSE),"")</f>
        <v>3LD-TT-2M40-q</v>
      </c>
      <c r="AM582" s="1" t="str">
        <f>_xlfn.IFNA(VLOOKUP(Master_Reference[[#This Row],[C-Flex 5000K 3W Part Number]],Lutron_CFlex_Lookup[],MATCH("Lutron Kit PN",Lutron_CFlex_Lookup[#Headers],0),FALSE),"")</f>
        <v>3LD-TT-2M50-q</v>
      </c>
      <c r="AN582" s="1" t="b">
        <f>NOT(ISNA(VLOOKUP(Master_Reference[[#This Row],[Model Number]],ObsoleteModels[],1,FALSE)))</f>
        <v>1</v>
      </c>
      <c r="AO582" s="1" t="str">
        <f>IF(LEFT(Master_Reference[[#This Row],[Model Number]],1)="U",LEFT(Master_Reference[[#This Row],[Model Number]],4),LEFT(Master_Reference[[#This Row],[Model Number]],3))</f>
        <v>FDB</v>
      </c>
    </row>
    <row r="583" spans="1:41" x14ac:dyDescent="0.25">
      <c r="A583" s="2" t="s">
        <v>864</v>
      </c>
      <c r="B583" s="1"/>
      <c r="C583" s="1" t="b">
        <v>1</v>
      </c>
      <c r="G583" s="1" t="str">
        <f>IF(OR(LEFT(RIGHT(Master_Reference[[#This Row],[Model Number]],3),1)="C",LEFT(RIGHT(Master_Reference[[#This Row],[Model Number]],4),1)="C"),TRUE,"")</f>
        <v/>
      </c>
      <c r="H583" s="1" t="str">
        <f>IF(LEFT(Master_Reference[[#This Row],[Model Number]],1)="U",TRUE,"")</f>
        <v/>
      </c>
      <c r="I583" s="1" t="b">
        <f>IF(Master_Reference[[#This Row],[Lamp Type]]="T4","",IF(Master_Reference[[#This Row],[Case Type]]="M","",TRUE))</f>
        <v>1</v>
      </c>
      <c r="J583" s="1" t="s">
        <v>215</v>
      </c>
      <c r="K583" s="1">
        <v>50</v>
      </c>
      <c r="L583" s="1" t="s">
        <v>225</v>
      </c>
      <c r="M583" s="1">
        <v>1</v>
      </c>
      <c r="N583" s="1" t="str">
        <f t="shared" si="9"/>
        <v>277</v>
      </c>
      <c r="O583" s="1" t="s">
        <v>144</v>
      </c>
      <c r="R583" t="b">
        <f>IF(COUNTBLANK(Master_Reference[[#This Row],[C-Flex 3000K Eco Part Number]:[C-Flex 4000K Eco Part Number]])=3,FALSE,TRUE)</f>
        <v>0</v>
      </c>
      <c r="S583" t="b">
        <f>IF(COUNTBLANK(Master_Reference[[#This Row],[C-Flex 3000K 3W Part Number]:[C-Flex 4000K 3W Part Number]])=3,FALSE,TRUE)</f>
        <v>1</v>
      </c>
      <c r="T583" t="b">
        <f>IF(COUNTBLANK(Master_Reference[[#This Row],[Lutron 3000K Eco Part Number]:[Lutron 4000K Eco Part Number]])=3,FALSE,TRUE)</f>
        <v>0</v>
      </c>
      <c r="U583" t="b">
        <f>IF(COUNTBLANK(Master_Reference[[#This Row],[Lutron 3000K 3W Part Number]:[Lutron 4000K 3W Part Number]])=3,FALSE,TRUE)</f>
        <v>1</v>
      </c>
      <c r="V583" s="12"/>
      <c r="W583" s="12"/>
      <c r="X583" s="12"/>
      <c r="Y583" t="s">
        <v>2125</v>
      </c>
      <c r="Z583" s="12" t="s">
        <v>229</v>
      </c>
      <c r="AA583" s="12" t="s">
        <v>230</v>
      </c>
      <c r="AB583" s="12" t="s">
        <v>231</v>
      </c>
      <c r="AC583" t="s">
        <v>1801</v>
      </c>
      <c r="AD583" t="str">
        <f>SUBSTITUTE(Master_Reference[[#This Row],[C-Flex 4000K Eco Part Number]],"40-","xx-")</f>
        <v/>
      </c>
      <c r="AE583" t="str">
        <f>SUBSTITUTE(Master_Reference[[#This Row],[C-Flex 4000K 3W Part Number]],"40-","xx-")</f>
        <v>RP-PLL-2.5K-1L-8xx-3W-M-G2</v>
      </c>
      <c r="AF583" s="1" t="str">
        <f>_xlfn.IFNA(VLOOKUP(Master_Reference[[#This Row],[C-Flex 3000K Eco Part Number]],Lutron_CFlex_Lookup[],MATCH("Lutron Kit PN",Lutron_CFlex_Lookup[#Headers],0),FALSE),"")</f>
        <v/>
      </c>
      <c r="AG583" s="1" t="str">
        <f>_xlfn.IFNA(VLOOKUP(Master_Reference[[#This Row],[C-Flex 3500K Eco Part Number]],Lutron_CFlex_Lookup[],MATCH("Lutron Kit PN",Lutron_CFlex_Lookup[#Headers],0),FALSE),"")</f>
        <v/>
      </c>
      <c r="AH583" s="1" t="str">
        <f>_xlfn.IFNA(VLOOKUP(Master_Reference[[#This Row],[C-Flex 4000K Eco Part Number]],Lutron_CFlex_Lookup[],MATCH("Lutron Kit PN",Lutron_CFlex_Lookup[#Headers],0),FALSE),"")</f>
        <v/>
      </c>
      <c r="AI583" s="1" t="str">
        <f>_xlfn.IFNA(VLOOKUP(Master_Reference[[#This Row],[C-Flex 5000K Eco Part Number]],Lutron_CFlex_Lookup[],MATCH("Lutron Kit PN",Lutron_CFlex_Lookup[#Headers],0),FALSE),"")</f>
        <v/>
      </c>
      <c r="AJ583" s="1" t="str">
        <f>_xlfn.IFNA(VLOOKUP(Master_Reference[[#This Row],[C-Flex 3000K 3W Part Number]],Lutron_CFlex_Lookup[],MATCH("Lutron Kit PN",Lutron_CFlex_Lookup[#Headers],0),FALSE),"")</f>
        <v>3LD-TT-1M30-q</v>
      </c>
      <c r="AK583" s="1" t="str">
        <f>_xlfn.IFNA(VLOOKUP(Master_Reference[[#This Row],[C-Flex 3500K 3W Part Number]],Lutron_CFlex_Lookup[],MATCH("Lutron Kit PN",Lutron_CFlex_Lookup[#Headers],0),FALSE),"")</f>
        <v>3LD-TT-1M35-q</v>
      </c>
      <c r="AL583" s="1" t="str">
        <f>_xlfn.IFNA(VLOOKUP(Master_Reference[[#This Row],[C-Flex 4000K 3W Part Number]],Lutron_CFlex_Lookup[],MATCH("Lutron Kit PN",Lutron_CFlex_Lookup[#Headers],0),FALSE),"")</f>
        <v>3LD-TT-1M40-q</v>
      </c>
      <c r="AM583" s="1" t="str">
        <f>_xlfn.IFNA(VLOOKUP(Master_Reference[[#This Row],[C-Flex 5000K 3W Part Number]],Lutron_CFlex_Lookup[],MATCH("Lutron Kit PN",Lutron_CFlex_Lookup[#Headers],0),FALSE),"")</f>
        <v>3LD-TT-1M50-q</v>
      </c>
      <c r="AN583" s="1" t="b">
        <f>NOT(ISNA(VLOOKUP(Master_Reference[[#This Row],[Model Number]],ObsoleteModels[],1,FALSE)))</f>
        <v>1</v>
      </c>
      <c r="AO583" s="1" t="str">
        <f>IF(LEFT(Master_Reference[[#This Row],[Model Number]],1)="U",LEFT(Master_Reference[[#This Row],[Model Number]],4),LEFT(Master_Reference[[#This Row],[Model Number]],3))</f>
        <v>FDB</v>
      </c>
    </row>
    <row r="584" spans="1:41" x14ac:dyDescent="0.25">
      <c r="A584" s="2" t="s">
        <v>865</v>
      </c>
      <c r="B584" s="1"/>
      <c r="C584" s="1" t="b">
        <v>1</v>
      </c>
      <c r="G584" s="1" t="str">
        <f>IF(OR(LEFT(RIGHT(Master_Reference[[#This Row],[Model Number]],3),1)="C",LEFT(RIGHT(Master_Reference[[#This Row],[Model Number]],4),1)="C"),TRUE,"")</f>
        <v/>
      </c>
      <c r="H584" s="1" t="str">
        <f>IF(LEFT(Master_Reference[[#This Row],[Model Number]],1)="U",TRUE,"")</f>
        <v/>
      </c>
      <c r="I584" s="1" t="b">
        <f>IF(Master_Reference[[#This Row],[Lamp Type]]="T4","",IF(Master_Reference[[#This Row],[Case Type]]="M","",TRUE))</f>
        <v>1</v>
      </c>
      <c r="J584" s="1" t="s">
        <v>215</v>
      </c>
      <c r="K584" s="1">
        <v>50</v>
      </c>
      <c r="L584" s="1" t="s">
        <v>225</v>
      </c>
      <c r="M584" s="1">
        <v>2</v>
      </c>
      <c r="N584" s="1" t="str">
        <f t="shared" si="9"/>
        <v>277</v>
      </c>
      <c r="O584" s="1" t="s">
        <v>144</v>
      </c>
      <c r="R584" t="b">
        <f>IF(COUNTBLANK(Master_Reference[[#This Row],[C-Flex 3000K Eco Part Number]:[C-Flex 4000K Eco Part Number]])=3,FALSE,TRUE)</f>
        <v>0</v>
      </c>
      <c r="S584" t="b">
        <f>IF(COUNTBLANK(Master_Reference[[#This Row],[C-Flex 3000K 3W Part Number]:[C-Flex 4000K 3W Part Number]])=3,FALSE,TRUE)</f>
        <v>1</v>
      </c>
      <c r="T584" t="b">
        <f>IF(COUNTBLANK(Master_Reference[[#This Row],[Lutron 3000K Eco Part Number]:[Lutron 4000K Eco Part Number]])=3,FALSE,TRUE)</f>
        <v>0</v>
      </c>
      <c r="U584" t="b">
        <f>IF(COUNTBLANK(Master_Reference[[#This Row],[Lutron 3000K 3W Part Number]:[Lutron 4000K 3W Part Number]])=3,FALSE,TRUE)</f>
        <v>1</v>
      </c>
      <c r="V584" s="12"/>
      <c r="W584" s="12"/>
      <c r="X584" s="12"/>
      <c r="Y584" t="s">
        <v>2125</v>
      </c>
      <c r="Z584" s="12" t="s">
        <v>236</v>
      </c>
      <c r="AA584" s="12" t="s">
        <v>237</v>
      </c>
      <c r="AB584" s="12" t="s">
        <v>238</v>
      </c>
      <c r="AC584" t="s">
        <v>1802</v>
      </c>
      <c r="AD584" t="str">
        <f>SUBSTITUTE(Master_Reference[[#This Row],[C-Flex 4000K Eco Part Number]],"40-","xx-")</f>
        <v/>
      </c>
      <c r="AE584" t="str">
        <f>SUBSTITUTE(Master_Reference[[#This Row],[C-Flex 4000K 3W Part Number]],"40-","xx-")</f>
        <v>RP-PLL-5.0K-2L-8xx-3W-M-G2</v>
      </c>
      <c r="AF584" s="1" t="str">
        <f>_xlfn.IFNA(VLOOKUP(Master_Reference[[#This Row],[C-Flex 3000K Eco Part Number]],Lutron_CFlex_Lookup[],MATCH("Lutron Kit PN",Lutron_CFlex_Lookup[#Headers],0),FALSE),"")</f>
        <v/>
      </c>
      <c r="AG584" s="1" t="str">
        <f>_xlfn.IFNA(VLOOKUP(Master_Reference[[#This Row],[C-Flex 3500K Eco Part Number]],Lutron_CFlex_Lookup[],MATCH("Lutron Kit PN",Lutron_CFlex_Lookup[#Headers],0),FALSE),"")</f>
        <v/>
      </c>
      <c r="AH584" s="1" t="str">
        <f>_xlfn.IFNA(VLOOKUP(Master_Reference[[#This Row],[C-Flex 4000K Eco Part Number]],Lutron_CFlex_Lookup[],MATCH("Lutron Kit PN",Lutron_CFlex_Lookup[#Headers],0),FALSE),"")</f>
        <v/>
      </c>
      <c r="AI584" s="1" t="str">
        <f>_xlfn.IFNA(VLOOKUP(Master_Reference[[#This Row],[C-Flex 5000K Eco Part Number]],Lutron_CFlex_Lookup[],MATCH("Lutron Kit PN",Lutron_CFlex_Lookup[#Headers],0),FALSE),"")</f>
        <v/>
      </c>
      <c r="AJ584" s="1" t="str">
        <f>_xlfn.IFNA(VLOOKUP(Master_Reference[[#This Row],[C-Flex 3000K 3W Part Number]],Lutron_CFlex_Lookup[],MATCH("Lutron Kit PN",Lutron_CFlex_Lookup[#Headers],0),FALSE),"")</f>
        <v>3LD-TT-2M30-q</v>
      </c>
      <c r="AK584" s="1" t="str">
        <f>_xlfn.IFNA(VLOOKUP(Master_Reference[[#This Row],[C-Flex 3500K 3W Part Number]],Lutron_CFlex_Lookup[],MATCH("Lutron Kit PN",Lutron_CFlex_Lookup[#Headers],0),FALSE),"")</f>
        <v>3LD-TT-2M35-q</v>
      </c>
      <c r="AL584" s="1" t="str">
        <f>_xlfn.IFNA(VLOOKUP(Master_Reference[[#This Row],[C-Flex 4000K 3W Part Number]],Lutron_CFlex_Lookup[],MATCH("Lutron Kit PN",Lutron_CFlex_Lookup[#Headers],0),FALSE),"")</f>
        <v>3LD-TT-2M40-q</v>
      </c>
      <c r="AM584" s="1" t="str">
        <f>_xlfn.IFNA(VLOOKUP(Master_Reference[[#This Row],[C-Flex 5000K 3W Part Number]],Lutron_CFlex_Lookup[],MATCH("Lutron Kit PN",Lutron_CFlex_Lookup[#Headers],0),FALSE),"")</f>
        <v>3LD-TT-2M50-q</v>
      </c>
      <c r="AN584" s="1" t="b">
        <f>NOT(ISNA(VLOOKUP(Master_Reference[[#This Row],[Model Number]],ObsoleteModels[],1,FALSE)))</f>
        <v>1</v>
      </c>
      <c r="AO584" s="1" t="str">
        <f>IF(LEFT(Master_Reference[[#This Row],[Model Number]],1)="U",LEFT(Master_Reference[[#This Row],[Model Number]],4),LEFT(Master_Reference[[#This Row],[Model Number]],3))</f>
        <v>FDB</v>
      </c>
    </row>
    <row r="585" spans="1:41" x14ac:dyDescent="0.25">
      <c r="A585" s="2" t="s">
        <v>866</v>
      </c>
      <c r="B585" s="1"/>
      <c r="C585" s="1" t="b">
        <v>1</v>
      </c>
      <c r="G585" s="1" t="str">
        <f>IF(OR(LEFT(RIGHT(Master_Reference[[#This Row],[Model Number]],3),1)="C",LEFT(RIGHT(Master_Reference[[#This Row],[Model Number]],4),1)="C"),TRUE,"")</f>
        <v/>
      </c>
      <c r="H585" s="1" t="str">
        <f>IF(LEFT(Master_Reference[[#This Row],[Model Number]],1)="U",TRUE,"")</f>
        <v/>
      </c>
      <c r="I585" s="1" t="b">
        <f>IF(Master_Reference[[#This Row],[Lamp Type]]="T4","",IF(Master_Reference[[#This Row],[Case Type]]="M","",TRUE))</f>
        <v>1</v>
      </c>
      <c r="J585" s="1" t="s">
        <v>111</v>
      </c>
      <c r="K585" s="1">
        <v>17</v>
      </c>
      <c r="L585" s="1" t="s">
        <v>112</v>
      </c>
      <c r="M585" s="1">
        <v>1</v>
      </c>
      <c r="N585" s="1" t="str">
        <f t="shared" si="9"/>
        <v>120</v>
      </c>
      <c r="O585" s="1" t="s">
        <v>144</v>
      </c>
      <c r="R585" t="b">
        <f>IF(COUNTBLANK(Master_Reference[[#This Row],[C-Flex 3000K Eco Part Number]:[C-Flex 4000K Eco Part Number]])=3,FALSE,TRUE)</f>
        <v>0</v>
      </c>
      <c r="S585" t="b">
        <f>IF(COUNTBLANK(Master_Reference[[#This Row],[C-Flex 3000K 3W Part Number]:[C-Flex 4000K 3W Part Number]])=3,FALSE,TRUE)</f>
        <v>1</v>
      </c>
      <c r="T585" t="b">
        <f>IF(COUNTBLANK(Master_Reference[[#This Row],[Lutron 3000K Eco Part Number]:[Lutron 4000K Eco Part Number]])=3,FALSE,TRUE)</f>
        <v>0</v>
      </c>
      <c r="U585" t="b">
        <f>IF(COUNTBLANK(Master_Reference[[#This Row],[Lutron 3000K 3W Part Number]:[Lutron 4000K 3W Part Number]])=3,FALSE,TRUE)</f>
        <v>1</v>
      </c>
      <c r="V585" s="12"/>
      <c r="W585" s="12"/>
      <c r="X585" s="12"/>
      <c r="Y585" t="s">
        <v>2125</v>
      </c>
      <c r="Z585" s="12" t="s">
        <v>240</v>
      </c>
      <c r="AA585" s="12" t="s">
        <v>241</v>
      </c>
      <c r="AB585" s="12" t="s">
        <v>242</v>
      </c>
      <c r="AC585" t="s">
        <v>1823</v>
      </c>
      <c r="AD585" t="str">
        <f>SUBSTITUTE(Master_Reference[[#This Row],[C-Flex 4000K Eco Part Number]],"40-","xx-")</f>
        <v/>
      </c>
      <c r="AE585" t="str">
        <f>SUBSTITUTE(Master_Reference[[#This Row],[C-Flex 4000K 3W Part Number]],"40-","xx-")</f>
        <v>RP-T8-2FT-1L-8xx-3W-M-G2</v>
      </c>
      <c r="AF585" s="1" t="str">
        <f>_xlfn.IFNA(VLOOKUP(Master_Reference[[#This Row],[C-Flex 3000K Eco Part Number]],Lutron_CFlex_Lookup[],MATCH("Lutron Kit PN",Lutron_CFlex_Lookup[#Headers],0),FALSE),"")</f>
        <v/>
      </c>
      <c r="AG585" s="1" t="str">
        <f>_xlfn.IFNA(VLOOKUP(Master_Reference[[#This Row],[C-Flex 3500K Eco Part Number]],Lutron_CFlex_Lookup[],MATCH("Lutron Kit PN",Lutron_CFlex_Lookup[#Headers],0),FALSE),"")</f>
        <v/>
      </c>
      <c r="AH585" s="1" t="str">
        <f>_xlfn.IFNA(VLOOKUP(Master_Reference[[#This Row],[C-Flex 4000K Eco Part Number]],Lutron_CFlex_Lookup[],MATCH("Lutron Kit PN",Lutron_CFlex_Lookup[#Headers],0),FALSE),"")</f>
        <v/>
      </c>
      <c r="AI585" s="1" t="str">
        <f>_xlfn.IFNA(VLOOKUP(Master_Reference[[#This Row],[C-Flex 5000K Eco Part Number]],Lutron_CFlex_Lookup[],MATCH("Lutron Kit PN",Lutron_CFlex_Lookup[#Headers],0),FALSE),"")</f>
        <v/>
      </c>
      <c r="AJ585" s="1" t="str">
        <f>_xlfn.IFNA(VLOOKUP(Master_Reference[[#This Row],[C-Flex 3000K 3W Part Number]],Lutron_CFlex_Lookup[],MATCH("Lutron Kit PN",Lutron_CFlex_Lookup[#Headers],0),FALSE),"")</f>
        <v>3LD2T8-1M30-q</v>
      </c>
      <c r="AK585" s="1" t="str">
        <f>_xlfn.IFNA(VLOOKUP(Master_Reference[[#This Row],[C-Flex 3500K 3W Part Number]],Lutron_CFlex_Lookup[],MATCH("Lutron Kit PN",Lutron_CFlex_Lookup[#Headers],0),FALSE),"")</f>
        <v>3LD2T8-1M35-q</v>
      </c>
      <c r="AL585" s="1" t="str">
        <f>_xlfn.IFNA(VLOOKUP(Master_Reference[[#This Row],[C-Flex 4000K 3W Part Number]],Lutron_CFlex_Lookup[],MATCH("Lutron Kit PN",Lutron_CFlex_Lookup[#Headers],0),FALSE),"")</f>
        <v>3LD2T8-1M40-q</v>
      </c>
      <c r="AM585" s="1" t="str">
        <f>_xlfn.IFNA(VLOOKUP(Master_Reference[[#This Row],[C-Flex 5000K 3W Part Number]],Lutron_CFlex_Lookup[],MATCH("Lutron Kit PN",Lutron_CFlex_Lookup[#Headers],0),FALSE),"")</f>
        <v>3LD2T8-1M50-q</v>
      </c>
      <c r="AN585" s="1" t="b">
        <f>NOT(ISNA(VLOOKUP(Master_Reference[[#This Row],[Model Number]],ObsoleteModels[],1,FALSE)))</f>
        <v>1</v>
      </c>
      <c r="AO585" s="1" t="str">
        <f>IF(LEFT(Master_Reference[[#This Row],[Model Number]],1)="U",LEFT(Master_Reference[[#This Row],[Model Number]],4),LEFT(Master_Reference[[#This Row],[Model Number]],3))</f>
        <v>FDB</v>
      </c>
    </row>
    <row r="586" spans="1:41" x14ac:dyDescent="0.25">
      <c r="A586" s="2" t="s">
        <v>867</v>
      </c>
      <c r="B586" s="1"/>
      <c r="C586" s="1" t="b">
        <v>1</v>
      </c>
      <c r="G586" s="1" t="str">
        <f>IF(OR(LEFT(RIGHT(Master_Reference[[#This Row],[Model Number]],3),1)="C",LEFT(RIGHT(Master_Reference[[#This Row],[Model Number]],4),1)="C"),TRUE,"")</f>
        <v/>
      </c>
      <c r="H586" s="1" t="str">
        <f>IF(LEFT(Master_Reference[[#This Row],[Model Number]],1)="U",TRUE,"")</f>
        <v/>
      </c>
      <c r="I586" s="1" t="b">
        <f>IF(Master_Reference[[#This Row],[Lamp Type]]="T4","",IF(Master_Reference[[#This Row],[Case Type]]="M","",TRUE))</f>
        <v>1</v>
      </c>
      <c r="J586" s="1" t="s">
        <v>111</v>
      </c>
      <c r="K586" s="1">
        <v>17</v>
      </c>
      <c r="L586" s="1" t="s">
        <v>112</v>
      </c>
      <c r="M586" s="1">
        <v>1</v>
      </c>
      <c r="N586" s="1">
        <v>120</v>
      </c>
      <c r="O586" s="1" t="s">
        <v>144</v>
      </c>
      <c r="Q586" s="1" t="s">
        <v>91</v>
      </c>
      <c r="R586" t="b">
        <f>IF(COUNTBLANK(Master_Reference[[#This Row],[C-Flex 3000K Eco Part Number]:[C-Flex 4000K Eco Part Number]])=3,FALSE,TRUE)</f>
        <v>0</v>
      </c>
      <c r="S586" t="b">
        <f>IF(COUNTBLANK(Master_Reference[[#This Row],[C-Flex 3000K 3W Part Number]:[C-Flex 4000K 3W Part Number]])=3,FALSE,TRUE)</f>
        <v>0</v>
      </c>
      <c r="T586" s="1" t="b">
        <f>IF(COUNTBLANK(Master_Reference[[#This Row],[Lutron 3000K Eco Part Number]:[Lutron 4000K Eco Part Number]])=3,FALSE,TRUE)</f>
        <v>0</v>
      </c>
      <c r="U586" s="1" t="b">
        <f>IF(COUNTBLANK(Master_Reference[[#This Row],[Lutron 3000K 3W Part Number]:[Lutron 4000K 3W Part Number]])=3,FALSE,TRUE)</f>
        <v>0</v>
      </c>
      <c r="V586" s="13"/>
      <c r="W586" s="13"/>
      <c r="X586" s="12"/>
      <c r="Y586" t="s">
        <v>2125</v>
      </c>
      <c r="Z586" s="12"/>
      <c r="AA586" s="12"/>
      <c r="AB586" s="12"/>
      <c r="AC586" t="s">
        <v>2125</v>
      </c>
      <c r="AD586" t="str">
        <f>SUBSTITUTE(Master_Reference[[#This Row],[C-Flex 4000K Eco Part Number]],"40-","xx-")</f>
        <v/>
      </c>
      <c r="AE586" t="str">
        <f>SUBSTITUTE(Master_Reference[[#This Row],[C-Flex 4000K 3W Part Number]],"40-","xx-")</f>
        <v/>
      </c>
      <c r="AF586" s="1" t="str">
        <f>_xlfn.IFNA(VLOOKUP(Master_Reference[[#This Row],[C-Flex 3000K Eco Part Number]],Lutron_CFlex_Lookup[],MATCH("Lutron Kit PN",Lutron_CFlex_Lookup[#Headers],0),FALSE),"")</f>
        <v/>
      </c>
      <c r="AG586" s="1" t="str">
        <f>_xlfn.IFNA(VLOOKUP(Master_Reference[[#This Row],[C-Flex 3500K Eco Part Number]],Lutron_CFlex_Lookup[],MATCH("Lutron Kit PN",Lutron_CFlex_Lookup[#Headers],0),FALSE),"")</f>
        <v/>
      </c>
      <c r="AH586" s="1" t="str">
        <f>_xlfn.IFNA(VLOOKUP(Master_Reference[[#This Row],[C-Flex 4000K Eco Part Number]],Lutron_CFlex_Lookup[],MATCH("Lutron Kit PN",Lutron_CFlex_Lookup[#Headers],0),FALSE),"")</f>
        <v/>
      </c>
      <c r="AI586" s="1" t="str">
        <f>_xlfn.IFNA(VLOOKUP(Master_Reference[[#This Row],[C-Flex 5000K Eco Part Number]],Lutron_CFlex_Lookup[],MATCH("Lutron Kit PN",Lutron_CFlex_Lookup[#Headers],0),FALSE),"")</f>
        <v/>
      </c>
      <c r="AJ586" s="1" t="str">
        <f>_xlfn.IFNA(VLOOKUP(Master_Reference[[#This Row],[C-Flex 3000K 3W Part Number]],Lutron_CFlex_Lookup[],MATCH("Lutron Kit PN",Lutron_CFlex_Lookup[#Headers],0),FALSE),"")</f>
        <v/>
      </c>
      <c r="AK586" s="1" t="str">
        <f>_xlfn.IFNA(VLOOKUP(Master_Reference[[#This Row],[C-Flex 3500K 3W Part Number]],Lutron_CFlex_Lookup[],MATCH("Lutron Kit PN",Lutron_CFlex_Lookup[#Headers],0),FALSE),"")</f>
        <v/>
      </c>
      <c r="AL586" s="1" t="str">
        <f>_xlfn.IFNA(VLOOKUP(Master_Reference[[#This Row],[C-Flex 4000K 3W Part Number]],Lutron_CFlex_Lookup[],MATCH("Lutron Kit PN",Lutron_CFlex_Lookup[#Headers],0),FALSE),"")</f>
        <v/>
      </c>
      <c r="AM586" s="1" t="str">
        <f>_xlfn.IFNA(VLOOKUP(Master_Reference[[#This Row],[C-Flex 5000K 3W Part Number]],Lutron_CFlex_Lookup[],MATCH("Lutron Kit PN",Lutron_CFlex_Lookup[#Headers],0),FALSE),"")</f>
        <v/>
      </c>
      <c r="AN586" s="1" t="b">
        <f>NOT(ISNA(VLOOKUP(Master_Reference[[#This Row],[Model Number]],ObsoleteModels[],1,FALSE)))</f>
        <v>1</v>
      </c>
      <c r="AO586" s="1" t="str">
        <f>IF(LEFT(Master_Reference[[#This Row],[Model Number]],1)="U",LEFT(Master_Reference[[#This Row],[Model Number]],4),LEFT(Master_Reference[[#This Row],[Model Number]],3))</f>
        <v>FDB</v>
      </c>
    </row>
    <row r="587" spans="1:41" x14ac:dyDescent="0.25">
      <c r="A587" s="2" t="s">
        <v>868</v>
      </c>
      <c r="B587" s="1"/>
      <c r="C587" s="1" t="b">
        <v>1</v>
      </c>
      <c r="G587" s="1" t="str">
        <f>IF(OR(LEFT(RIGHT(Master_Reference[[#This Row],[Model Number]],3),1)="C",LEFT(RIGHT(Master_Reference[[#This Row],[Model Number]],4),1)="C"),TRUE,"")</f>
        <v/>
      </c>
      <c r="H587" s="1" t="str">
        <f>IF(LEFT(Master_Reference[[#This Row],[Model Number]],1)="U",TRUE,"")</f>
        <v/>
      </c>
      <c r="I587" s="1" t="b">
        <f>IF(Master_Reference[[#This Row],[Lamp Type]]="T4","",IF(Master_Reference[[#This Row],[Case Type]]="M","",TRUE))</f>
        <v>1</v>
      </c>
      <c r="J587" s="1" t="s">
        <v>111</v>
      </c>
      <c r="K587" s="1">
        <v>17</v>
      </c>
      <c r="L587" s="1" t="s">
        <v>112</v>
      </c>
      <c r="M587" s="1">
        <v>2</v>
      </c>
      <c r="N587" s="1" t="str">
        <f>LEFT(RIGHT(A587,5),3)</f>
        <v>120</v>
      </c>
      <c r="O587" s="1" t="s">
        <v>144</v>
      </c>
      <c r="R587" t="b">
        <f>IF(COUNTBLANK(Master_Reference[[#This Row],[C-Flex 3000K Eco Part Number]:[C-Flex 4000K Eco Part Number]])=3,FALSE,TRUE)</f>
        <v>0</v>
      </c>
      <c r="S587" t="b">
        <f>IF(COUNTBLANK(Master_Reference[[#This Row],[C-Flex 3000K 3W Part Number]:[C-Flex 4000K 3W Part Number]])=3,FALSE,TRUE)</f>
        <v>1</v>
      </c>
      <c r="T587" t="b">
        <f>IF(COUNTBLANK(Master_Reference[[#This Row],[Lutron 3000K Eco Part Number]:[Lutron 4000K Eco Part Number]])=3,FALSE,TRUE)</f>
        <v>0</v>
      </c>
      <c r="U587" t="b">
        <f>IF(COUNTBLANK(Master_Reference[[#This Row],[Lutron 3000K 3W Part Number]:[Lutron 4000K 3W Part Number]])=3,FALSE,TRUE)</f>
        <v>1</v>
      </c>
      <c r="V587" s="12"/>
      <c r="W587" s="12"/>
      <c r="X587" s="12"/>
      <c r="Y587" t="s">
        <v>2125</v>
      </c>
      <c r="Z587" s="12" t="s">
        <v>244</v>
      </c>
      <c r="AA587" s="12" t="s">
        <v>245</v>
      </c>
      <c r="AB587" s="12" t="s">
        <v>246</v>
      </c>
      <c r="AC587" t="s">
        <v>1824</v>
      </c>
      <c r="AD587" t="str">
        <f>SUBSTITUTE(Master_Reference[[#This Row],[C-Flex 4000K Eco Part Number]],"40-","xx-")</f>
        <v/>
      </c>
      <c r="AE587" t="str">
        <f>SUBSTITUTE(Master_Reference[[#This Row],[C-Flex 4000K 3W Part Number]],"40-","xx-")</f>
        <v>RP-T8-2FT-2L-8xx-3W-M-G2</v>
      </c>
      <c r="AF587" s="1" t="str">
        <f>_xlfn.IFNA(VLOOKUP(Master_Reference[[#This Row],[C-Flex 3000K Eco Part Number]],Lutron_CFlex_Lookup[],MATCH("Lutron Kit PN",Lutron_CFlex_Lookup[#Headers],0),FALSE),"")</f>
        <v/>
      </c>
      <c r="AG587" s="1" t="str">
        <f>_xlfn.IFNA(VLOOKUP(Master_Reference[[#This Row],[C-Flex 3500K Eco Part Number]],Lutron_CFlex_Lookup[],MATCH("Lutron Kit PN",Lutron_CFlex_Lookup[#Headers],0),FALSE),"")</f>
        <v/>
      </c>
      <c r="AH587" s="1" t="str">
        <f>_xlfn.IFNA(VLOOKUP(Master_Reference[[#This Row],[C-Flex 4000K Eco Part Number]],Lutron_CFlex_Lookup[],MATCH("Lutron Kit PN",Lutron_CFlex_Lookup[#Headers],0),FALSE),"")</f>
        <v/>
      </c>
      <c r="AI587" s="1" t="str">
        <f>_xlfn.IFNA(VLOOKUP(Master_Reference[[#This Row],[C-Flex 5000K Eco Part Number]],Lutron_CFlex_Lookup[],MATCH("Lutron Kit PN",Lutron_CFlex_Lookup[#Headers],0),FALSE),"")</f>
        <v/>
      </c>
      <c r="AJ587" s="1" t="str">
        <f>_xlfn.IFNA(VLOOKUP(Master_Reference[[#This Row],[C-Flex 3000K 3W Part Number]],Lutron_CFlex_Lookup[],MATCH("Lutron Kit PN",Lutron_CFlex_Lookup[#Headers],0),FALSE),"")</f>
        <v>3LD2T8-2M30-q</v>
      </c>
      <c r="AK587" s="1" t="str">
        <f>_xlfn.IFNA(VLOOKUP(Master_Reference[[#This Row],[C-Flex 3500K 3W Part Number]],Lutron_CFlex_Lookup[],MATCH("Lutron Kit PN",Lutron_CFlex_Lookup[#Headers],0),FALSE),"")</f>
        <v>3LD2T8-2M35-q</v>
      </c>
      <c r="AL587" s="1" t="str">
        <f>_xlfn.IFNA(VLOOKUP(Master_Reference[[#This Row],[C-Flex 4000K 3W Part Number]],Lutron_CFlex_Lookup[],MATCH("Lutron Kit PN",Lutron_CFlex_Lookup[#Headers],0),FALSE),"")</f>
        <v>3LD2T8-2M40-q</v>
      </c>
      <c r="AM587" s="1" t="str">
        <f>_xlfn.IFNA(VLOOKUP(Master_Reference[[#This Row],[C-Flex 5000K 3W Part Number]],Lutron_CFlex_Lookup[],MATCH("Lutron Kit PN",Lutron_CFlex_Lookup[#Headers],0),FALSE),"")</f>
        <v>3LD2T8-2M50-q</v>
      </c>
      <c r="AN587" s="1" t="b">
        <f>NOT(ISNA(VLOOKUP(Master_Reference[[#This Row],[Model Number]],ObsoleteModels[],1,FALSE)))</f>
        <v>1</v>
      </c>
      <c r="AO587" s="1" t="str">
        <f>IF(LEFT(Master_Reference[[#This Row],[Model Number]],1)="U",LEFT(Master_Reference[[#This Row],[Model Number]],4),LEFT(Master_Reference[[#This Row],[Model Number]],3))</f>
        <v>FDB</v>
      </c>
    </row>
    <row r="588" spans="1:41" x14ac:dyDescent="0.25">
      <c r="A588" s="2" t="s">
        <v>869</v>
      </c>
      <c r="B588" s="1"/>
      <c r="C588" s="1" t="b">
        <v>1</v>
      </c>
      <c r="G588" s="1" t="str">
        <f>IF(OR(LEFT(RIGHT(Master_Reference[[#This Row],[Model Number]],3),1)="C",LEFT(RIGHT(Master_Reference[[#This Row],[Model Number]],4),1)="C"),TRUE,"")</f>
        <v/>
      </c>
      <c r="H588" s="1" t="str">
        <f>IF(LEFT(Master_Reference[[#This Row],[Model Number]],1)="U",TRUE,"")</f>
        <v/>
      </c>
      <c r="I588" s="1" t="b">
        <f>IF(Master_Reference[[#This Row],[Lamp Type]]="T4","",IF(Master_Reference[[#This Row],[Case Type]]="M","",TRUE))</f>
        <v>1</v>
      </c>
      <c r="J588" s="1" t="s">
        <v>111</v>
      </c>
      <c r="K588" s="1">
        <v>17</v>
      </c>
      <c r="L588" s="1" t="s">
        <v>112</v>
      </c>
      <c r="M588" s="1">
        <v>2</v>
      </c>
      <c r="N588" s="1">
        <v>120</v>
      </c>
      <c r="O588" s="1" t="s">
        <v>144</v>
      </c>
      <c r="Q588" s="1" t="s">
        <v>91</v>
      </c>
      <c r="R588" t="b">
        <f>IF(COUNTBLANK(Master_Reference[[#This Row],[C-Flex 3000K Eco Part Number]:[C-Flex 4000K Eco Part Number]])=3,FALSE,TRUE)</f>
        <v>0</v>
      </c>
      <c r="S588" t="b">
        <f>IF(COUNTBLANK(Master_Reference[[#This Row],[C-Flex 3000K 3W Part Number]:[C-Flex 4000K 3W Part Number]])=3,FALSE,TRUE)</f>
        <v>0</v>
      </c>
      <c r="T588" t="b">
        <f>IF(COUNTBLANK(Master_Reference[[#This Row],[Lutron 3000K Eco Part Number]:[Lutron 4000K Eco Part Number]])=3,FALSE,TRUE)</f>
        <v>0</v>
      </c>
      <c r="U588" t="b">
        <f>IF(COUNTBLANK(Master_Reference[[#This Row],[Lutron 3000K 3W Part Number]:[Lutron 4000K 3W Part Number]])=3,FALSE,TRUE)</f>
        <v>0</v>
      </c>
      <c r="V588" s="12"/>
      <c r="W588" s="12"/>
      <c r="X588" s="12"/>
      <c r="Y588" t="s">
        <v>2125</v>
      </c>
      <c r="Z588" s="12"/>
      <c r="AA588" s="12"/>
      <c r="AB588" s="12"/>
      <c r="AC588" t="s">
        <v>2125</v>
      </c>
      <c r="AD588" t="str">
        <f>SUBSTITUTE(Master_Reference[[#This Row],[C-Flex 4000K Eco Part Number]],"40-","xx-")</f>
        <v/>
      </c>
      <c r="AE588" t="str">
        <f>SUBSTITUTE(Master_Reference[[#This Row],[C-Flex 4000K 3W Part Number]],"40-","xx-")</f>
        <v/>
      </c>
      <c r="AF588" s="1" t="str">
        <f>_xlfn.IFNA(VLOOKUP(Master_Reference[[#This Row],[C-Flex 3000K Eco Part Number]],Lutron_CFlex_Lookup[],MATCH("Lutron Kit PN",Lutron_CFlex_Lookup[#Headers],0),FALSE),"")</f>
        <v/>
      </c>
      <c r="AG588" s="1" t="str">
        <f>_xlfn.IFNA(VLOOKUP(Master_Reference[[#This Row],[C-Flex 3500K Eco Part Number]],Lutron_CFlex_Lookup[],MATCH("Lutron Kit PN",Lutron_CFlex_Lookup[#Headers],0),FALSE),"")</f>
        <v/>
      </c>
      <c r="AH588" s="1" t="str">
        <f>_xlfn.IFNA(VLOOKUP(Master_Reference[[#This Row],[C-Flex 4000K Eco Part Number]],Lutron_CFlex_Lookup[],MATCH("Lutron Kit PN",Lutron_CFlex_Lookup[#Headers],0),FALSE),"")</f>
        <v/>
      </c>
      <c r="AI588" s="1" t="str">
        <f>_xlfn.IFNA(VLOOKUP(Master_Reference[[#This Row],[C-Flex 5000K Eco Part Number]],Lutron_CFlex_Lookup[],MATCH("Lutron Kit PN",Lutron_CFlex_Lookup[#Headers],0),FALSE),"")</f>
        <v/>
      </c>
      <c r="AJ588" s="1" t="str">
        <f>_xlfn.IFNA(VLOOKUP(Master_Reference[[#This Row],[C-Flex 3000K 3W Part Number]],Lutron_CFlex_Lookup[],MATCH("Lutron Kit PN",Lutron_CFlex_Lookup[#Headers],0),FALSE),"")</f>
        <v/>
      </c>
      <c r="AK588" s="1" t="str">
        <f>_xlfn.IFNA(VLOOKUP(Master_Reference[[#This Row],[C-Flex 3500K 3W Part Number]],Lutron_CFlex_Lookup[],MATCH("Lutron Kit PN",Lutron_CFlex_Lookup[#Headers],0),FALSE),"")</f>
        <v/>
      </c>
      <c r="AL588" s="1" t="str">
        <f>_xlfn.IFNA(VLOOKUP(Master_Reference[[#This Row],[C-Flex 4000K 3W Part Number]],Lutron_CFlex_Lookup[],MATCH("Lutron Kit PN",Lutron_CFlex_Lookup[#Headers],0),FALSE),"")</f>
        <v/>
      </c>
      <c r="AM588" s="1" t="str">
        <f>_xlfn.IFNA(VLOOKUP(Master_Reference[[#This Row],[C-Flex 5000K 3W Part Number]],Lutron_CFlex_Lookup[],MATCH("Lutron Kit PN",Lutron_CFlex_Lookup[#Headers],0),FALSE),"")</f>
        <v/>
      </c>
      <c r="AN588" s="1" t="b">
        <f>NOT(ISNA(VLOOKUP(Master_Reference[[#This Row],[Model Number]],ObsoleteModels[],1,FALSE)))</f>
        <v>1</v>
      </c>
      <c r="AO588" s="1" t="str">
        <f>IF(LEFT(Master_Reference[[#This Row],[Model Number]],1)="U",LEFT(Master_Reference[[#This Row],[Model Number]],4),LEFT(Master_Reference[[#This Row],[Model Number]],3))</f>
        <v>FDB</v>
      </c>
    </row>
    <row r="589" spans="1:41" x14ac:dyDescent="0.25">
      <c r="A589" s="2" t="s">
        <v>870</v>
      </c>
      <c r="B589" s="1"/>
      <c r="C589" s="1" t="b">
        <v>1</v>
      </c>
      <c r="G589" s="1" t="str">
        <f>IF(OR(LEFT(RIGHT(Master_Reference[[#This Row],[Model Number]],3),1)="C",LEFT(RIGHT(Master_Reference[[#This Row],[Model Number]],4),1)="C"),TRUE,"")</f>
        <v/>
      </c>
      <c r="H589" s="1" t="str">
        <f>IF(LEFT(Master_Reference[[#This Row],[Model Number]],1)="U",TRUE,"")</f>
        <v/>
      </c>
      <c r="I589" s="1" t="b">
        <f>IF(Master_Reference[[#This Row],[Lamp Type]]="T4","",IF(Master_Reference[[#This Row],[Case Type]]="M","",TRUE))</f>
        <v>1</v>
      </c>
      <c r="J589" s="1" t="s">
        <v>111</v>
      </c>
      <c r="K589" s="1">
        <v>17</v>
      </c>
      <c r="L589" s="1" t="s">
        <v>112</v>
      </c>
      <c r="M589" s="1">
        <v>3</v>
      </c>
      <c r="N589" s="1" t="str">
        <f>LEFT(RIGHT(A589,5),3)</f>
        <v>120</v>
      </c>
      <c r="O589" s="1" t="s">
        <v>144</v>
      </c>
      <c r="R589" t="b">
        <f>IF(COUNTBLANK(Master_Reference[[#This Row],[C-Flex 3000K Eco Part Number]:[C-Flex 4000K Eco Part Number]])=3,FALSE,TRUE)</f>
        <v>0</v>
      </c>
      <c r="S589" t="b">
        <f>IF(COUNTBLANK(Master_Reference[[#This Row],[C-Flex 3000K 3W Part Number]:[C-Flex 4000K 3W Part Number]])=3,FALSE,TRUE)</f>
        <v>1</v>
      </c>
      <c r="T589" t="b">
        <f>IF(COUNTBLANK(Master_Reference[[#This Row],[Lutron 3000K Eco Part Number]:[Lutron 4000K Eco Part Number]])=3,FALSE,TRUE)</f>
        <v>0</v>
      </c>
      <c r="U589" t="b">
        <f>IF(COUNTBLANK(Master_Reference[[#This Row],[Lutron 3000K 3W Part Number]:[Lutron 4000K 3W Part Number]])=3,FALSE,TRUE)</f>
        <v>1</v>
      </c>
      <c r="V589" s="12"/>
      <c r="W589" s="12"/>
      <c r="X589" s="12"/>
      <c r="Y589" t="s">
        <v>2125</v>
      </c>
      <c r="Z589" s="12" t="s">
        <v>251</v>
      </c>
      <c r="AA589" s="12" t="s">
        <v>252</v>
      </c>
      <c r="AB589" s="12" t="s">
        <v>253</v>
      </c>
      <c r="AC589" t="s">
        <v>1825</v>
      </c>
      <c r="AD589" t="str">
        <f>SUBSTITUTE(Master_Reference[[#This Row],[C-Flex 4000K Eco Part Number]],"40-","xx-")</f>
        <v/>
      </c>
      <c r="AE589" t="str">
        <f>SUBSTITUTE(Master_Reference[[#This Row],[C-Flex 4000K 3W Part Number]],"40-","xx-")</f>
        <v>RP-T8-2FT-3L-8xx-3W-M-G2</v>
      </c>
      <c r="AF589" s="1" t="str">
        <f>_xlfn.IFNA(VLOOKUP(Master_Reference[[#This Row],[C-Flex 3000K Eco Part Number]],Lutron_CFlex_Lookup[],MATCH("Lutron Kit PN",Lutron_CFlex_Lookup[#Headers],0),FALSE),"")</f>
        <v/>
      </c>
      <c r="AG589" s="1" t="str">
        <f>_xlfn.IFNA(VLOOKUP(Master_Reference[[#This Row],[C-Flex 3500K Eco Part Number]],Lutron_CFlex_Lookup[],MATCH("Lutron Kit PN",Lutron_CFlex_Lookup[#Headers],0),FALSE),"")</f>
        <v/>
      </c>
      <c r="AH589" s="1" t="str">
        <f>_xlfn.IFNA(VLOOKUP(Master_Reference[[#This Row],[C-Flex 4000K Eco Part Number]],Lutron_CFlex_Lookup[],MATCH("Lutron Kit PN",Lutron_CFlex_Lookup[#Headers],0),FALSE),"")</f>
        <v/>
      </c>
      <c r="AI589" s="1" t="str">
        <f>_xlfn.IFNA(VLOOKUP(Master_Reference[[#This Row],[C-Flex 5000K Eco Part Number]],Lutron_CFlex_Lookup[],MATCH("Lutron Kit PN",Lutron_CFlex_Lookup[#Headers],0),FALSE),"")</f>
        <v/>
      </c>
      <c r="AJ589" s="1" t="str">
        <f>_xlfn.IFNA(VLOOKUP(Master_Reference[[#This Row],[C-Flex 3000K 3W Part Number]],Lutron_CFlex_Lookup[],MATCH("Lutron Kit PN",Lutron_CFlex_Lookup[#Headers],0),FALSE),"")</f>
        <v>3LD2T8-3M30-q</v>
      </c>
      <c r="AK589" s="1" t="str">
        <f>_xlfn.IFNA(VLOOKUP(Master_Reference[[#This Row],[C-Flex 3500K 3W Part Number]],Lutron_CFlex_Lookup[],MATCH("Lutron Kit PN",Lutron_CFlex_Lookup[#Headers],0),FALSE),"")</f>
        <v>3LD2T8-3M35-q</v>
      </c>
      <c r="AL589" s="1" t="str">
        <f>_xlfn.IFNA(VLOOKUP(Master_Reference[[#This Row],[C-Flex 4000K 3W Part Number]],Lutron_CFlex_Lookup[],MATCH("Lutron Kit PN",Lutron_CFlex_Lookup[#Headers],0),FALSE),"")</f>
        <v>3LD2T8-3M40-q</v>
      </c>
      <c r="AM589" s="1" t="str">
        <f>_xlfn.IFNA(VLOOKUP(Master_Reference[[#This Row],[C-Flex 5000K 3W Part Number]],Lutron_CFlex_Lookup[],MATCH("Lutron Kit PN",Lutron_CFlex_Lookup[#Headers],0),FALSE),"")</f>
        <v>3LD2T8-3M50-q</v>
      </c>
      <c r="AN589" s="1" t="b">
        <f>NOT(ISNA(VLOOKUP(Master_Reference[[#This Row],[Model Number]],ObsoleteModels[],1,FALSE)))</f>
        <v>1</v>
      </c>
      <c r="AO589" s="1" t="str">
        <f>IF(LEFT(Master_Reference[[#This Row],[Model Number]],1)="U",LEFT(Master_Reference[[#This Row],[Model Number]],4),LEFT(Master_Reference[[#This Row],[Model Number]],3))</f>
        <v>FDB</v>
      </c>
    </row>
    <row r="590" spans="1:41" x14ac:dyDescent="0.25">
      <c r="A590" s="2" t="s">
        <v>871</v>
      </c>
      <c r="B590" s="1"/>
      <c r="C590" s="1" t="b">
        <v>1</v>
      </c>
      <c r="G590" s="1" t="str">
        <f>IF(OR(LEFT(RIGHT(Master_Reference[[#This Row],[Model Number]],3),1)="C",LEFT(RIGHT(Master_Reference[[#This Row],[Model Number]],4),1)="C"),TRUE,"")</f>
        <v/>
      </c>
      <c r="H590" s="1" t="str">
        <f>IF(LEFT(Master_Reference[[#This Row],[Model Number]],1)="U",TRUE,"")</f>
        <v/>
      </c>
      <c r="I590" s="1" t="b">
        <f>IF(Master_Reference[[#This Row],[Lamp Type]]="T4","",IF(Master_Reference[[#This Row],[Case Type]]="M","",TRUE))</f>
        <v>1</v>
      </c>
      <c r="J590" s="1" t="s">
        <v>111</v>
      </c>
      <c r="K590" s="1">
        <v>17</v>
      </c>
      <c r="L590" s="1" t="s">
        <v>112</v>
      </c>
      <c r="M590" s="1">
        <v>1</v>
      </c>
      <c r="N590" s="1" t="str">
        <f>LEFT(RIGHT(A590,5),3)</f>
        <v>277</v>
      </c>
      <c r="O590" s="1" t="s">
        <v>144</v>
      </c>
      <c r="R590" t="b">
        <f>IF(COUNTBLANK(Master_Reference[[#This Row],[C-Flex 3000K Eco Part Number]:[C-Flex 4000K Eco Part Number]])=3,FALSE,TRUE)</f>
        <v>0</v>
      </c>
      <c r="S590" t="b">
        <f>IF(COUNTBLANK(Master_Reference[[#This Row],[C-Flex 3000K 3W Part Number]:[C-Flex 4000K 3W Part Number]])=3,FALSE,TRUE)</f>
        <v>1</v>
      </c>
      <c r="T590" t="b">
        <f>IF(COUNTBLANK(Master_Reference[[#This Row],[Lutron 3000K Eco Part Number]:[Lutron 4000K Eco Part Number]])=3,FALSE,TRUE)</f>
        <v>0</v>
      </c>
      <c r="U590" t="b">
        <f>IF(COUNTBLANK(Master_Reference[[#This Row],[Lutron 3000K 3W Part Number]:[Lutron 4000K 3W Part Number]])=3,FALSE,TRUE)</f>
        <v>1</v>
      </c>
      <c r="V590" s="12"/>
      <c r="W590" s="12"/>
      <c r="X590" s="12"/>
      <c r="Y590" t="s">
        <v>2125</v>
      </c>
      <c r="Z590" s="12" t="s">
        <v>240</v>
      </c>
      <c r="AA590" s="12" t="s">
        <v>241</v>
      </c>
      <c r="AB590" s="12" t="s">
        <v>242</v>
      </c>
      <c r="AC590" t="s">
        <v>1823</v>
      </c>
      <c r="AD590" t="str">
        <f>SUBSTITUTE(Master_Reference[[#This Row],[C-Flex 4000K Eco Part Number]],"40-","xx-")</f>
        <v/>
      </c>
      <c r="AE590" t="str">
        <f>SUBSTITUTE(Master_Reference[[#This Row],[C-Flex 4000K 3W Part Number]],"40-","xx-")</f>
        <v>RP-T8-2FT-1L-8xx-3W-M-G2</v>
      </c>
      <c r="AF590" s="1" t="str">
        <f>_xlfn.IFNA(VLOOKUP(Master_Reference[[#This Row],[C-Flex 3000K Eco Part Number]],Lutron_CFlex_Lookup[],MATCH("Lutron Kit PN",Lutron_CFlex_Lookup[#Headers],0),FALSE),"")</f>
        <v/>
      </c>
      <c r="AG590" s="1" t="str">
        <f>_xlfn.IFNA(VLOOKUP(Master_Reference[[#This Row],[C-Flex 3500K Eco Part Number]],Lutron_CFlex_Lookup[],MATCH("Lutron Kit PN",Lutron_CFlex_Lookup[#Headers],0),FALSE),"")</f>
        <v/>
      </c>
      <c r="AH590" s="1" t="str">
        <f>_xlfn.IFNA(VLOOKUP(Master_Reference[[#This Row],[C-Flex 4000K Eco Part Number]],Lutron_CFlex_Lookup[],MATCH("Lutron Kit PN",Lutron_CFlex_Lookup[#Headers],0),FALSE),"")</f>
        <v/>
      </c>
      <c r="AI590" s="1" t="str">
        <f>_xlfn.IFNA(VLOOKUP(Master_Reference[[#This Row],[C-Flex 5000K Eco Part Number]],Lutron_CFlex_Lookup[],MATCH("Lutron Kit PN",Lutron_CFlex_Lookup[#Headers],0),FALSE),"")</f>
        <v/>
      </c>
      <c r="AJ590" s="1" t="str">
        <f>_xlfn.IFNA(VLOOKUP(Master_Reference[[#This Row],[C-Flex 3000K 3W Part Number]],Lutron_CFlex_Lookup[],MATCH("Lutron Kit PN",Lutron_CFlex_Lookup[#Headers],0),FALSE),"")</f>
        <v>3LD2T8-1M30-q</v>
      </c>
      <c r="AK590" s="1" t="str">
        <f>_xlfn.IFNA(VLOOKUP(Master_Reference[[#This Row],[C-Flex 3500K 3W Part Number]],Lutron_CFlex_Lookup[],MATCH("Lutron Kit PN",Lutron_CFlex_Lookup[#Headers],0),FALSE),"")</f>
        <v>3LD2T8-1M35-q</v>
      </c>
      <c r="AL590" s="1" t="str">
        <f>_xlfn.IFNA(VLOOKUP(Master_Reference[[#This Row],[C-Flex 4000K 3W Part Number]],Lutron_CFlex_Lookup[],MATCH("Lutron Kit PN",Lutron_CFlex_Lookup[#Headers],0),FALSE),"")</f>
        <v>3LD2T8-1M40-q</v>
      </c>
      <c r="AM590" s="1" t="str">
        <f>_xlfn.IFNA(VLOOKUP(Master_Reference[[#This Row],[C-Flex 5000K 3W Part Number]],Lutron_CFlex_Lookup[],MATCH("Lutron Kit PN",Lutron_CFlex_Lookup[#Headers],0),FALSE),"")</f>
        <v>3LD2T8-1M50-q</v>
      </c>
      <c r="AN590" s="1" t="b">
        <f>NOT(ISNA(VLOOKUP(Master_Reference[[#This Row],[Model Number]],ObsoleteModels[],1,FALSE)))</f>
        <v>1</v>
      </c>
      <c r="AO590" s="1" t="str">
        <f>IF(LEFT(Master_Reference[[#This Row],[Model Number]],1)="U",LEFT(Master_Reference[[#This Row],[Model Number]],4),LEFT(Master_Reference[[#This Row],[Model Number]],3))</f>
        <v>FDB</v>
      </c>
    </row>
    <row r="591" spans="1:41" x14ac:dyDescent="0.25">
      <c r="A591" s="2" t="s">
        <v>872</v>
      </c>
      <c r="B591" s="1"/>
      <c r="C591" s="1" t="b">
        <v>1</v>
      </c>
      <c r="G591" s="1" t="str">
        <f>IF(OR(LEFT(RIGHT(Master_Reference[[#This Row],[Model Number]],3),1)="C",LEFT(RIGHT(Master_Reference[[#This Row],[Model Number]],4),1)="C"),TRUE,"")</f>
        <v/>
      </c>
      <c r="H591" s="1" t="str">
        <f>IF(LEFT(Master_Reference[[#This Row],[Model Number]],1)="U",TRUE,"")</f>
        <v/>
      </c>
      <c r="I591" s="1" t="b">
        <f>IF(Master_Reference[[#This Row],[Lamp Type]]="T4","",IF(Master_Reference[[#This Row],[Case Type]]="M","",TRUE))</f>
        <v>1</v>
      </c>
      <c r="J591" s="1" t="s">
        <v>111</v>
      </c>
      <c r="K591" s="1">
        <v>17</v>
      </c>
      <c r="L591" s="1" t="s">
        <v>112</v>
      </c>
      <c r="M591" s="1">
        <v>2</v>
      </c>
      <c r="N591" s="1" t="str">
        <f>LEFT(RIGHT(A591,5),3)</f>
        <v>277</v>
      </c>
      <c r="O591" s="1" t="s">
        <v>144</v>
      </c>
      <c r="R591" t="b">
        <f>IF(COUNTBLANK(Master_Reference[[#This Row],[C-Flex 3000K Eco Part Number]:[C-Flex 4000K Eco Part Number]])=3,FALSE,TRUE)</f>
        <v>0</v>
      </c>
      <c r="S591" t="b">
        <f>IF(COUNTBLANK(Master_Reference[[#This Row],[C-Flex 3000K 3W Part Number]:[C-Flex 4000K 3W Part Number]])=3,FALSE,TRUE)</f>
        <v>1</v>
      </c>
      <c r="T591" t="b">
        <f>IF(COUNTBLANK(Master_Reference[[#This Row],[Lutron 3000K Eco Part Number]:[Lutron 4000K Eco Part Number]])=3,FALSE,TRUE)</f>
        <v>0</v>
      </c>
      <c r="U591" t="b">
        <f>IF(COUNTBLANK(Master_Reference[[#This Row],[Lutron 3000K 3W Part Number]:[Lutron 4000K 3W Part Number]])=3,FALSE,TRUE)</f>
        <v>1</v>
      </c>
      <c r="V591" s="12"/>
      <c r="W591" s="12"/>
      <c r="X591" s="12"/>
      <c r="Y591" t="s">
        <v>2125</v>
      </c>
      <c r="Z591" s="12" t="s">
        <v>244</v>
      </c>
      <c r="AA591" s="12" t="s">
        <v>245</v>
      </c>
      <c r="AB591" s="12" t="s">
        <v>246</v>
      </c>
      <c r="AC591" t="s">
        <v>1824</v>
      </c>
      <c r="AD591" t="str">
        <f>SUBSTITUTE(Master_Reference[[#This Row],[C-Flex 4000K Eco Part Number]],"40-","xx-")</f>
        <v/>
      </c>
      <c r="AE591" t="str">
        <f>SUBSTITUTE(Master_Reference[[#This Row],[C-Flex 4000K 3W Part Number]],"40-","xx-")</f>
        <v>RP-T8-2FT-2L-8xx-3W-M-G2</v>
      </c>
      <c r="AF591" s="1" t="str">
        <f>_xlfn.IFNA(VLOOKUP(Master_Reference[[#This Row],[C-Flex 3000K Eco Part Number]],Lutron_CFlex_Lookup[],MATCH("Lutron Kit PN",Lutron_CFlex_Lookup[#Headers],0),FALSE),"")</f>
        <v/>
      </c>
      <c r="AG591" s="1" t="str">
        <f>_xlfn.IFNA(VLOOKUP(Master_Reference[[#This Row],[C-Flex 3500K Eco Part Number]],Lutron_CFlex_Lookup[],MATCH("Lutron Kit PN",Lutron_CFlex_Lookup[#Headers],0),FALSE),"")</f>
        <v/>
      </c>
      <c r="AH591" s="1" t="str">
        <f>_xlfn.IFNA(VLOOKUP(Master_Reference[[#This Row],[C-Flex 4000K Eco Part Number]],Lutron_CFlex_Lookup[],MATCH("Lutron Kit PN",Lutron_CFlex_Lookup[#Headers],0),FALSE),"")</f>
        <v/>
      </c>
      <c r="AI591" s="1" t="str">
        <f>_xlfn.IFNA(VLOOKUP(Master_Reference[[#This Row],[C-Flex 5000K Eco Part Number]],Lutron_CFlex_Lookup[],MATCH("Lutron Kit PN",Lutron_CFlex_Lookup[#Headers],0),FALSE),"")</f>
        <v/>
      </c>
      <c r="AJ591" s="1" t="str">
        <f>_xlfn.IFNA(VLOOKUP(Master_Reference[[#This Row],[C-Flex 3000K 3W Part Number]],Lutron_CFlex_Lookup[],MATCH("Lutron Kit PN",Lutron_CFlex_Lookup[#Headers],0),FALSE),"")</f>
        <v>3LD2T8-2M30-q</v>
      </c>
      <c r="AK591" s="1" t="str">
        <f>_xlfn.IFNA(VLOOKUP(Master_Reference[[#This Row],[C-Flex 3500K 3W Part Number]],Lutron_CFlex_Lookup[],MATCH("Lutron Kit PN",Lutron_CFlex_Lookup[#Headers],0),FALSE),"")</f>
        <v>3LD2T8-2M35-q</v>
      </c>
      <c r="AL591" s="1" t="str">
        <f>_xlfn.IFNA(VLOOKUP(Master_Reference[[#This Row],[C-Flex 4000K 3W Part Number]],Lutron_CFlex_Lookup[],MATCH("Lutron Kit PN",Lutron_CFlex_Lookup[#Headers],0),FALSE),"")</f>
        <v>3LD2T8-2M40-q</v>
      </c>
      <c r="AM591" s="1" t="str">
        <f>_xlfn.IFNA(VLOOKUP(Master_Reference[[#This Row],[C-Flex 5000K 3W Part Number]],Lutron_CFlex_Lookup[],MATCH("Lutron Kit PN",Lutron_CFlex_Lookup[#Headers],0),FALSE),"")</f>
        <v>3LD2T8-2M50-q</v>
      </c>
      <c r="AN591" s="1" t="b">
        <f>NOT(ISNA(VLOOKUP(Master_Reference[[#This Row],[Model Number]],ObsoleteModels[],1,FALSE)))</f>
        <v>1</v>
      </c>
      <c r="AO591" s="1" t="str">
        <f>IF(LEFT(Master_Reference[[#This Row],[Model Number]],1)="U",LEFT(Master_Reference[[#This Row],[Model Number]],4),LEFT(Master_Reference[[#This Row],[Model Number]],3))</f>
        <v>FDB</v>
      </c>
    </row>
    <row r="592" spans="1:41" x14ac:dyDescent="0.25">
      <c r="A592" s="2" t="s">
        <v>873</v>
      </c>
      <c r="B592" s="1"/>
      <c r="C592" s="1" t="b">
        <v>1</v>
      </c>
      <c r="G592" s="1" t="str">
        <f>IF(OR(LEFT(RIGHT(Master_Reference[[#This Row],[Model Number]],3),1)="C",LEFT(RIGHT(Master_Reference[[#This Row],[Model Number]],4),1)="C"),TRUE,"")</f>
        <v/>
      </c>
      <c r="H592" s="1" t="str">
        <f>IF(LEFT(Master_Reference[[#This Row],[Model Number]],1)="U",TRUE,"")</f>
        <v/>
      </c>
      <c r="I592" s="1" t="b">
        <f>IF(Master_Reference[[#This Row],[Lamp Type]]="T4","",IF(Master_Reference[[#This Row],[Case Type]]="M","",TRUE))</f>
        <v>1</v>
      </c>
      <c r="J592" s="1" t="s">
        <v>111</v>
      </c>
      <c r="K592" s="1">
        <v>17</v>
      </c>
      <c r="L592" s="1" t="s">
        <v>112</v>
      </c>
      <c r="M592" s="1">
        <v>3</v>
      </c>
      <c r="N592" s="1" t="str">
        <f>LEFT(RIGHT(A592,5),3)</f>
        <v>277</v>
      </c>
      <c r="O592" s="1" t="s">
        <v>144</v>
      </c>
      <c r="R592" t="b">
        <f>IF(COUNTBLANK(Master_Reference[[#This Row],[C-Flex 3000K Eco Part Number]:[C-Flex 4000K Eco Part Number]])=3,FALSE,TRUE)</f>
        <v>0</v>
      </c>
      <c r="S592" t="b">
        <f>IF(COUNTBLANK(Master_Reference[[#This Row],[C-Flex 3000K 3W Part Number]:[C-Flex 4000K 3W Part Number]])=3,FALSE,TRUE)</f>
        <v>1</v>
      </c>
      <c r="T592" t="b">
        <f>IF(COUNTBLANK(Master_Reference[[#This Row],[Lutron 3000K Eco Part Number]:[Lutron 4000K Eco Part Number]])=3,FALSE,TRUE)</f>
        <v>0</v>
      </c>
      <c r="U592" t="b">
        <f>IF(COUNTBLANK(Master_Reference[[#This Row],[Lutron 3000K 3W Part Number]:[Lutron 4000K 3W Part Number]])=3,FALSE,TRUE)</f>
        <v>1</v>
      </c>
      <c r="V592" s="12"/>
      <c r="W592" s="12"/>
      <c r="X592" s="12"/>
      <c r="Y592" t="s">
        <v>2125</v>
      </c>
      <c r="Z592" s="12" t="s">
        <v>251</v>
      </c>
      <c r="AA592" s="12" t="s">
        <v>252</v>
      </c>
      <c r="AB592" s="12" t="s">
        <v>253</v>
      </c>
      <c r="AC592" t="s">
        <v>1825</v>
      </c>
      <c r="AD592" t="str">
        <f>SUBSTITUTE(Master_Reference[[#This Row],[C-Flex 4000K Eco Part Number]],"40-","xx-")</f>
        <v/>
      </c>
      <c r="AE592" t="str">
        <f>SUBSTITUTE(Master_Reference[[#This Row],[C-Flex 4000K 3W Part Number]],"40-","xx-")</f>
        <v>RP-T8-2FT-3L-8xx-3W-M-G2</v>
      </c>
      <c r="AF592" s="1" t="str">
        <f>_xlfn.IFNA(VLOOKUP(Master_Reference[[#This Row],[C-Flex 3000K Eco Part Number]],Lutron_CFlex_Lookup[],MATCH("Lutron Kit PN",Lutron_CFlex_Lookup[#Headers],0),FALSE),"")</f>
        <v/>
      </c>
      <c r="AG592" s="1" t="str">
        <f>_xlfn.IFNA(VLOOKUP(Master_Reference[[#This Row],[C-Flex 3500K Eco Part Number]],Lutron_CFlex_Lookup[],MATCH("Lutron Kit PN",Lutron_CFlex_Lookup[#Headers],0),FALSE),"")</f>
        <v/>
      </c>
      <c r="AH592" s="1" t="str">
        <f>_xlfn.IFNA(VLOOKUP(Master_Reference[[#This Row],[C-Flex 4000K Eco Part Number]],Lutron_CFlex_Lookup[],MATCH("Lutron Kit PN",Lutron_CFlex_Lookup[#Headers],0),FALSE),"")</f>
        <v/>
      </c>
      <c r="AI592" s="1" t="str">
        <f>_xlfn.IFNA(VLOOKUP(Master_Reference[[#This Row],[C-Flex 5000K Eco Part Number]],Lutron_CFlex_Lookup[],MATCH("Lutron Kit PN",Lutron_CFlex_Lookup[#Headers],0),FALSE),"")</f>
        <v/>
      </c>
      <c r="AJ592" s="1" t="str">
        <f>_xlfn.IFNA(VLOOKUP(Master_Reference[[#This Row],[C-Flex 3000K 3W Part Number]],Lutron_CFlex_Lookup[],MATCH("Lutron Kit PN",Lutron_CFlex_Lookup[#Headers],0),FALSE),"")</f>
        <v>3LD2T8-3M30-q</v>
      </c>
      <c r="AK592" s="1" t="str">
        <f>_xlfn.IFNA(VLOOKUP(Master_Reference[[#This Row],[C-Flex 3500K 3W Part Number]],Lutron_CFlex_Lookup[],MATCH("Lutron Kit PN",Lutron_CFlex_Lookup[#Headers],0),FALSE),"")</f>
        <v>3LD2T8-3M35-q</v>
      </c>
      <c r="AL592" s="1" t="str">
        <f>_xlfn.IFNA(VLOOKUP(Master_Reference[[#This Row],[C-Flex 4000K 3W Part Number]],Lutron_CFlex_Lookup[],MATCH("Lutron Kit PN",Lutron_CFlex_Lookup[#Headers],0),FALSE),"")</f>
        <v>3LD2T8-3M40-q</v>
      </c>
      <c r="AM592" s="1" t="str">
        <f>_xlfn.IFNA(VLOOKUP(Master_Reference[[#This Row],[C-Flex 5000K 3W Part Number]],Lutron_CFlex_Lookup[],MATCH("Lutron Kit PN",Lutron_CFlex_Lookup[#Headers],0),FALSE),"")</f>
        <v>3LD2T8-3M50-q</v>
      </c>
      <c r="AN592" s="1" t="b">
        <f>NOT(ISNA(VLOOKUP(Master_Reference[[#This Row],[Model Number]],ObsoleteModels[],1,FALSE)))</f>
        <v>1</v>
      </c>
      <c r="AO592" s="1" t="str">
        <f>IF(LEFT(Master_Reference[[#This Row],[Model Number]],1)="U",LEFT(Master_Reference[[#This Row],[Model Number]],4),LEFT(Master_Reference[[#This Row],[Model Number]],3))</f>
        <v>FDB</v>
      </c>
    </row>
    <row r="593" spans="1:41" x14ac:dyDescent="0.25">
      <c r="A593" s="2" t="s">
        <v>874</v>
      </c>
      <c r="B593" s="1"/>
      <c r="C593" s="1" t="b">
        <v>1</v>
      </c>
      <c r="G593" s="1" t="str">
        <f>IF(OR(LEFT(RIGHT(Master_Reference[[#This Row],[Model Number]],3),1)="C",LEFT(RIGHT(Master_Reference[[#This Row],[Model Number]],4),1)="C"),TRUE,"")</f>
        <v/>
      </c>
      <c r="H593" s="1" t="str">
        <f>IF(LEFT(Master_Reference[[#This Row],[Model Number]],1)="U",TRUE,"")</f>
        <v/>
      </c>
      <c r="I593" s="1" t="b">
        <f>IF(Master_Reference[[#This Row],[Lamp Type]]="T4","",IF(Master_Reference[[#This Row],[Case Type]]="M","",TRUE))</f>
        <v>1</v>
      </c>
      <c r="J593" s="1" t="s">
        <v>111</v>
      </c>
      <c r="K593" s="1">
        <v>25</v>
      </c>
      <c r="L593" s="1" t="s">
        <v>115</v>
      </c>
      <c r="M593" s="1">
        <v>1</v>
      </c>
      <c r="N593" s="1" t="str">
        <f>LEFT(RIGHT(A593,5),3)</f>
        <v>120</v>
      </c>
      <c r="O593" s="1" t="s">
        <v>144</v>
      </c>
      <c r="R593" t="b">
        <f>IF(COUNTBLANK(Master_Reference[[#This Row],[C-Flex 3000K Eco Part Number]:[C-Flex 4000K Eco Part Number]])=3,FALSE,TRUE)</f>
        <v>0</v>
      </c>
      <c r="S593" t="b">
        <f>IF(COUNTBLANK(Master_Reference[[#This Row],[C-Flex 3000K 3W Part Number]:[C-Flex 4000K 3W Part Number]])=3,FALSE,TRUE)</f>
        <v>1</v>
      </c>
      <c r="T593" t="b">
        <f>IF(COUNTBLANK(Master_Reference[[#This Row],[Lutron 3000K Eco Part Number]:[Lutron 4000K Eco Part Number]])=3,FALSE,TRUE)</f>
        <v>0</v>
      </c>
      <c r="U593" t="b">
        <f>IF(COUNTBLANK(Master_Reference[[#This Row],[Lutron 3000K 3W Part Number]:[Lutron 4000K 3W Part Number]])=3,FALSE,TRUE)</f>
        <v>1</v>
      </c>
      <c r="V593" s="12"/>
      <c r="W593" s="12"/>
      <c r="X593" s="12"/>
      <c r="Y593" t="s">
        <v>2125</v>
      </c>
      <c r="Z593" s="12" t="s">
        <v>255</v>
      </c>
      <c r="AA593" s="12" t="s">
        <v>256</v>
      </c>
      <c r="AB593" s="12" t="s">
        <v>257</v>
      </c>
      <c r="AC593" t="s">
        <v>1826</v>
      </c>
      <c r="AD593" t="str">
        <f>SUBSTITUTE(Master_Reference[[#This Row],[C-Flex 4000K Eco Part Number]],"40-","xx-")</f>
        <v/>
      </c>
      <c r="AE593" t="str">
        <f>SUBSTITUTE(Master_Reference[[#This Row],[C-Flex 4000K 3W Part Number]],"40-","xx-")</f>
        <v>RP-T8-3FT-1L-8xx-3W-M-G2</v>
      </c>
      <c r="AF593" s="1" t="str">
        <f>_xlfn.IFNA(VLOOKUP(Master_Reference[[#This Row],[C-Flex 3000K Eco Part Number]],Lutron_CFlex_Lookup[],MATCH("Lutron Kit PN",Lutron_CFlex_Lookup[#Headers],0),FALSE),"")</f>
        <v/>
      </c>
      <c r="AG593" s="1" t="str">
        <f>_xlfn.IFNA(VLOOKUP(Master_Reference[[#This Row],[C-Flex 3500K Eco Part Number]],Lutron_CFlex_Lookup[],MATCH("Lutron Kit PN",Lutron_CFlex_Lookup[#Headers],0),FALSE),"")</f>
        <v/>
      </c>
      <c r="AH593" s="1" t="str">
        <f>_xlfn.IFNA(VLOOKUP(Master_Reference[[#This Row],[C-Flex 4000K Eco Part Number]],Lutron_CFlex_Lookup[],MATCH("Lutron Kit PN",Lutron_CFlex_Lookup[#Headers],0),FALSE),"")</f>
        <v/>
      </c>
      <c r="AI593" s="1" t="str">
        <f>_xlfn.IFNA(VLOOKUP(Master_Reference[[#This Row],[C-Flex 5000K Eco Part Number]],Lutron_CFlex_Lookup[],MATCH("Lutron Kit PN",Lutron_CFlex_Lookup[#Headers],0),FALSE),"")</f>
        <v/>
      </c>
      <c r="AJ593" s="1" t="str">
        <f>_xlfn.IFNA(VLOOKUP(Master_Reference[[#This Row],[C-Flex 3000K 3W Part Number]],Lutron_CFlex_Lookup[],MATCH("Lutron Kit PN",Lutron_CFlex_Lookup[#Headers],0),FALSE),"")</f>
        <v>3LD3T8-1M30-q</v>
      </c>
      <c r="AK593" s="1" t="str">
        <f>_xlfn.IFNA(VLOOKUP(Master_Reference[[#This Row],[C-Flex 3500K 3W Part Number]],Lutron_CFlex_Lookup[],MATCH("Lutron Kit PN",Lutron_CFlex_Lookup[#Headers],0),FALSE),"")</f>
        <v>3LD3T8-1M35-q</v>
      </c>
      <c r="AL593" s="1" t="str">
        <f>_xlfn.IFNA(VLOOKUP(Master_Reference[[#This Row],[C-Flex 4000K 3W Part Number]],Lutron_CFlex_Lookup[],MATCH("Lutron Kit PN",Lutron_CFlex_Lookup[#Headers],0),FALSE),"")</f>
        <v>3LD3T8-1M40-q</v>
      </c>
      <c r="AM593" s="1" t="str">
        <f>_xlfn.IFNA(VLOOKUP(Master_Reference[[#This Row],[C-Flex 5000K 3W Part Number]],Lutron_CFlex_Lookup[],MATCH("Lutron Kit PN",Lutron_CFlex_Lookup[#Headers],0),FALSE),"")</f>
        <v>3LD3T8-1M50-q</v>
      </c>
      <c r="AN593" s="1" t="b">
        <f>NOT(ISNA(VLOOKUP(Master_Reference[[#This Row],[Model Number]],ObsoleteModels[],1,FALSE)))</f>
        <v>1</v>
      </c>
      <c r="AO593" s="1" t="str">
        <f>IF(LEFT(Master_Reference[[#This Row],[Model Number]],1)="U",LEFT(Master_Reference[[#This Row],[Model Number]],4),LEFT(Master_Reference[[#This Row],[Model Number]],3))</f>
        <v>FDB</v>
      </c>
    </row>
    <row r="594" spans="1:41" x14ac:dyDescent="0.25">
      <c r="A594" s="2" t="s">
        <v>875</v>
      </c>
      <c r="B594" s="1"/>
      <c r="C594" s="1" t="b">
        <v>1</v>
      </c>
      <c r="G594" s="1" t="str">
        <f>IF(OR(LEFT(RIGHT(Master_Reference[[#This Row],[Model Number]],3),1)="C",LEFT(RIGHT(Master_Reference[[#This Row],[Model Number]],4),1)="C"),TRUE,"")</f>
        <v/>
      </c>
      <c r="H594" s="1" t="str">
        <f>IF(LEFT(Master_Reference[[#This Row],[Model Number]],1)="U",TRUE,"")</f>
        <v/>
      </c>
      <c r="I594" s="1" t="b">
        <f>IF(Master_Reference[[#This Row],[Lamp Type]]="T4","",IF(Master_Reference[[#This Row],[Case Type]]="M","",TRUE))</f>
        <v>1</v>
      </c>
      <c r="J594" s="1" t="s">
        <v>111</v>
      </c>
      <c r="K594" s="1">
        <v>25</v>
      </c>
      <c r="L594" s="1" t="s">
        <v>115</v>
      </c>
      <c r="M594" s="1">
        <v>1</v>
      </c>
      <c r="N594" s="1">
        <v>120</v>
      </c>
      <c r="O594" s="1" t="s">
        <v>144</v>
      </c>
      <c r="Q594" s="1" t="s">
        <v>91</v>
      </c>
      <c r="R594" t="b">
        <f>IF(COUNTBLANK(Master_Reference[[#This Row],[C-Flex 3000K Eco Part Number]:[C-Flex 4000K Eco Part Number]])=3,FALSE,TRUE)</f>
        <v>0</v>
      </c>
      <c r="S594" t="b">
        <f>IF(COUNTBLANK(Master_Reference[[#This Row],[C-Flex 3000K 3W Part Number]:[C-Flex 4000K 3W Part Number]])=3,FALSE,TRUE)</f>
        <v>0</v>
      </c>
      <c r="T594" t="b">
        <f>IF(COUNTBLANK(Master_Reference[[#This Row],[Lutron 3000K Eco Part Number]:[Lutron 4000K Eco Part Number]])=3,FALSE,TRUE)</f>
        <v>0</v>
      </c>
      <c r="U594" t="b">
        <f>IF(COUNTBLANK(Master_Reference[[#This Row],[Lutron 3000K 3W Part Number]:[Lutron 4000K 3W Part Number]])=3,FALSE,TRUE)</f>
        <v>0</v>
      </c>
      <c r="V594" s="12"/>
      <c r="W594" s="12"/>
      <c r="X594" s="12"/>
      <c r="Y594" t="s">
        <v>2125</v>
      </c>
      <c r="Z594" s="12"/>
      <c r="AA594" s="12"/>
      <c r="AB594" s="12"/>
      <c r="AC594" t="s">
        <v>2125</v>
      </c>
      <c r="AD594" t="str">
        <f>SUBSTITUTE(Master_Reference[[#This Row],[C-Flex 4000K Eco Part Number]],"40-","xx-")</f>
        <v/>
      </c>
      <c r="AE594" t="str">
        <f>SUBSTITUTE(Master_Reference[[#This Row],[C-Flex 4000K 3W Part Number]],"40-","xx-")</f>
        <v/>
      </c>
      <c r="AF594" s="1" t="str">
        <f>_xlfn.IFNA(VLOOKUP(Master_Reference[[#This Row],[C-Flex 3000K Eco Part Number]],Lutron_CFlex_Lookup[],MATCH("Lutron Kit PN",Lutron_CFlex_Lookup[#Headers],0),FALSE),"")</f>
        <v/>
      </c>
      <c r="AG594" s="1" t="str">
        <f>_xlfn.IFNA(VLOOKUP(Master_Reference[[#This Row],[C-Flex 3500K Eco Part Number]],Lutron_CFlex_Lookup[],MATCH("Lutron Kit PN",Lutron_CFlex_Lookup[#Headers],0),FALSE),"")</f>
        <v/>
      </c>
      <c r="AH594" s="1" t="str">
        <f>_xlfn.IFNA(VLOOKUP(Master_Reference[[#This Row],[C-Flex 4000K Eco Part Number]],Lutron_CFlex_Lookup[],MATCH("Lutron Kit PN",Lutron_CFlex_Lookup[#Headers],0),FALSE),"")</f>
        <v/>
      </c>
      <c r="AI594" s="1" t="str">
        <f>_xlfn.IFNA(VLOOKUP(Master_Reference[[#This Row],[C-Flex 5000K Eco Part Number]],Lutron_CFlex_Lookup[],MATCH("Lutron Kit PN",Lutron_CFlex_Lookup[#Headers],0),FALSE),"")</f>
        <v/>
      </c>
      <c r="AJ594" s="1" t="str">
        <f>_xlfn.IFNA(VLOOKUP(Master_Reference[[#This Row],[C-Flex 3000K 3W Part Number]],Lutron_CFlex_Lookup[],MATCH("Lutron Kit PN",Lutron_CFlex_Lookup[#Headers],0),FALSE),"")</f>
        <v/>
      </c>
      <c r="AK594" s="1" t="str">
        <f>_xlfn.IFNA(VLOOKUP(Master_Reference[[#This Row],[C-Flex 3500K 3W Part Number]],Lutron_CFlex_Lookup[],MATCH("Lutron Kit PN",Lutron_CFlex_Lookup[#Headers],0),FALSE),"")</f>
        <v/>
      </c>
      <c r="AL594" s="1" t="str">
        <f>_xlfn.IFNA(VLOOKUP(Master_Reference[[#This Row],[C-Flex 4000K 3W Part Number]],Lutron_CFlex_Lookup[],MATCH("Lutron Kit PN",Lutron_CFlex_Lookup[#Headers],0),FALSE),"")</f>
        <v/>
      </c>
      <c r="AM594" s="1" t="str">
        <f>_xlfn.IFNA(VLOOKUP(Master_Reference[[#This Row],[C-Flex 5000K 3W Part Number]],Lutron_CFlex_Lookup[],MATCH("Lutron Kit PN",Lutron_CFlex_Lookup[#Headers],0),FALSE),"")</f>
        <v/>
      </c>
      <c r="AN594" s="1" t="b">
        <f>NOT(ISNA(VLOOKUP(Master_Reference[[#This Row],[Model Number]],ObsoleteModels[],1,FALSE)))</f>
        <v>1</v>
      </c>
      <c r="AO594" s="1" t="str">
        <f>IF(LEFT(Master_Reference[[#This Row],[Model Number]],1)="U",LEFT(Master_Reference[[#This Row],[Model Number]],4),LEFT(Master_Reference[[#This Row],[Model Number]],3))</f>
        <v>FDB</v>
      </c>
    </row>
    <row r="595" spans="1:41" x14ac:dyDescent="0.25">
      <c r="A595" s="2" t="s">
        <v>876</v>
      </c>
      <c r="B595" s="1"/>
      <c r="C595" s="1" t="b">
        <v>1</v>
      </c>
      <c r="G595" s="1" t="str">
        <f>IF(OR(LEFT(RIGHT(Master_Reference[[#This Row],[Model Number]],3),1)="C",LEFT(RIGHT(Master_Reference[[#This Row],[Model Number]],4),1)="C"),TRUE,"")</f>
        <v/>
      </c>
      <c r="H595" s="1" t="str">
        <f>IF(LEFT(Master_Reference[[#This Row],[Model Number]],1)="U",TRUE,"")</f>
        <v/>
      </c>
      <c r="I595" s="1" t="b">
        <f>IF(Master_Reference[[#This Row],[Lamp Type]]="T4","",IF(Master_Reference[[#This Row],[Case Type]]="M","",TRUE))</f>
        <v>1</v>
      </c>
      <c r="J595" s="1" t="s">
        <v>111</v>
      </c>
      <c r="K595" s="1">
        <v>25</v>
      </c>
      <c r="L595" s="1" t="s">
        <v>115</v>
      </c>
      <c r="M595" s="1">
        <v>2</v>
      </c>
      <c r="N595" s="1" t="str">
        <f>LEFT(RIGHT(A595,5),3)</f>
        <v>120</v>
      </c>
      <c r="O595" s="1" t="s">
        <v>144</v>
      </c>
      <c r="R595" t="b">
        <f>IF(COUNTBLANK(Master_Reference[[#This Row],[C-Flex 3000K Eco Part Number]:[C-Flex 4000K Eco Part Number]])=3,FALSE,TRUE)</f>
        <v>0</v>
      </c>
      <c r="S595" t="b">
        <f>IF(COUNTBLANK(Master_Reference[[#This Row],[C-Flex 3000K 3W Part Number]:[C-Flex 4000K 3W Part Number]])=3,FALSE,TRUE)</f>
        <v>1</v>
      </c>
      <c r="T595" t="b">
        <f>IF(COUNTBLANK(Master_Reference[[#This Row],[Lutron 3000K Eco Part Number]:[Lutron 4000K Eco Part Number]])=3,FALSE,TRUE)</f>
        <v>0</v>
      </c>
      <c r="U595" t="b">
        <f>IF(COUNTBLANK(Master_Reference[[#This Row],[Lutron 3000K 3W Part Number]:[Lutron 4000K 3W Part Number]])=3,FALSE,TRUE)</f>
        <v>1</v>
      </c>
      <c r="V595" s="12"/>
      <c r="W595" s="12"/>
      <c r="X595" s="12"/>
      <c r="Y595" t="s">
        <v>2125</v>
      </c>
      <c r="Z595" s="12" t="s">
        <v>259</v>
      </c>
      <c r="AA595" s="12" t="s">
        <v>260</v>
      </c>
      <c r="AB595" s="12" t="s">
        <v>261</v>
      </c>
      <c r="AC595" t="s">
        <v>1827</v>
      </c>
      <c r="AD595" t="str">
        <f>SUBSTITUTE(Master_Reference[[#This Row],[C-Flex 4000K Eco Part Number]],"40-","xx-")</f>
        <v/>
      </c>
      <c r="AE595" t="str">
        <f>SUBSTITUTE(Master_Reference[[#This Row],[C-Flex 4000K 3W Part Number]],"40-","xx-")</f>
        <v>RP-T8-3FT-2L-8xx-3W-M-G2</v>
      </c>
      <c r="AF595" s="1" t="str">
        <f>_xlfn.IFNA(VLOOKUP(Master_Reference[[#This Row],[C-Flex 3000K Eco Part Number]],Lutron_CFlex_Lookup[],MATCH("Lutron Kit PN",Lutron_CFlex_Lookup[#Headers],0),FALSE),"")</f>
        <v/>
      </c>
      <c r="AG595" s="1" t="str">
        <f>_xlfn.IFNA(VLOOKUP(Master_Reference[[#This Row],[C-Flex 3500K Eco Part Number]],Lutron_CFlex_Lookup[],MATCH("Lutron Kit PN",Lutron_CFlex_Lookup[#Headers],0),FALSE),"")</f>
        <v/>
      </c>
      <c r="AH595" s="1" t="str">
        <f>_xlfn.IFNA(VLOOKUP(Master_Reference[[#This Row],[C-Flex 4000K Eco Part Number]],Lutron_CFlex_Lookup[],MATCH("Lutron Kit PN",Lutron_CFlex_Lookup[#Headers],0),FALSE),"")</f>
        <v/>
      </c>
      <c r="AI595" s="1" t="str">
        <f>_xlfn.IFNA(VLOOKUP(Master_Reference[[#This Row],[C-Flex 5000K Eco Part Number]],Lutron_CFlex_Lookup[],MATCH("Lutron Kit PN",Lutron_CFlex_Lookup[#Headers],0),FALSE),"")</f>
        <v/>
      </c>
      <c r="AJ595" s="1" t="str">
        <f>_xlfn.IFNA(VLOOKUP(Master_Reference[[#This Row],[C-Flex 3000K 3W Part Number]],Lutron_CFlex_Lookup[],MATCH("Lutron Kit PN",Lutron_CFlex_Lookup[#Headers],0),FALSE),"")</f>
        <v>3LD3T8-2M30-q</v>
      </c>
      <c r="AK595" s="1" t="str">
        <f>_xlfn.IFNA(VLOOKUP(Master_Reference[[#This Row],[C-Flex 3500K 3W Part Number]],Lutron_CFlex_Lookup[],MATCH("Lutron Kit PN",Lutron_CFlex_Lookup[#Headers],0),FALSE),"")</f>
        <v>3LD3T8-2M35-q</v>
      </c>
      <c r="AL595" s="1" t="str">
        <f>_xlfn.IFNA(VLOOKUP(Master_Reference[[#This Row],[C-Flex 4000K 3W Part Number]],Lutron_CFlex_Lookup[],MATCH("Lutron Kit PN",Lutron_CFlex_Lookup[#Headers],0),FALSE),"")</f>
        <v>3LD3T8-2M40-q</v>
      </c>
      <c r="AM595" s="1" t="str">
        <f>_xlfn.IFNA(VLOOKUP(Master_Reference[[#This Row],[C-Flex 5000K 3W Part Number]],Lutron_CFlex_Lookup[],MATCH("Lutron Kit PN",Lutron_CFlex_Lookup[#Headers],0),FALSE),"")</f>
        <v>3LD3T8-2M50-q</v>
      </c>
      <c r="AN595" s="1" t="b">
        <f>NOT(ISNA(VLOOKUP(Master_Reference[[#This Row],[Model Number]],ObsoleteModels[],1,FALSE)))</f>
        <v>1</v>
      </c>
      <c r="AO595" s="1" t="str">
        <f>IF(LEFT(Master_Reference[[#This Row],[Model Number]],1)="U",LEFT(Master_Reference[[#This Row],[Model Number]],4),LEFT(Master_Reference[[#This Row],[Model Number]],3))</f>
        <v>FDB</v>
      </c>
    </row>
    <row r="596" spans="1:41" x14ac:dyDescent="0.25">
      <c r="A596" s="2" t="s">
        <v>877</v>
      </c>
      <c r="B596" s="1"/>
      <c r="C596" s="1" t="b">
        <v>1</v>
      </c>
      <c r="G596" s="1" t="str">
        <f>IF(OR(LEFT(RIGHT(Master_Reference[[#This Row],[Model Number]],3),1)="C",LEFT(RIGHT(Master_Reference[[#This Row],[Model Number]],4),1)="C"),TRUE,"")</f>
        <v/>
      </c>
      <c r="H596" s="1" t="str">
        <f>IF(LEFT(Master_Reference[[#This Row],[Model Number]],1)="U",TRUE,"")</f>
        <v/>
      </c>
      <c r="I596" s="1" t="b">
        <f>IF(Master_Reference[[#This Row],[Lamp Type]]="T4","",IF(Master_Reference[[#This Row],[Case Type]]="M","",TRUE))</f>
        <v>1</v>
      </c>
      <c r="J596" s="1" t="s">
        <v>111</v>
      </c>
      <c r="K596" s="1">
        <v>25</v>
      </c>
      <c r="L596" s="1" t="s">
        <v>115</v>
      </c>
      <c r="M596" s="1">
        <v>2</v>
      </c>
      <c r="N596" s="1">
        <v>120</v>
      </c>
      <c r="O596" s="1" t="s">
        <v>144</v>
      </c>
      <c r="Q596" s="1" t="s">
        <v>91</v>
      </c>
      <c r="R596" t="b">
        <f>IF(COUNTBLANK(Master_Reference[[#This Row],[C-Flex 3000K Eco Part Number]:[C-Flex 4000K Eco Part Number]])=3,FALSE,TRUE)</f>
        <v>0</v>
      </c>
      <c r="S596" t="b">
        <f>IF(COUNTBLANK(Master_Reference[[#This Row],[C-Flex 3000K 3W Part Number]:[C-Flex 4000K 3W Part Number]])=3,FALSE,TRUE)</f>
        <v>0</v>
      </c>
      <c r="T596" t="b">
        <f>IF(COUNTBLANK(Master_Reference[[#This Row],[Lutron 3000K Eco Part Number]:[Lutron 4000K Eco Part Number]])=3,FALSE,TRUE)</f>
        <v>0</v>
      </c>
      <c r="U596" t="b">
        <f>IF(COUNTBLANK(Master_Reference[[#This Row],[Lutron 3000K 3W Part Number]:[Lutron 4000K 3W Part Number]])=3,FALSE,TRUE)</f>
        <v>0</v>
      </c>
      <c r="V596" s="12"/>
      <c r="W596" s="12"/>
      <c r="X596" s="12"/>
      <c r="Y596" t="s">
        <v>2125</v>
      </c>
      <c r="Z596" s="12"/>
      <c r="AA596" s="12"/>
      <c r="AB596" s="12"/>
      <c r="AC596" t="s">
        <v>2125</v>
      </c>
      <c r="AD596" t="str">
        <f>SUBSTITUTE(Master_Reference[[#This Row],[C-Flex 4000K Eco Part Number]],"40-","xx-")</f>
        <v/>
      </c>
      <c r="AE596" t="str">
        <f>SUBSTITUTE(Master_Reference[[#This Row],[C-Flex 4000K 3W Part Number]],"40-","xx-")</f>
        <v/>
      </c>
      <c r="AF596" s="1" t="str">
        <f>_xlfn.IFNA(VLOOKUP(Master_Reference[[#This Row],[C-Flex 3000K Eco Part Number]],Lutron_CFlex_Lookup[],MATCH("Lutron Kit PN",Lutron_CFlex_Lookup[#Headers],0),FALSE),"")</f>
        <v/>
      </c>
      <c r="AG596" s="1" t="str">
        <f>_xlfn.IFNA(VLOOKUP(Master_Reference[[#This Row],[C-Flex 3500K Eco Part Number]],Lutron_CFlex_Lookup[],MATCH("Lutron Kit PN",Lutron_CFlex_Lookup[#Headers],0),FALSE),"")</f>
        <v/>
      </c>
      <c r="AH596" s="1" t="str">
        <f>_xlfn.IFNA(VLOOKUP(Master_Reference[[#This Row],[C-Flex 4000K Eco Part Number]],Lutron_CFlex_Lookup[],MATCH("Lutron Kit PN",Lutron_CFlex_Lookup[#Headers],0),FALSE),"")</f>
        <v/>
      </c>
      <c r="AI596" s="1" t="str">
        <f>_xlfn.IFNA(VLOOKUP(Master_Reference[[#This Row],[C-Flex 5000K Eco Part Number]],Lutron_CFlex_Lookup[],MATCH("Lutron Kit PN",Lutron_CFlex_Lookup[#Headers],0),FALSE),"")</f>
        <v/>
      </c>
      <c r="AJ596" s="1" t="str">
        <f>_xlfn.IFNA(VLOOKUP(Master_Reference[[#This Row],[C-Flex 3000K 3W Part Number]],Lutron_CFlex_Lookup[],MATCH("Lutron Kit PN",Lutron_CFlex_Lookup[#Headers],0),FALSE),"")</f>
        <v/>
      </c>
      <c r="AK596" s="1" t="str">
        <f>_xlfn.IFNA(VLOOKUP(Master_Reference[[#This Row],[C-Flex 3500K 3W Part Number]],Lutron_CFlex_Lookup[],MATCH("Lutron Kit PN",Lutron_CFlex_Lookup[#Headers],0),FALSE),"")</f>
        <v/>
      </c>
      <c r="AL596" s="1" t="str">
        <f>_xlfn.IFNA(VLOOKUP(Master_Reference[[#This Row],[C-Flex 4000K 3W Part Number]],Lutron_CFlex_Lookup[],MATCH("Lutron Kit PN",Lutron_CFlex_Lookup[#Headers],0),FALSE),"")</f>
        <v/>
      </c>
      <c r="AM596" s="1" t="str">
        <f>_xlfn.IFNA(VLOOKUP(Master_Reference[[#This Row],[C-Flex 5000K 3W Part Number]],Lutron_CFlex_Lookup[],MATCH("Lutron Kit PN",Lutron_CFlex_Lookup[#Headers],0),FALSE),"")</f>
        <v/>
      </c>
      <c r="AN596" s="1" t="b">
        <f>NOT(ISNA(VLOOKUP(Master_Reference[[#This Row],[Model Number]],ObsoleteModels[],1,FALSE)))</f>
        <v>1</v>
      </c>
      <c r="AO596" s="1" t="str">
        <f>IF(LEFT(Master_Reference[[#This Row],[Model Number]],1)="U",LEFT(Master_Reference[[#This Row],[Model Number]],4),LEFT(Master_Reference[[#This Row],[Model Number]],3))</f>
        <v>FDB</v>
      </c>
    </row>
    <row r="597" spans="1:41" x14ac:dyDescent="0.25">
      <c r="A597" s="2" t="s">
        <v>878</v>
      </c>
      <c r="B597" s="1"/>
      <c r="C597" s="1" t="b">
        <v>1</v>
      </c>
      <c r="G597" s="1" t="str">
        <f>IF(OR(LEFT(RIGHT(Master_Reference[[#This Row],[Model Number]],3),1)="C",LEFT(RIGHT(Master_Reference[[#This Row],[Model Number]],4),1)="C"),TRUE,"")</f>
        <v/>
      </c>
      <c r="H597" s="1" t="str">
        <f>IF(LEFT(Master_Reference[[#This Row],[Model Number]],1)="U",TRUE,"")</f>
        <v/>
      </c>
      <c r="I597" s="1" t="b">
        <f>IF(Master_Reference[[#This Row],[Lamp Type]]="T4","",IF(Master_Reference[[#This Row],[Case Type]]="M","",TRUE))</f>
        <v>1</v>
      </c>
      <c r="J597" s="1" t="s">
        <v>111</v>
      </c>
      <c r="K597" s="1">
        <v>25</v>
      </c>
      <c r="L597" s="1" t="s">
        <v>115</v>
      </c>
      <c r="M597" s="1">
        <v>3</v>
      </c>
      <c r="N597" s="1" t="str">
        <f>LEFT(RIGHT(A597,5),3)</f>
        <v>120</v>
      </c>
      <c r="O597" s="1" t="s">
        <v>144</v>
      </c>
      <c r="R597" t="b">
        <f>IF(COUNTBLANK(Master_Reference[[#This Row],[C-Flex 3000K Eco Part Number]:[C-Flex 4000K Eco Part Number]])=3,FALSE,TRUE)</f>
        <v>0</v>
      </c>
      <c r="S597" t="b">
        <f>IF(COUNTBLANK(Master_Reference[[#This Row],[C-Flex 3000K 3W Part Number]:[C-Flex 4000K 3W Part Number]])=3,FALSE,TRUE)</f>
        <v>1</v>
      </c>
      <c r="T597" t="b">
        <f>IF(COUNTBLANK(Master_Reference[[#This Row],[Lutron 3000K Eco Part Number]:[Lutron 4000K Eco Part Number]])=3,FALSE,TRUE)</f>
        <v>0</v>
      </c>
      <c r="U597" t="b">
        <f>IF(COUNTBLANK(Master_Reference[[#This Row],[Lutron 3000K 3W Part Number]:[Lutron 4000K 3W Part Number]])=3,FALSE,TRUE)</f>
        <v>1</v>
      </c>
      <c r="V597" s="12"/>
      <c r="W597" s="12"/>
      <c r="X597" s="12"/>
      <c r="Y597" t="s">
        <v>2125</v>
      </c>
      <c r="Z597" s="12" t="s">
        <v>879</v>
      </c>
      <c r="AA597" s="12" t="s">
        <v>880</v>
      </c>
      <c r="AB597" s="12" t="s">
        <v>881</v>
      </c>
      <c r="AC597" t="s">
        <v>1828</v>
      </c>
      <c r="AD597" t="str">
        <f>SUBSTITUTE(Master_Reference[[#This Row],[C-Flex 4000K Eco Part Number]],"40-","xx-")</f>
        <v/>
      </c>
      <c r="AE597" t="str">
        <f>SUBSTITUTE(Master_Reference[[#This Row],[C-Flex 4000K 3W Part Number]],"40-","xx-")</f>
        <v>RP-T8-3FT-3L-8xx-3W-M-G2</v>
      </c>
      <c r="AF597" s="1" t="str">
        <f>_xlfn.IFNA(VLOOKUP(Master_Reference[[#This Row],[C-Flex 3000K Eco Part Number]],Lutron_CFlex_Lookup[],MATCH("Lutron Kit PN",Lutron_CFlex_Lookup[#Headers],0),FALSE),"")</f>
        <v/>
      </c>
      <c r="AG597" s="1" t="str">
        <f>_xlfn.IFNA(VLOOKUP(Master_Reference[[#This Row],[C-Flex 3500K Eco Part Number]],Lutron_CFlex_Lookup[],MATCH("Lutron Kit PN",Lutron_CFlex_Lookup[#Headers],0),FALSE),"")</f>
        <v/>
      </c>
      <c r="AH597" s="1" t="str">
        <f>_xlfn.IFNA(VLOOKUP(Master_Reference[[#This Row],[C-Flex 4000K Eco Part Number]],Lutron_CFlex_Lookup[],MATCH("Lutron Kit PN",Lutron_CFlex_Lookup[#Headers],0),FALSE),"")</f>
        <v/>
      </c>
      <c r="AI597" s="1" t="str">
        <f>_xlfn.IFNA(VLOOKUP(Master_Reference[[#This Row],[C-Flex 5000K Eco Part Number]],Lutron_CFlex_Lookup[],MATCH("Lutron Kit PN",Lutron_CFlex_Lookup[#Headers],0),FALSE),"")</f>
        <v/>
      </c>
      <c r="AJ597" s="1" t="str">
        <f>_xlfn.IFNA(VLOOKUP(Master_Reference[[#This Row],[C-Flex 3000K 3W Part Number]],Lutron_CFlex_Lookup[],MATCH("Lutron Kit PN",Lutron_CFlex_Lookup[#Headers],0),FALSE),"")</f>
        <v>3LD3T8-3M30-q</v>
      </c>
      <c r="AK597" s="1" t="str">
        <f>_xlfn.IFNA(VLOOKUP(Master_Reference[[#This Row],[C-Flex 3500K 3W Part Number]],Lutron_CFlex_Lookup[],MATCH("Lutron Kit PN",Lutron_CFlex_Lookup[#Headers],0),FALSE),"")</f>
        <v>3LD3T8-3M35-q</v>
      </c>
      <c r="AL597" s="1" t="str">
        <f>_xlfn.IFNA(VLOOKUP(Master_Reference[[#This Row],[C-Flex 4000K 3W Part Number]],Lutron_CFlex_Lookup[],MATCH("Lutron Kit PN",Lutron_CFlex_Lookup[#Headers],0),FALSE),"")</f>
        <v>3LD3T8-3M40-q</v>
      </c>
      <c r="AM597" s="1" t="str">
        <f>_xlfn.IFNA(VLOOKUP(Master_Reference[[#This Row],[C-Flex 5000K 3W Part Number]],Lutron_CFlex_Lookup[],MATCH("Lutron Kit PN",Lutron_CFlex_Lookup[#Headers],0),FALSE),"")</f>
        <v>3LD3T8-3M50-q</v>
      </c>
      <c r="AN597" s="1" t="b">
        <f>NOT(ISNA(VLOOKUP(Master_Reference[[#This Row],[Model Number]],ObsoleteModels[],1,FALSE)))</f>
        <v>1</v>
      </c>
      <c r="AO597" s="1" t="str">
        <f>IF(LEFT(Master_Reference[[#This Row],[Model Number]],1)="U",LEFT(Master_Reference[[#This Row],[Model Number]],4),LEFT(Master_Reference[[#This Row],[Model Number]],3))</f>
        <v>FDB</v>
      </c>
    </row>
    <row r="598" spans="1:41" x14ac:dyDescent="0.25">
      <c r="A598" s="2" t="s">
        <v>882</v>
      </c>
      <c r="B598" s="1"/>
      <c r="C598" s="1" t="b">
        <v>1</v>
      </c>
      <c r="G598" s="1" t="str">
        <f>IF(OR(LEFT(RIGHT(Master_Reference[[#This Row],[Model Number]],3),1)="C",LEFT(RIGHT(Master_Reference[[#This Row],[Model Number]],4),1)="C"),TRUE,"")</f>
        <v/>
      </c>
      <c r="H598" s="1" t="str">
        <f>IF(LEFT(Master_Reference[[#This Row],[Model Number]],1)="U",TRUE,"")</f>
        <v/>
      </c>
      <c r="I598" s="1" t="b">
        <f>IF(Master_Reference[[#This Row],[Lamp Type]]="T4","",IF(Master_Reference[[#This Row],[Case Type]]="M","",TRUE))</f>
        <v>1</v>
      </c>
      <c r="J598" s="1" t="s">
        <v>111</v>
      </c>
      <c r="K598" s="1">
        <v>25</v>
      </c>
      <c r="L598" s="1" t="s">
        <v>115</v>
      </c>
      <c r="M598" s="1">
        <v>1</v>
      </c>
      <c r="N598" s="1" t="str">
        <f>LEFT(RIGHT(A598,5),3)</f>
        <v>277</v>
      </c>
      <c r="O598" s="1" t="s">
        <v>144</v>
      </c>
      <c r="R598" t="b">
        <f>IF(COUNTBLANK(Master_Reference[[#This Row],[C-Flex 3000K Eco Part Number]:[C-Flex 4000K Eco Part Number]])=3,FALSE,TRUE)</f>
        <v>0</v>
      </c>
      <c r="S598" t="b">
        <f>IF(COUNTBLANK(Master_Reference[[#This Row],[C-Flex 3000K 3W Part Number]:[C-Flex 4000K 3W Part Number]])=3,FALSE,TRUE)</f>
        <v>1</v>
      </c>
      <c r="T598" t="b">
        <f>IF(COUNTBLANK(Master_Reference[[#This Row],[Lutron 3000K Eco Part Number]:[Lutron 4000K Eco Part Number]])=3,FALSE,TRUE)</f>
        <v>0</v>
      </c>
      <c r="U598" t="b">
        <f>IF(COUNTBLANK(Master_Reference[[#This Row],[Lutron 3000K 3W Part Number]:[Lutron 4000K 3W Part Number]])=3,FALSE,TRUE)</f>
        <v>1</v>
      </c>
      <c r="V598" s="12"/>
      <c r="W598" s="12"/>
      <c r="X598" s="12"/>
      <c r="Y598" t="s">
        <v>2125</v>
      </c>
      <c r="Z598" s="12" t="s">
        <v>255</v>
      </c>
      <c r="AA598" s="12" t="s">
        <v>256</v>
      </c>
      <c r="AB598" s="12" t="s">
        <v>257</v>
      </c>
      <c r="AC598" t="s">
        <v>1826</v>
      </c>
      <c r="AD598" t="str">
        <f>SUBSTITUTE(Master_Reference[[#This Row],[C-Flex 4000K Eco Part Number]],"40-","xx-")</f>
        <v/>
      </c>
      <c r="AE598" t="str">
        <f>SUBSTITUTE(Master_Reference[[#This Row],[C-Flex 4000K 3W Part Number]],"40-","xx-")</f>
        <v>RP-T8-3FT-1L-8xx-3W-M-G2</v>
      </c>
      <c r="AF598" s="1" t="str">
        <f>_xlfn.IFNA(VLOOKUP(Master_Reference[[#This Row],[C-Flex 3000K Eco Part Number]],Lutron_CFlex_Lookup[],MATCH("Lutron Kit PN",Lutron_CFlex_Lookup[#Headers],0),FALSE),"")</f>
        <v/>
      </c>
      <c r="AG598" s="1" t="str">
        <f>_xlfn.IFNA(VLOOKUP(Master_Reference[[#This Row],[C-Flex 3500K Eco Part Number]],Lutron_CFlex_Lookup[],MATCH("Lutron Kit PN",Lutron_CFlex_Lookup[#Headers],0),FALSE),"")</f>
        <v/>
      </c>
      <c r="AH598" s="1" t="str">
        <f>_xlfn.IFNA(VLOOKUP(Master_Reference[[#This Row],[C-Flex 4000K Eco Part Number]],Lutron_CFlex_Lookup[],MATCH("Lutron Kit PN",Lutron_CFlex_Lookup[#Headers],0),FALSE),"")</f>
        <v/>
      </c>
      <c r="AI598" s="1" t="str">
        <f>_xlfn.IFNA(VLOOKUP(Master_Reference[[#This Row],[C-Flex 5000K Eco Part Number]],Lutron_CFlex_Lookup[],MATCH("Lutron Kit PN",Lutron_CFlex_Lookup[#Headers],0),FALSE),"")</f>
        <v/>
      </c>
      <c r="AJ598" s="1" t="str">
        <f>_xlfn.IFNA(VLOOKUP(Master_Reference[[#This Row],[C-Flex 3000K 3W Part Number]],Lutron_CFlex_Lookup[],MATCH("Lutron Kit PN",Lutron_CFlex_Lookup[#Headers],0),FALSE),"")</f>
        <v>3LD3T8-1M30-q</v>
      </c>
      <c r="AK598" s="1" t="str">
        <f>_xlfn.IFNA(VLOOKUP(Master_Reference[[#This Row],[C-Flex 3500K 3W Part Number]],Lutron_CFlex_Lookup[],MATCH("Lutron Kit PN",Lutron_CFlex_Lookup[#Headers],0),FALSE),"")</f>
        <v>3LD3T8-1M35-q</v>
      </c>
      <c r="AL598" s="1" t="str">
        <f>_xlfn.IFNA(VLOOKUP(Master_Reference[[#This Row],[C-Flex 4000K 3W Part Number]],Lutron_CFlex_Lookup[],MATCH("Lutron Kit PN",Lutron_CFlex_Lookup[#Headers],0),FALSE),"")</f>
        <v>3LD3T8-1M40-q</v>
      </c>
      <c r="AM598" s="1" t="str">
        <f>_xlfn.IFNA(VLOOKUP(Master_Reference[[#This Row],[C-Flex 5000K 3W Part Number]],Lutron_CFlex_Lookup[],MATCH("Lutron Kit PN",Lutron_CFlex_Lookup[#Headers],0),FALSE),"")</f>
        <v>3LD3T8-1M50-q</v>
      </c>
      <c r="AN598" s="1" t="b">
        <f>NOT(ISNA(VLOOKUP(Master_Reference[[#This Row],[Model Number]],ObsoleteModels[],1,FALSE)))</f>
        <v>1</v>
      </c>
      <c r="AO598" s="1" t="str">
        <f>IF(LEFT(Master_Reference[[#This Row],[Model Number]],1)="U",LEFT(Master_Reference[[#This Row],[Model Number]],4),LEFT(Master_Reference[[#This Row],[Model Number]],3))</f>
        <v>FDB</v>
      </c>
    </row>
    <row r="599" spans="1:41" x14ac:dyDescent="0.25">
      <c r="A599" s="2" t="s">
        <v>883</v>
      </c>
      <c r="B599" s="1"/>
      <c r="C599" s="1" t="b">
        <v>1</v>
      </c>
      <c r="G599" s="1" t="str">
        <f>IF(OR(LEFT(RIGHT(Master_Reference[[#This Row],[Model Number]],3),1)="C",LEFT(RIGHT(Master_Reference[[#This Row],[Model Number]],4),1)="C"),TRUE,"")</f>
        <v/>
      </c>
      <c r="H599" s="1" t="str">
        <f>IF(LEFT(Master_Reference[[#This Row],[Model Number]],1)="U",TRUE,"")</f>
        <v/>
      </c>
      <c r="I599" s="1" t="b">
        <f>IF(Master_Reference[[#This Row],[Lamp Type]]="T4","",IF(Master_Reference[[#This Row],[Case Type]]="M","",TRUE))</f>
        <v>1</v>
      </c>
      <c r="J599" s="1" t="s">
        <v>111</v>
      </c>
      <c r="K599" s="1">
        <v>25</v>
      </c>
      <c r="L599" s="1" t="s">
        <v>115</v>
      </c>
      <c r="M599" s="1">
        <v>2</v>
      </c>
      <c r="N599" s="1" t="str">
        <f>LEFT(RIGHT(A599,5),3)</f>
        <v>277</v>
      </c>
      <c r="O599" s="1" t="s">
        <v>144</v>
      </c>
      <c r="R599" t="b">
        <f>IF(COUNTBLANK(Master_Reference[[#This Row],[C-Flex 3000K Eco Part Number]:[C-Flex 4000K Eco Part Number]])=3,FALSE,TRUE)</f>
        <v>0</v>
      </c>
      <c r="S599" t="b">
        <f>IF(COUNTBLANK(Master_Reference[[#This Row],[C-Flex 3000K 3W Part Number]:[C-Flex 4000K 3W Part Number]])=3,FALSE,TRUE)</f>
        <v>1</v>
      </c>
      <c r="T599" t="b">
        <f>IF(COUNTBLANK(Master_Reference[[#This Row],[Lutron 3000K Eco Part Number]:[Lutron 4000K Eco Part Number]])=3,FALSE,TRUE)</f>
        <v>0</v>
      </c>
      <c r="U599" t="b">
        <f>IF(COUNTBLANK(Master_Reference[[#This Row],[Lutron 3000K 3W Part Number]:[Lutron 4000K 3W Part Number]])=3,FALSE,TRUE)</f>
        <v>1</v>
      </c>
      <c r="V599" s="12"/>
      <c r="W599" s="12"/>
      <c r="X599" s="12"/>
      <c r="Y599" t="s">
        <v>2125</v>
      </c>
      <c r="Z599" s="12" t="s">
        <v>259</v>
      </c>
      <c r="AA599" s="12" t="s">
        <v>260</v>
      </c>
      <c r="AB599" s="12" t="s">
        <v>261</v>
      </c>
      <c r="AC599" t="s">
        <v>1827</v>
      </c>
      <c r="AD599" t="str">
        <f>SUBSTITUTE(Master_Reference[[#This Row],[C-Flex 4000K Eco Part Number]],"40-","xx-")</f>
        <v/>
      </c>
      <c r="AE599" t="str">
        <f>SUBSTITUTE(Master_Reference[[#This Row],[C-Flex 4000K 3W Part Number]],"40-","xx-")</f>
        <v>RP-T8-3FT-2L-8xx-3W-M-G2</v>
      </c>
      <c r="AF599" s="1" t="str">
        <f>_xlfn.IFNA(VLOOKUP(Master_Reference[[#This Row],[C-Flex 3000K Eco Part Number]],Lutron_CFlex_Lookup[],MATCH("Lutron Kit PN",Lutron_CFlex_Lookup[#Headers],0),FALSE),"")</f>
        <v/>
      </c>
      <c r="AG599" s="1" t="str">
        <f>_xlfn.IFNA(VLOOKUP(Master_Reference[[#This Row],[C-Flex 3500K Eco Part Number]],Lutron_CFlex_Lookup[],MATCH("Lutron Kit PN",Lutron_CFlex_Lookup[#Headers],0),FALSE),"")</f>
        <v/>
      </c>
      <c r="AH599" s="1" t="str">
        <f>_xlfn.IFNA(VLOOKUP(Master_Reference[[#This Row],[C-Flex 4000K Eco Part Number]],Lutron_CFlex_Lookup[],MATCH("Lutron Kit PN",Lutron_CFlex_Lookup[#Headers],0),FALSE),"")</f>
        <v/>
      </c>
      <c r="AI599" s="1" t="str">
        <f>_xlfn.IFNA(VLOOKUP(Master_Reference[[#This Row],[C-Flex 5000K Eco Part Number]],Lutron_CFlex_Lookup[],MATCH("Lutron Kit PN",Lutron_CFlex_Lookup[#Headers],0),FALSE),"")</f>
        <v/>
      </c>
      <c r="AJ599" s="1" t="str">
        <f>_xlfn.IFNA(VLOOKUP(Master_Reference[[#This Row],[C-Flex 3000K 3W Part Number]],Lutron_CFlex_Lookup[],MATCH("Lutron Kit PN",Lutron_CFlex_Lookup[#Headers],0),FALSE),"")</f>
        <v>3LD3T8-2M30-q</v>
      </c>
      <c r="AK599" s="1" t="str">
        <f>_xlfn.IFNA(VLOOKUP(Master_Reference[[#This Row],[C-Flex 3500K 3W Part Number]],Lutron_CFlex_Lookup[],MATCH("Lutron Kit PN",Lutron_CFlex_Lookup[#Headers],0),FALSE),"")</f>
        <v>3LD3T8-2M35-q</v>
      </c>
      <c r="AL599" s="1" t="str">
        <f>_xlfn.IFNA(VLOOKUP(Master_Reference[[#This Row],[C-Flex 4000K 3W Part Number]],Lutron_CFlex_Lookup[],MATCH("Lutron Kit PN",Lutron_CFlex_Lookup[#Headers],0),FALSE),"")</f>
        <v>3LD3T8-2M40-q</v>
      </c>
      <c r="AM599" s="1" t="str">
        <f>_xlfn.IFNA(VLOOKUP(Master_Reference[[#This Row],[C-Flex 5000K 3W Part Number]],Lutron_CFlex_Lookup[],MATCH("Lutron Kit PN",Lutron_CFlex_Lookup[#Headers],0),FALSE),"")</f>
        <v>3LD3T8-2M50-q</v>
      </c>
      <c r="AN599" s="1" t="b">
        <f>NOT(ISNA(VLOOKUP(Master_Reference[[#This Row],[Model Number]],ObsoleteModels[],1,FALSE)))</f>
        <v>1</v>
      </c>
      <c r="AO599" s="1" t="str">
        <f>IF(LEFT(Master_Reference[[#This Row],[Model Number]],1)="U",LEFT(Master_Reference[[#This Row],[Model Number]],4),LEFT(Master_Reference[[#This Row],[Model Number]],3))</f>
        <v>FDB</v>
      </c>
    </row>
    <row r="600" spans="1:41" x14ac:dyDescent="0.25">
      <c r="A600" s="2" t="s">
        <v>884</v>
      </c>
      <c r="B600" s="1"/>
      <c r="C600" s="1" t="b">
        <v>1</v>
      </c>
      <c r="G600" s="1" t="str">
        <f>IF(OR(LEFT(RIGHT(Master_Reference[[#This Row],[Model Number]],3),1)="C",LEFT(RIGHT(Master_Reference[[#This Row],[Model Number]],4),1)="C"),TRUE,"")</f>
        <v/>
      </c>
      <c r="H600" s="1" t="str">
        <f>IF(LEFT(Master_Reference[[#This Row],[Model Number]],1)="U",TRUE,"")</f>
        <v/>
      </c>
      <c r="I600" s="1" t="b">
        <f>IF(Master_Reference[[#This Row],[Lamp Type]]="T4","",IF(Master_Reference[[#This Row],[Case Type]]="M","",TRUE))</f>
        <v>1</v>
      </c>
      <c r="J600" s="1" t="s">
        <v>111</v>
      </c>
      <c r="K600" s="1">
        <v>25</v>
      </c>
      <c r="L600" s="1" t="s">
        <v>115</v>
      </c>
      <c r="M600" s="1">
        <v>3</v>
      </c>
      <c r="N600" s="1" t="str">
        <f>LEFT(RIGHT(A600,5),3)</f>
        <v>277</v>
      </c>
      <c r="O600" s="1" t="s">
        <v>144</v>
      </c>
      <c r="R600" t="b">
        <f>IF(COUNTBLANK(Master_Reference[[#This Row],[C-Flex 3000K Eco Part Number]:[C-Flex 4000K Eco Part Number]])=3,FALSE,TRUE)</f>
        <v>0</v>
      </c>
      <c r="S600" t="b">
        <f>IF(COUNTBLANK(Master_Reference[[#This Row],[C-Flex 3000K 3W Part Number]:[C-Flex 4000K 3W Part Number]])=3,FALSE,TRUE)</f>
        <v>1</v>
      </c>
      <c r="T600" t="b">
        <f>IF(COUNTBLANK(Master_Reference[[#This Row],[Lutron 3000K Eco Part Number]:[Lutron 4000K Eco Part Number]])=3,FALSE,TRUE)</f>
        <v>0</v>
      </c>
      <c r="U600" t="b">
        <f>IF(COUNTBLANK(Master_Reference[[#This Row],[Lutron 3000K 3W Part Number]:[Lutron 4000K 3W Part Number]])=3,FALSE,TRUE)</f>
        <v>1</v>
      </c>
      <c r="V600" s="12"/>
      <c r="W600" s="12"/>
      <c r="X600" s="12"/>
      <c r="Y600" t="s">
        <v>2125</v>
      </c>
      <c r="Z600" s="12" t="s">
        <v>879</v>
      </c>
      <c r="AA600" s="12" t="s">
        <v>880</v>
      </c>
      <c r="AB600" s="12" t="s">
        <v>881</v>
      </c>
      <c r="AC600" t="s">
        <v>1828</v>
      </c>
      <c r="AD600" t="str">
        <f>SUBSTITUTE(Master_Reference[[#This Row],[C-Flex 4000K Eco Part Number]],"40-","xx-")</f>
        <v/>
      </c>
      <c r="AE600" t="str">
        <f>SUBSTITUTE(Master_Reference[[#This Row],[C-Flex 4000K 3W Part Number]],"40-","xx-")</f>
        <v>RP-T8-3FT-3L-8xx-3W-M-G2</v>
      </c>
      <c r="AF600" s="1" t="str">
        <f>_xlfn.IFNA(VLOOKUP(Master_Reference[[#This Row],[C-Flex 3000K Eco Part Number]],Lutron_CFlex_Lookup[],MATCH("Lutron Kit PN",Lutron_CFlex_Lookup[#Headers],0),FALSE),"")</f>
        <v/>
      </c>
      <c r="AG600" s="1" t="str">
        <f>_xlfn.IFNA(VLOOKUP(Master_Reference[[#This Row],[C-Flex 3500K Eco Part Number]],Lutron_CFlex_Lookup[],MATCH("Lutron Kit PN",Lutron_CFlex_Lookup[#Headers],0),FALSE),"")</f>
        <v/>
      </c>
      <c r="AH600" s="1" t="str">
        <f>_xlfn.IFNA(VLOOKUP(Master_Reference[[#This Row],[C-Flex 4000K Eco Part Number]],Lutron_CFlex_Lookup[],MATCH("Lutron Kit PN",Lutron_CFlex_Lookup[#Headers],0),FALSE),"")</f>
        <v/>
      </c>
      <c r="AI600" s="1" t="str">
        <f>_xlfn.IFNA(VLOOKUP(Master_Reference[[#This Row],[C-Flex 5000K Eco Part Number]],Lutron_CFlex_Lookup[],MATCH("Lutron Kit PN",Lutron_CFlex_Lookup[#Headers],0),FALSE),"")</f>
        <v/>
      </c>
      <c r="AJ600" s="1" t="str">
        <f>_xlfn.IFNA(VLOOKUP(Master_Reference[[#This Row],[C-Flex 3000K 3W Part Number]],Lutron_CFlex_Lookup[],MATCH("Lutron Kit PN",Lutron_CFlex_Lookup[#Headers],0),FALSE),"")</f>
        <v>3LD3T8-3M30-q</v>
      </c>
      <c r="AK600" s="1" t="str">
        <f>_xlfn.IFNA(VLOOKUP(Master_Reference[[#This Row],[C-Flex 3500K 3W Part Number]],Lutron_CFlex_Lookup[],MATCH("Lutron Kit PN",Lutron_CFlex_Lookup[#Headers],0),FALSE),"")</f>
        <v>3LD3T8-3M35-q</v>
      </c>
      <c r="AL600" s="1" t="str">
        <f>_xlfn.IFNA(VLOOKUP(Master_Reference[[#This Row],[C-Flex 4000K 3W Part Number]],Lutron_CFlex_Lookup[],MATCH("Lutron Kit PN",Lutron_CFlex_Lookup[#Headers],0),FALSE),"")</f>
        <v>3LD3T8-3M40-q</v>
      </c>
      <c r="AM600" s="1" t="str">
        <f>_xlfn.IFNA(VLOOKUP(Master_Reference[[#This Row],[C-Flex 5000K 3W Part Number]],Lutron_CFlex_Lookup[],MATCH("Lutron Kit PN",Lutron_CFlex_Lookup[#Headers],0),FALSE),"")</f>
        <v>3LD3T8-3M50-q</v>
      </c>
      <c r="AN600" s="1" t="b">
        <f>NOT(ISNA(VLOOKUP(Master_Reference[[#This Row],[Model Number]],ObsoleteModels[],1,FALSE)))</f>
        <v>1</v>
      </c>
      <c r="AO600" s="1" t="str">
        <f>IF(LEFT(Master_Reference[[#This Row],[Model Number]],1)="U",LEFT(Master_Reference[[#This Row],[Model Number]],4),LEFT(Master_Reference[[#This Row],[Model Number]],3))</f>
        <v>FDB</v>
      </c>
    </row>
    <row r="601" spans="1:41" x14ac:dyDescent="0.25">
      <c r="A601" s="2" t="s">
        <v>885</v>
      </c>
      <c r="B601" s="1"/>
      <c r="C601" s="1" t="b">
        <v>1</v>
      </c>
      <c r="G601" s="1" t="str">
        <f>IF(OR(LEFT(RIGHT(Master_Reference[[#This Row],[Model Number]],3),1)="C",LEFT(RIGHT(Master_Reference[[#This Row],[Model Number]],4),1)="C"),TRUE,"")</f>
        <v/>
      </c>
      <c r="H601" s="1" t="str">
        <f>IF(LEFT(Master_Reference[[#This Row],[Model Number]],1)="U",TRUE,"")</f>
        <v/>
      </c>
      <c r="I601" s="1" t="b">
        <f>IF(Master_Reference[[#This Row],[Lamp Type]]="T4","",IF(Master_Reference[[#This Row],[Case Type]]="M","",TRUE))</f>
        <v>1</v>
      </c>
      <c r="J601" s="1" t="s">
        <v>886</v>
      </c>
      <c r="K601" s="1">
        <v>30</v>
      </c>
      <c r="L601" s="1" t="s">
        <v>115</v>
      </c>
      <c r="M601" s="1">
        <v>1</v>
      </c>
      <c r="N601" s="1">
        <v>120</v>
      </c>
      <c r="O601" s="1" t="s">
        <v>144</v>
      </c>
      <c r="R601" t="b">
        <f>IF(COUNTBLANK(Master_Reference[[#This Row],[C-Flex 3000K Eco Part Number]:[C-Flex 4000K Eco Part Number]])=3,FALSE,TRUE)</f>
        <v>0</v>
      </c>
      <c r="S601" t="b">
        <f>IF(COUNTBLANK(Master_Reference[[#This Row],[C-Flex 3000K 3W Part Number]:[C-Flex 4000K 3W Part Number]])=3,FALSE,TRUE)</f>
        <v>0</v>
      </c>
      <c r="T601" s="1" t="b">
        <f>IF(COUNTBLANK(Master_Reference[[#This Row],[Lutron 3000K Eco Part Number]:[Lutron 4000K Eco Part Number]])=3,FALSE,TRUE)</f>
        <v>0</v>
      </c>
      <c r="U601" s="1" t="b">
        <f>IF(COUNTBLANK(Master_Reference[[#This Row],[Lutron 3000K 3W Part Number]:[Lutron 4000K 3W Part Number]])=3,FALSE,TRUE)</f>
        <v>0</v>
      </c>
      <c r="V601" s="13"/>
      <c r="W601" s="13"/>
      <c r="X601" s="12"/>
      <c r="Y601" t="s">
        <v>2125</v>
      </c>
      <c r="Z601" s="12"/>
      <c r="AA601" s="12"/>
      <c r="AB601" s="12"/>
      <c r="AC601" t="s">
        <v>2125</v>
      </c>
      <c r="AD601" t="str">
        <f>SUBSTITUTE(Master_Reference[[#This Row],[C-Flex 4000K Eco Part Number]],"40-","xx-")</f>
        <v/>
      </c>
      <c r="AE601" t="str">
        <f>SUBSTITUTE(Master_Reference[[#This Row],[C-Flex 4000K 3W Part Number]],"40-","xx-")</f>
        <v/>
      </c>
      <c r="AF601" s="1" t="str">
        <f>_xlfn.IFNA(VLOOKUP(Master_Reference[[#This Row],[C-Flex 3000K Eco Part Number]],Lutron_CFlex_Lookup[],MATCH("Lutron Kit PN",Lutron_CFlex_Lookup[#Headers],0),FALSE),"")</f>
        <v/>
      </c>
      <c r="AG601" s="1" t="str">
        <f>_xlfn.IFNA(VLOOKUP(Master_Reference[[#This Row],[C-Flex 3500K Eco Part Number]],Lutron_CFlex_Lookup[],MATCH("Lutron Kit PN",Lutron_CFlex_Lookup[#Headers],0),FALSE),"")</f>
        <v/>
      </c>
      <c r="AH601" s="1" t="str">
        <f>_xlfn.IFNA(VLOOKUP(Master_Reference[[#This Row],[C-Flex 4000K Eco Part Number]],Lutron_CFlex_Lookup[],MATCH("Lutron Kit PN",Lutron_CFlex_Lookup[#Headers],0),FALSE),"")</f>
        <v/>
      </c>
      <c r="AI601" s="1" t="str">
        <f>_xlfn.IFNA(VLOOKUP(Master_Reference[[#This Row],[C-Flex 5000K Eco Part Number]],Lutron_CFlex_Lookup[],MATCH("Lutron Kit PN",Lutron_CFlex_Lookup[#Headers],0),FALSE),"")</f>
        <v/>
      </c>
      <c r="AJ601" s="1" t="str">
        <f>_xlfn.IFNA(VLOOKUP(Master_Reference[[#This Row],[C-Flex 3000K 3W Part Number]],Lutron_CFlex_Lookup[],MATCH("Lutron Kit PN",Lutron_CFlex_Lookup[#Headers],0),FALSE),"")</f>
        <v/>
      </c>
      <c r="AK601" s="1" t="str">
        <f>_xlfn.IFNA(VLOOKUP(Master_Reference[[#This Row],[C-Flex 3500K 3W Part Number]],Lutron_CFlex_Lookup[],MATCH("Lutron Kit PN",Lutron_CFlex_Lookup[#Headers],0),FALSE),"")</f>
        <v/>
      </c>
      <c r="AL601" s="1" t="str">
        <f>_xlfn.IFNA(VLOOKUP(Master_Reference[[#This Row],[C-Flex 4000K 3W Part Number]],Lutron_CFlex_Lookup[],MATCH("Lutron Kit PN",Lutron_CFlex_Lookup[#Headers],0),FALSE),"")</f>
        <v/>
      </c>
      <c r="AM601" s="1" t="str">
        <f>_xlfn.IFNA(VLOOKUP(Master_Reference[[#This Row],[C-Flex 5000K 3W Part Number]],Lutron_CFlex_Lookup[],MATCH("Lutron Kit PN",Lutron_CFlex_Lookup[#Headers],0),FALSE),"")</f>
        <v/>
      </c>
      <c r="AN601" s="1" t="b">
        <f>NOT(ISNA(VLOOKUP(Master_Reference[[#This Row],[Model Number]],ObsoleteModels[],1,FALSE)))</f>
        <v>1</v>
      </c>
      <c r="AO601" s="1" t="str">
        <f>IF(LEFT(Master_Reference[[#This Row],[Model Number]],1)="U",LEFT(Master_Reference[[#This Row],[Model Number]],4),LEFT(Master_Reference[[#This Row],[Model Number]],3))</f>
        <v>FDB</v>
      </c>
    </row>
    <row r="602" spans="1:41" x14ac:dyDescent="0.25">
      <c r="A602" s="2" t="s">
        <v>887</v>
      </c>
      <c r="B602" s="1"/>
      <c r="C602" s="1" t="b">
        <v>1</v>
      </c>
      <c r="G602" s="1" t="str">
        <f>IF(OR(LEFT(RIGHT(Master_Reference[[#This Row],[Model Number]],3),1)="C",LEFT(RIGHT(Master_Reference[[#This Row],[Model Number]],4),1)="C"),TRUE,"")</f>
        <v/>
      </c>
      <c r="H602" s="1" t="str">
        <f>IF(LEFT(Master_Reference[[#This Row],[Model Number]],1)="U",TRUE,"")</f>
        <v/>
      </c>
      <c r="I602" s="1" t="b">
        <f>IF(Master_Reference[[#This Row],[Lamp Type]]="T4","",IF(Master_Reference[[#This Row],[Case Type]]="M","",TRUE))</f>
        <v>1</v>
      </c>
      <c r="J602" s="1" t="s">
        <v>886</v>
      </c>
      <c r="K602" s="1">
        <v>30</v>
      </c>
      <c r="L602" s="1" t="s">
        <v>115</v>
      </c>
      <c r="M602" s="1">
        <v>2</v>
      </c>
      <c r="N602" s="1">
        <v>120</v>
      </c>
      <c r="O602" s="1" t="s">
        <v>144</v>
      </c>
      <c r="R602" t="b">
        <f>IF(COUNTBLANK(Master_Reference[[#This Row],[C-Flex 3000K Eco Part Number]:[C-Flex 4000K Eco Part Number]])=3,FALSE,TRUE)</f>
        <v>0</v>
      </c>
      <c r="S602" t="b">
        <f>IF(COUNTBLANK(Master_Reference[[#This Row],[C-Flex 3000K 3W Part Number]:[C-Flex 4000K 3W Part Number]])=3,FALSE,TRUE)</f>
        <v>0</v>
      </c>
      <c r="T602" s="1" t="b">
        <f>IF(COUNTBLANK(Master_Reference[[#This Row],[Lutron 3000K Eco Part Number]:[Lutron 4000K Eco Part Number]])=3,FALSE,TRUE)</f>
        <v>0</v>
      </c>
      <c r="U602" s="1" t="b">
        <f>IF(COUNTBLANK(Master_Reference[[#This Row],[Lutron 3000K 3W Part Number]:[Lutron 4000K 3W Part Number]])=3,FALSE,TRUE)</f>
        <v>0</v>
      </c>
      <c r="V602" s="13"/>
      <c r="W602" s="13"/>
      <c r="X602" s="12"/>
      <c r="Y602" t="s">
        <v>2125</v>
      </c>
      <c r="Z602" s="12"/>
      <c r="AA602" s="12"/>
      <c r="AB602" s="12"/>
      <c r="AC602" t="s">
        <v>2125</v>
      </c>
      <c r="AD602" t="str">
        <f>SUBSTITUTE(Master_Reference[[#This Row],[C-Flex 4000K Eco Part Number]],"40-","xx-")</f>
        <v/>
      </c>
      <c r="AE602" t="str">
        <f>SUBSTITUTE(Master_Reference[[#This Row],[C-Flex 4000K 3W Part Number]],"40-","xx-")</f>
        <v/>
      </c>
      <c r="AF602" s="1" t="str">
        <f>_xlfn.IFNA(VLOOKUP(Master_Reference[[#This Row],[C-Flex 3000K Eco Part Number]],Lutron_CFlex_Lookup[],MATCH("Lutron Kit PN",Lutron_CFlex_Lookup[#Headers],0),FALSE),"")</f>
        <v/>
      </c>
      <c r="AG602" s="1" t="str">
        <f>_xlfn.IFNA(VLOOKUP(Master_Reference[[#This Row],[C-Flex 3500K Eco Part Number]],Lutron_CFlex_Lookup[],MATCH("Lutron Kit PN",Lutron_CFlex_Lookup[#Headers],0),FALSE),"")</f>
        <v/>
      </c>
      <c r="AH602" s="1" t="str">
        <f>_xlfn.IFNA(VLOOKUP(Master_Reference[[#This Row],[C-Flex 4000K Eco Part Number]],Lutron_CFlex_Lookup[],MATCH("Lutron Kit PN",Lutron_CFlex_Lookup[#Headers],0),FALSE),"")</f>
        <v/>
      </c>
      <c r="AI602" s="1" t="str">
        <f>_xlfn.IFNA(VLOOKUP(Master_Reference[[#This Row],[C-Flex 5000K Eco Part Number]],Lutron_CFlex_Lookup[],MATCH("Lutron Kit PN",Lutron_CFlex_Lookup[#Headers],0),FALSE),"")</f>
        <v/>
      </c>
      <c r="AJ602" s="1" t="str">
        <f>_xlfn.IFNA(VLOOKUP(Master_Reference[[#This Row],[C-Flex 3000K 3W Part Number]],Lutron_CFlex_Lookup[],MATCH("Lutron Kit PN",Lutron_CFlex_Lookup[#Headers],0),FALSE),"")</f>
        <v/>
      </c>
      <c r="AK602" s="1" t="str">
        <f>_xlfn.IFNA(VLOOKUP(Master_Reference[[#This Row],[C-Flex 3500K 3W Part Number]],Lutron_CFlex_Lookup[],MATCH("Lutron Kit PN",Lutron_CFlex_Lookup[#Headers],0),FALSE),"")</f>
        <v/>
      </c>
      <c r="AL602" s="1" t="str">
        <f>_xlfn.IFNA(VLOOKUP(Master_Reference[[#This Row],[C-Flex 4000K 3W Part Number]],Lutron_CFlex_Lookup[],MATCH("Lutron Kit PN",Lutron_CFlex_Lookup[#Headers],0),FALSE),"")</f>
        <v/>
      </c>
      <c r="AM602" s="1" t="str">
        <f>_xlfn.IFNA(VLOOKUP(Master_Reference[[#This Row],[C-Flex 5000K 3W Part Number]],Lutron_CFlex_Lookup[],MATCH("Lutron Kit PN",Lutron_CFlex_Lookup[#Headers],0),FALSE),"")</f>
        <v/>
      </c>
      <c r="AN602" s="1" t="b">
        <f>NOT(ISNA(VLOOKUP(Master_Reference[[#This Row],[Model Number]],ObsoleteModels[],1,FALSE)))</f>
        <v>1</v>
      </c>
      <c r="AO602" s="1" t="str">
        <f>IF(LEFT(Master_Reference[[#This Row],[Model Number]],1)="U",LEFT(Master_Reference[[#This Row],[Model Number]],4),LEFT(Master_Reference[[#This Row],[Model Number]],3))</f>
        <v>FDB</v>
      </c>
    </row>
    <row r="603" spans="1:41" x14ac:dyDescent="0.25">
      <c r="A603" s="2" t="s">
        <v>888</v>
      </c>
      <c r="B603" s="1"/>
      <c r="C603" s="1" t="b">
        <v>1</v>
      </c>
      <c r="G603" s="1" t="str">
        <f>IF(OR(LEFT(RIGHT(Master_Reference[[#This Row],[Model Number]],3),1)="C",LEFT(RIGHT(Master_Reference[[#This Row],[Model Number]],4),1)="C"),TRUE,"")</f>
        <v/>
      </c>
      <c r="H603" s="1" t="str">
        <f>IF(LEFT(Master_Reference[[#This Row],[Model Number]],1)="U",TRUE,"")</f>
        <v/>
      </c>
      <c r="I603" s="1" t="b">
        <f>IF(Master_Reference[[#This Row],[Lamp Type]]="T4","",IF(Master_Reference[[#This Row],[Case Type]]="M","",TRUE))</f>
        <v>1</v>
      </c>
      <c r="J603" s="1" t="s">
        <v>886</v>
      </c>
      <c r="K603" s="1">
        <v>30</v>
      </c>
      <c r="L603" s="1" t="s">
        <v>115</v>
      </c>
      <c r="M603" s="1">
        <v>1</v>
      </c>
      <c r="N603" s="1">
        <v>277</v>
      </c>
      <c r="O603" s="1" t="s">
        <v>144</v>
      </c>
      <c r="R603" t="b">
        <f>IF(COUNTBLANK(Master_Reference[[#This Row],[C-Flex 3000K Eco Part Number]:[C-Flex 4000K Eco Part Number]])=3,FALSE,TRUE)</f>
        <v>0</v>
      </c>
      <c r="S603" t="b">
        <f>IF(COUNTBLANK(Master_Reference[[#This Row],[C-Flex 3000K 3W Part Number]:[C-Flex 4000K 3W Part Number]])=3,FALSE,TRUE)</f>
        <v>0</v>
      </c>
      <c r="T603" s="1" t="b">
        <f>IF(COUNTBLANK(Master_Reference[[#This Row],[Lutron 3000K Eco Part Number]:[Lutron 4000K Eco Part Number]])=3,FALSE,TRUE)</f>
        <v>0</v>
      </c>
      <c r="U603" s="1" t="b">
        <f>IF(COUNTBLANK(Master_Reference[[#This Row],[Lutron 3000K 3W Part Number]:[Lutron 4000K 3W Part Number]])=3,FALSE,TRUE)</f>
        <v>0</v>
      </c>
      <c r="V603" s="13"/>
      <c r="W603" s="13"/>
      <c r="X603" s="12"/>
      <c r="Y603" t="s">
        <v>2125</v>
      </c>
      <c r="Z603" s="12"/>
      <c r="AA603" s="12"/>
      <c r="AB603" s="12"/>
      <c r="AC603" t="s">
        <v>2125</v>
      </c>
      <c r="AD603" t="str">
        <f>SUBSTITUTE(Master_Reference[[#This Row],[C-Flex 4000K Eco Part Number]],"40-","xx-")</f>
        <v/>
      </c>
      <c r="AE603" t="str">
        <f>SUBSTITUTE(Master_Reference[[#This Row],[C-Flex 4000K 3W Part Number]],"40-","xx-")</f>
        <v/>
      </c>
      <c r="AF603" s="1" t="str">
        <f>_xlfn.IFNA(VLOOKUP(Master_Reference[[#This Row],[C-Flex 3000K Eco Part Number]],Lutron_CFlex_Lookup[],MATCH("Lutron Kit PN",Lutron_CFlex_Lookup[#Headers],0),FALSE),"")</f>
        <v/>
      </c>
      <c r="AG603" s="1" t="str">
        <f>_xlfn.IFNA(VLOOKUP(Master_Reference[[#This Row],[C-Flex 3500K Eco Part Number]],Lutron_CFlex_Lookup[],MATCH("Lutron Kit PN",Lutron_CFlex_Lookup[#Headers],0),FALSE),"")</f>
        <v/>
      </c>
      <c r="AH603" s="1" t="str">
        <f>_xlfn.IFNA(VLOOKUP(Master_Reference[[#This Row],[C-Flex 4000K Eco Part Number]],Lutron_CFlex_Lookup[],MATCH("Lutron Kit PN",Lutron_CFlex_Lookup[#Headers],0),FALSE),"")</f>
        <v/>
      </c>
      <c r="AI603" s="1" t="str">
        <f>_xlfn.IFNA(VLOOKUP(Master_Reference[[#This Row],[C-Flex 5000K Eco Part Number]],Lutron_CFlex_Lookup[],MATCH("Lutron Kit PN",Lutron_CFlex_Lookup[#Headers],0),FALSE),"")</f>
        <v/>
      </c>
      <c r="AJ603" s="1" t="str">
        <f>_xlfn.IFNA(VLOOKUP(Master_Reference[[#This Row],[C-Flex 3000K 3W Part Number]],Lutron_CFlex_Lookup[],MATCH("Lutron Kit PN",Lutron_CFlex_Lookup[#Headers],0),FALSE),"")</f>
        <v/>
      </c>
      <c r="AK603" s="1" t="str">
        <f>_xlfn.IFNA(VLOOKUP(Master_Reference[[#This Row],[C-Flex 3500K 3W Part Number]],Lutron_CFlex_Lookup[],MATCH("Lutron Kit PN",Lutron_CFlex_Lookup[#Headers],0),FALSE),"")</f>
        <v/>
      </c>
      <c r="AL603" s="1" t="str">
        <f>_xlfn.IFNA(VLOOKUP(Master_Reference[[#This Row],[C-Flex 4000K 3W Part Number]],Lutron_CFlex_Lookup[],MATCH("Lutron Kit PN",Lutron_CFlex_Lookup[#Headers],0),FALSE),"")</f>
        <v/>
      </c>
      <c r="AM603" s="1" t="str">
        <f>_xlfn.IFNA(VLOOKUP(Master_Reference[[#This Row],[C-Flex 5000K 3W Part Number]],Lutron_CFlex_Lookup[],MATCH("Lutron Kit PN",Lutron_CFlex_Lookup[#Headers],0),FALSE),"")</f>
        <v/>
      </c>
      <c r="AN603" s="1" t="b">
        <f>NOT(ISNA(VLOOKUP(Master_Reference[[#This Row],[Model Number]],ObsoleteModels[],1,FALSE)))</f>
        <v>1</v>
      </c>
      <c r="AO603" s="1" t="str">
        <f>IF(LEFT(Master_Reference[[#This Row],[Model Number]],1)="U",LEFT(Master_Reference[[#This Row],[Model Number]],4),LEFT(Master_Reference[[#This Row],[Model Number]],3))</f>
        <v>FDB</v>
      </c>
    </row>
    <row r="604" spans="1:41" x14ac:dyDescent="0.25">
      <c r="A604" s="2" t="s">
        <v>889</v>
      </c>
      <c r="B604" s="1"/>
      <c r="C604" s="1" t="b">
        <v>1</v>
      </c>
      <c r="G604" s="1" t="str">
        <f>IF(OR(LEFT(RIGHT(Master_Reference[[#This Row],[Model Number]],3),1)="C",LEFT(RIGHT(Master_Reference[[#This Row],[Model Number]],4),1)="C"),TRUE,"")</f>
        <v/>
      </c>
      <c r="H604" s="1" t="str">
        <f>IF(LEFT(Master_Reference[[#This Row],[Model Number]],1)="U",TRUE,"")</f>
        <v/>
      </c>
      <c r="I604" s="1" t="b">
        <f>IF(Master_Reference[[#This Row],[Lamp Type]]="T4","",IF(Master_Reference[[#This Row],[Case Type]]="M","",TRUE))</f>
        <v>1</v>
      </c>
      <c r="J604" s="1" t="s">
        <v>886</v>
      </c>
      <c r="K604" s="1">
        <v>30</v>
      </c>
      <c r="L604" s="1" t="s">
        <v>115</v>
      </c>
      <c r="M604" s="1">
        <v>2</v>
      </c>
      <c r="N604" s="1">
        <v>277</v>
      </c>
      <c r="O604" s="1" t="s">
        <v>144</v>
      </c>
      <c r="R604" t="b">
        <f>IF(COUNTBLANK(Master_Reference[[#This Row],[C-Flex 3000K Eco Part Number]:[C-Flex 4000K Eco Part Number]])=3,FALSE,TRUE)</f>
        <v>0</v>
      </c>
      <c r="S604" t="b">
        <f>IF(COUNTBLANK(Master_Reference[[#This Row],[C-Flex 3000K 3W Part Number]:[C-Flex 4000K 3W Part Number]])=3,FALSE,TRUE)</f>
        <v>0</v>
      </c>
      <c r="T604" s="1" t="b">
        <f>IF(COUNTBLANK(Master_Reference[[#This Row],[Lutron 3000K Eco Part Number]:[Lutron 4000K Eco Part Number]])=3,FALSE,TRUE)</f>
        <v>0</v>
      </c>
      <c r="U604" s="1" t="b">
        <f>IF(COUNTBLANK(Master_Reference[[#This Row],[Lutron 3000K 3W Part Number]:[Lutron 4000K 3W Part Number]])=3,FALSE,TRUE)</f>
        <v>0</v>
      </c>
      <c r="V604" s="13"/>
      <c r="W604" s="13"/>
      <c r="X604" s="12"/>
      <c r="Y604" t="s">
        <v>2125</v>
      </c>
      <c r="Z604" s="12"/>
      <c r="AA604" s="12"/>
      <c r="AB604" s="12"/>
      <c r="AC604" t="s">
        <v>2125</v>
      </c>
      <c r="AD604" t="str">
        <f>SUBSTITUTE(Master_Reference[[#This Row],[C-Flex 4000K Eco Part Number]],"40-","xx-")</f>
        <v/>
      </c>
      <c r="AE604" t="str">
        <f>SUBSTITUTE(Master_Reference[[#This Row],[C-Flex 4000K 3W Part Number]],"40-","xx-")</f>
        <v/>
      </c>
      <c r="AF604" s="1" t="str">
        <f>_xlfn.IFNA(VLOOKUP(Master_Reference[[#This Row],[C-Flex 3000K Eco Part Number]],Lutron_CFlex_Lookup[],MATCH("Lutron Kit PN",Lutron_CFlex_Lookup[#Headers],0),FALSE),"")</f>
        <v/>
      </c>
      <c r="AG604" s="1" t="str">
        <f>_xlfn.IFNA(VLOOKUP(Master_Reference[[#This Row],[C-Flex 3500K Eco Part Number]],Lutron_CFlex_Lookup[],MATCH("Lutron Kit PN",Lutron_CFlex_Lookup[#Headers],0),FALSE),"")</f>
        <v/>
      </c>
      <c r="AH604" s="1" t="str">
        <f>_xlfn.IFNA(VLOOKUP(Master_Reference[[#This Row],[C-Flex 4000K Eco Part Number]],Lutron_CFlex_Lookup[],MATCH("Lutron Kit PN",Lutron_CFlex_Lookup[#Headers],0),FALSE),"")</f>
        <v/>
      </c>
      <c r="AI604" s="1" t="str">
        <f>_xlfn.IFNA(VLOOKUP(Master_Reference[[#This Row],[C-Flex 5000K Eco Part Number]],Lutron_CFlex_Lookup[],MATCH("Lutron Kit PN",Lutron_CFlex_Lookup[#Headers],0),FALSE),"")</f>
        <v/>
      </c>
      <c r="AJ604" s="1" t="str">
        <f>_xlfn.IFNA(VLOOKUP(Master_Reference[[#This Row],[C-Flex 3000K 3W Part Number]],Lutron_CFlex_Lookup[],MATCH("Lutron Kit PN",Lutron_CFlex_Lookup[#Headers],0),FALSE),"")</f>
        <v/>
      </c>
      <c r="AK604" s="1" t="str">
        <f>_xlfn.IFNA(VLOOKUP(Master_Reference[[#This Row],[C-Flex 3500K 3W Part Number]],Lutron_CFlex_Lookup[],MATCH("Lutron Kit PN",Lutron_CFlex_Lookup[#Headers],0),FALSE),"")</f>
        <v/>
      </c>
      <c r="AL604" s="1" t="str">
        <f>_xlfn.IFNA(VLOOKUP(Master_Reference[[#This Row],[C-Flex 4000K 3W Part Number]],Lutron_CFlex_Lookup[],MATCH("Lutron Kit PN",Lutron_CFlex_Lookup[#Headers],0),FALSE),"")</f>
        <v/>
      </c>
      <c r="AM604" s="1" t="str">
        <f>_xlfn.IFNA(VLOOKUP(Master_Reference[[#This Row],[C-Flex 5000K 3W Part Number]],Lutron_CFlex_Lookup[],MATCH("Lutron Kit PN",Lutron_CFlex_Lookup[#Headers],0),FALSE),"")</f>
        <v/>
      </c>
      <c r="AN604" s="1" t="b">
        <f>NOT(ISNA(VLOOKUP(Master_Reference[[#This Row],[Model Number]],ObsoleteModels[],1,FALSE)))</f>
        <v>1</v>
      </c>
      <c r="AO604" s="1" t="str">
        <f>IF(LEFT(Master_Reference[[#This Row],[Model Number]],1)="U",LEFT(Master_Reference[[#This Row],[Model Number]],4),LEFT(Master_Reference[[#This Row],[Model Number]],3))</f>
        <v>FDB</v>
      </c>
    </row>
    <row r="605" spans="1:41" x14ac:dyDescent="0.25">
      <c r="A605" s="2" t="s">
        <v>890</v>
      </c>
      <c r="B605" s="1"/>
      <c r="C605" s="1" t="b">
        <v>1</v>
      </c>
      <c r="G605" s="1" t="str">
        <f>IF(OR(LEFT(RIGHT(Master_Reference[[#This Row],[Model Number]],3),1)="C",LEFT(RIGHT(Master_Reference[[#This Row],[Model Number]],4),1)="C"),TRUE,"")</f>
        <v/>
      </c>
      <c r="H605" s="1" t="str">
        <f>IF(LEFT(Master_Reference[[#This Row],[Model Number]],1)="U",TRUE,"")</f>
        <v/>
      </c>
      <c r="I605" s="1" t="b">
        <f>IF(Master_Reference[[#This Row],[Lamp Type]]="T4","",IF(Master_Reference[[#This Row],[Case Type]]="M","",TRUE))</f>
        <v>1</v>
      </c>
      <c r="J605" s="1" t="s">
        <v>886</v>
      </c>
      <c r="K605" s="1">
        <v>30</v>
      </c>
      <c r="L605" s="1" t="s">
        <v>115</v>
      </c>
      <c r="M605" s="1">
        <v>1</v>
      </c>
      <c r="N605" s="1">
        <v>120</v>
      </c>
      <c r="O605" s="1" t="s">
        <v>144</v>
      </c>
      <c r="R605" t="b">
        <f>IF(COUNTBLANK(Master_Reference[[#This Row],[C-Flex 3000K Eco Part Number]:[C-Flex 4000K Eco Part Number]])=3,FALSE,TRUE)</f>
        <v>0</v>
      </c>
      <c r="S605" t="b">
        <f>IF(COUNTBLANK(Master_Reference[[#This Row],[C-Flex 3000K 3W Part Number]:[C-Flex 4000K 3W Part Number]])=3,FALSE,TRUE)</f>
        <v>0</v>
      </c>
      <c r="T605" s="1" t="b">
        <f>IF(COUNTBLANK(Master_Reference[[#This Row],[Lutron 3000K Eco Part Number]:[Lutron 4000K Eco Part Number]])=3,FALSE,TRUE)</f>
        <v>0</v>
      </c>
      <c r="U605" s="1" t="b">
        <f>IF(COUNTBLANK(Master_Reference[[#This Row],[Lutron 3000K 3W Part Number]:[Lutron 4000K 3W Part Number]])=3,FALSE,TRUE)</f>
        <v>0</v>
      </c>
      <c r="V605" s="13"/>
      <c r="W605" s="13"/>
      <c r="X605" s="12"/>
      <c r="Y605" t="s">
        <v>2125</v>
      </c>
      <c r="Z605" s="12"/>
      <c r="AA605" s="12"/>
      <c r="AB605" s="12"/>
      <c r="AC605" t="s">
        <v>2125</v>
      </c>
      <c r="AD605" t="str">
        <f>SUBSTITUTE(Master_Reference[[#This Row],[C-Flex 4000K Eco Part Number]],"40-","xx-")</f>
        <v/>
      </c>
      <c r="AE605" t="str">
        <f>SUBSTITUTE(Master_Reference[[#This Row],[C-Flex 4000K 3W Part Number]],"40-","xx-")</f>
        <v/>
      </c>
      <c r="AF605" s="1" t="str">
        <f>_xlfn.IFNA(VLOOKUP(Master_Reference[[#This Row],[C-Flex 3000K Eco Part Number]],Lutron_CFlex_Lookup[],MATCH("Lutron Kit PN",Lutron_CFlex_Lookup[#Headers],0),FALSE),"")</f>
        <v/>
      </c>
      <c r="AG605" s="1" t="str">
        <f>_xlfn.IFNA(VLOOKUP(Master_Reference[[#This Row],[C-Flex 3500K Eco Part Number]],Lutron_CFlex_Lookup[],MATCH("Lutron Kit PN",Lutron_CFlex_Lookup[#Headers],0),FALSE),"")</f>
        <v/>
      </c>
      <c r="AH605" s="1" t="str">
        <f>_xlfn.IFNA(VLOOKUP(Master_Reference[[#This Row],[C-Flex 4000K Eco Part Number]],Lutron_CFlex_Lookup[],MATCH("Lutron Kit PN",Lutron_CFlex_Lookup[#Headers],0),FALSE),"")</f>
        <v/>
      </c>
      <c r="AI605" s="1" t="str">
        <f>_xlfn.IFNA(VLOOKUP(Master_Reference[[#This Row],[C-Flex 5000K Eco Part Number]],Lutron_CFlex_Lookup[],MATCH("Lutron Kit PN",Lutron_CFlex_Lookup[#Headers],0),FALSE),"")</f>
        <v/>
      </c>
      <c r="AJ605" s="1" t="str">
        <f>_xlfn.IFNA(VLOOKUP(Master_Reference[[#This Row],[C-Flex 3000K 3W Part Number]],Lutron_CFlex_Lookup[],MATCH("Lutron Kit PN",Lutron_CFlex_Lookup[#Headers],0),FALSE),"")</f>
        <v/>
      </c>
      <c r="AK605" s="1" t="str">
        <f>_xlfn.IFNA(VLOOKUP(Master_Reference[[#This Row],[C-Flex 3500K 3W Part Number]],Lutron_CFlex_Lookup[],MATCH("Lutron Kit PN",Lutron_CFlex_Lookup[#Headers],0),FALSE),"")</f>
        <v/>
      </c>
      <c r="AL605" s="1" t="str">
        <f>_xlfn.IFNA(VLOOKUP(Master_Reference[[#This Row],[C-Flex 4000K 3W Part Number]],Lutron_CFlex_Lookup[],MATCH("Lutron Kit PN",Lutron_CFlex_Lookup[#Headers],0),FALSE),"")</f>
        <v/>
      </c>
      <c r="AM605" s="1" t="str">
        <f>_xlfn.IFNA(VLOOKUP(Master_Reference[[#This Row],[C-Flex 5000K 3W Part Number]],Lutron_CFlex_Lookup[],MATCH("Lutron Kit PN",Lutron_CFlex_Lookup[#Headers],0),FALSE),"")</f>
        <v/>
      </c>
      <c r="AN605" s="1" t="b">
        <f>NOT(ISNA(VLOOKUP(Master_Reference[[#This Row],[Model Number]],ObsoleteModels[],1,FALSE)))</f>
        <v>1</v>
      </c>
      <c r="AO605" s="1" t="str">
        <f>IF(LEFT(Master_Reference[[#This Row],[Model Number]],1)="U",LEFT(Master_Reference[[#This Row],[Model Number]],4),LEFT(Master_Reference[[#This Row],[Model Number]],3))</f>
        <v>FDB</v>
      </c>
    </row>
    <row r="606" spans="1:41" x14ac:dyDescent="0.25">
      <c r="A606" s="2" t="s">
        <v>891</v>
      </c>
      <c r="B606" s="1"/>
      <c r="C606" s="1" t="b">
        <v>1</v>
      </c>
      <c r="G606" s="1" t="str">
        <f>IF(OR(LEFT(RIGHT(Master_Reference[[#This Row],[Model Number]],3),1)="C",LEFT(RIGHT(Master_Reference[[#This Row],[Model Number]],4),1)="C"),TRUE,"")</f>
        <v/>
      </c>
      <c r="H606" s="1" t="str">
        <f>IF(LEFT(Master_Reference[[#This Row],[Model Number]],1)="U",TRUE,"")</f>
        <v/>
      </c>
      <c r="I606" s="1" t="b">
        <f>IF(Master_Reference[[#This Row],[Lamp Type]]="T4","",IF(Master_Reference[[#This Row],[Case Type]]="M","",TRUE))</f>
        <v>1</v>
      </c>
      <c r="J606" s="1" t="s">
        <v>111</v>
      </c>
      <c r="K606" s="1">
        <v>32</v>
      </c>
      <c r="L606" s="1" t="s">
        <v>118</v>
      </c>
      <c r="M606" s="1">
        <v>1</v>
      </c>
      <c r="N606" s="1" t="str">
        <f>LEFT(RIGHT(A606,5),3)</f>
        <v>100</v>
      </c>
      <c r="O606" s="1" t="s">
        <v>144</v>
      </c>
      <c r="Q606" s="1" t="s">
        <v>892</v>
      </c>
      <c r="R606" t="b">
        <f>IF(COUNTBLANK(Master_Reference[[#This Row],[C-Flex 3000K Eco Part Number]:[C-Flex 4000K Eco Part Number]])=3,FALSE,TRUE)</f>
        <v>0</v>
      </c>
      <c r="S606" t="b">
        <f>IF(COUNTBLANK(Master_Reference[[#This Row],[C-Flex 3000K 3W Part Number]:[C-Flex 4000K 3W Part Number]])=3,FALSE,TRUE)</f>
        <v>0</v>
      </c>
      <c r="T606" t="b">
        <f>IF(COUNTBLANK(Master_Reference[[#This Row],[Lutron 3000K Eco Part Number]:[Lutron 4000K Eco Part Number]])=3,FALSE,TRUE)</f>
        <v>0</v>
      </c>
      <c r="U606" t="b">
        <f>IF(COUNTBLANK(Master_Reference[[#This Row],[Lutron 3000K 3W Part Number]:[Lutron 4000K 3W Part Number]])=3,FALSE,TRUE)</f>
        <v>0</v>
      </c>
      <c r="V606" s="12"/>
      <c r="W606" s="12"/>
      <c r="X606" s="12"/>
      <c r="Y606" t="s">
        <v>2125</v>
      </c>
      <c r="Z606" s="12"/>
      <c r="AA606" s="12"/>
      <c r="AB606" s="12"/>
      <c r="AC606" t="s">
        <v>2125</v>
      </c>
      <c r="AD606" t="str">
        <f>SUBSTITUTE(Master_Reference[[#This Row],[C-Flex 4000K Eco Part Number]],"40-","xx-")</f>
        <v/>
      </c>
      <c r="AE606" t="str">
        <f>SUBSTITUTE(Master_Reference[[#This Row],[C-Flex 4000K 3W Part Number]],"40-","xx-")</f>
        <v/>
      </c>
      <c r="AF606" s="1" t="str">
        <f>_xlfn.IFNA(VLOOKUP(Master_Reference[[#This Row],[C-Flex 3000K Eco Part Number]],Lutron_CFlex_Lookup[],MATCH("Lutron Kit PN",Lutron_CFlex_Lookup[#Headers],0),FALSE),"")</f>
        <v/>
      </c>
      <c r="AG606" s="1" t="str">
        <f>_xlfn.IFNA(VLOOKUP(Master_Reference[[#This Row],[C-Flex 3500K Eco Part Number]],Lutron_CFlex_Lookup[],MATCH("Lutron Kit PN",Lutron_CFlex_Lookup[#Headers],0),FALSE),"")</f>
        <v/>
      </c>
      <c r="AH606" s="1" t="str">
        <f>_xlfn.IFNA(VLOOKUP(Master_Reference[[#This Row],[C-Flex 4000K Eco Part Number]],Lutron_CFlex_Lookup[],MATCH("Lutron Kit PN",Lutron_CFlex_Lookup[#Headers],0),FALSE),"")</f>
        <v/>
      </c>
      <c r="AI606" s="1" t="str">
        <f>_xlfn.IFNA(VLOOKUP(Master_Reference[[#This Row],[C-Flex 5000K Eco Part Number]],Lutron_CFlex_Lookup[],MATCH("Lutron Kit PN",Lutron_CFlex_Lookup[#Headers],0),FALSE),"")</f>
        <v/>
      </c>
      <c r="AJ606" s="1" t="str">
        <f>_xlfn.IFNA(VLOOKUP(Master_Reference[[#This Row],[C-Flex 3000K 3W Part Number]],Lutron_CFlex_Lookup[],MATCH("Lutron Kit PN",Lutron_CFlex_Lookup[#Headers],0),FALSE),"")</f>
        <v/>
      </c>
      <c r="AK606" s="1" t="str">
        <f>_xlfn.IFNA(VLOOKUP(Master_Reference[[#This Row],[C-Flex 3500K 3W Part Number]],Lutron_CFlex_Lookup[],MATCH("Lutron Kit PN",Lutron_CFlex_Lookup[#Headers],0),FALSE),"")</f>
        <v/>
      </c>
      <c r="AL606" s="1" t="str">
        <f>_xlfn.IFNA(VLOOKUP(Master_Reference[[#This Row],[C-Flex 4000K 3W Part Number]],Lutron_CFlex_Lookup[],MATCH("Lutron Kit PN",Lutron_CFlex_Lookup[#Headers],0),FALSE),"")</f>
        <v/>
      </c>
      <c r="AM606" s="1" t="str">
        <f>_xlfn.IFNA(VLOOKUP(Master_Reference[[#This Row],[C-Flex 5000K 3W Part Number]],Lutron_CFlex_Lookup[],MATCH("Lutron Kit PN",Lutron_CFlex_Lookup[#Headers],0),FALSE),"")</f>
        <v/>
      </c>
      <c r="AN606" s="1" t="b">
        <f>NOT(ISNA(VLOOKUP(Master_Reference[[#This Row],[Model Number]],ObsoleteModels[],1,FALSE)))</f>
        <v>1</v>
      </c>
      <c r="AO606" s="1" t="str">
        <f>IF(LEFT(Master_Reference[[#This Row],[Model Number]],1)="U",LEFT(Master_Reference[[#This Row],[Model Number]],4),LEFT(Master_Reference[[#This Row],[Model Number]],3))</f>
        <v>FDB</v>
      </c>
    </row>
    <row r="607" spans="1:41" x14ac:dyDescent="0.25">
      <c r="A607" s="2" t="s">
        <v>893</v>
      </c>
      <c r="B607" s="1"/>
      <c r="C607" s="1" t="b">
        <v>1</v>
      </c>
      <c r="G607" s="1" t="str">
        <f>IF(OR(LEFT(RIGHT(Master_Reference[[#This Row],[Model Number]],3),1)="C",LEFT(RIGHT(Master_Reference[[#This Row],[Model Number]],4),1)="C"),TRUE,"")</f>
        <v/>
      </c>
      <c r="H607" s="1" t="str">
        <f>IF(LEFT(Master_Reference[[#This Row],[Model Number]],1)="U",TRUE,"")</f>
        <v/>
      </c>
      <c r="I607" s="1" t="b">
        <f>IF(Master_Reference[[#This Row],[Lamp Type]]="T4","",IF(Master_Reference[[#This Row],[Case Type]]="M","",TRUE))</f>
        <v>1</v>
      </c>
      <c r="J607" s="1" t="s">
        <v>111</v>
      </c>
      <c r="K607" s="1">
        <v>32</v>
      </c>
      <c r="L607" s="1" t="s">
        <v>118</v>
      </c>
      <c r="M607" s="1">
        <v>2</v>
      </c>
      <c r="N607" s="1" t="str">
        <f>LEFT(RIGHT(A607,5),3)</f>
        <v>100</v>
      </c>
      <c r="O607" s="1" t="s">
        <v>144</v>
      </c>
      <c r="Q607" s="1" t="s">
        <v>892</v>
      </c>
      <c r="R607" t="b">
        <f>IF(COUNTBLANK(Master_Reference[[#This Row],[C-Flex 3000K Eco Part Number]:[C-Flex 4000K Eco Part Number]])=3,FALSE,TRUE)</f>
        <v>0</v>
      </c>
      <c r="S607" t="b">
        <f>IF(COUNTBLANK(Master_Reference[[#This Row],[C-Flex 3000K 3W Part Number]:[C-Flex 4000K 3W Part Number]])=3,FALSE,TRUE)</f>
        <v>0</v>
      </c>
      <c r="T607" t="b">
        <f>IF(COUNTBLANK(Master_Reference[[#This Row],[Lutron 3000K Eco Part Number]:[Lutron 4000K Eco Part Number]])=3,FALSE,TRUE)</f>
        <v>0</v>
      </c>
      <c r="U607" t="b">
        <f>IF(COUNTBLANK(Master_Reference[[#This Row],[Lutron 3000K 3W Part Number]:[Lutron 4000K 3W Part Number]])=3,FALSE,TRUE)</f>
        <v>0</v>
      </c>
      <c r="V607" s="12"/>
      <c r="W607" s="12"/>
      <c r="X607" s="12"/>
      <c r="Y607" t="s">
        <v>2125</v>
      </c>
      <c r="Z607" s="12"/>
      <c r="AA607" s="12"/>
      <c r="AB607" s="12"/>
      <c r="AC607" t="s">
        <v>2125</v>
      </c>
      <c r="AD607" t="str">
        <f>SUBSTITUTE(Master_Reference[[#This Row],[C-Flex 4000K Eco Part Number]],"40-","xx-")</f>
        <v/>
      </c>
      <c r="AE607" t="str">
        <f>SUBSTITUTE(Master_Reference[[#This Row],[C-Flex 4000K 3W Part Number]],"40-","xx-")</f>
        <v/>
      </c>
      <c r="AF607" s="1" t="str">
        <f>_xlfn.IFNA(VLOOKUP(Master_Reference[[#This Row],[C-Flex 3000K Eco Part Number]],Lutron_CFlex_Lookup[],MATCH("Lutron Kit PN",Lutron_CFlex_Lookup[#Headers],0),FALSE),"")</f>
        <v/>
      </c>
      <c r="AG607" s="1" t="str">
        <f>_xlfn.IFNA(VLOOKUP(Master_Reference[[#This Row],[C-Flex 3500K Eco Part Number]],Lutron_CFlex_Lookup[],MATCH("Lutron Kit PN",Lutron_CFlex_Lookup[#Headers],0),FALSE),"")</f>
        <v/>
      </c>
      <c r="AH607" s="1" t="str">
        <f>_xlfn.IFNA(VLOOKUP(Master_Reference[[#This Row],[C-Flex 4000K Eco Part Number]],Lutron_CFlex_Lookup[],MATCH("Lutron Kit PN",Lutron_CFlex_Lookup[#Headers],0),FALSE),"")</f>
        <v/>
      </c>
      <c r="AI607" s="1" t="str">
        <f>_xlfn.IFNA(VLOOKUP(Master_Reference[[#This Row],[C-Flex 5000K Eco Part Number]],Lutron_CFlex_Lookup[],MATCH("Lutron Kit PN",Lutron_CFlex_Lookup[#Headers],0),FALSE),"")</f>
        <v/>
      </c>
      <c r="AJ607" s="1" t="str">
        <f>_xlfn.IFNA(VLOOKUP(Master_Reference[[#This Row],[C-Flex 3000K 3W Part Number]],Lutron_CFlex_Lookup[],MATCH("Lutron Kit PN",Lutron_CFlex_Lookup[#Headers],0),FALSE),"")</f>
        <v/>
      </c>
      <c r="AK607" s="1" t="str">
        <f>_xlfn.IFNA(VLOOKUP(Master_Reference[[#This Row],[C-Flex 3500K 3W Part Number]],Lutron_CFlex_Lookup[],MATCH("Lutron Kit PN",Lutron_CFlex_Lookup[#Headers],0),FALSE),"")</f>
        <v/>
      </c>
      <c r="AL607" s="1" t="str">
        <f>_xlfn.IFNA(VLOOKUP(Master_Reference[[#This Row],[C-Flex 4000K 3W Part Number]],Lutron_CFlex_Lookup[],MATCH("Lutron Kit PN",Lutron_CFlex_Lookup[#Headers],0),FALSE),"")</f>
        <v/>
      </c>
      <c r="AM607" s="1" t="str">
        <f>_xlfn.IFNA(VLOOKUP(Master_Reference[[#This Row],[C-Flex 5000K 3W Part Number]],Lutron_CFlex_Lookup[],MATCH("Lutron Kit PN",Lutron_CFlex_Lookup[#Headers],0),FALSE),"")</f>
        <v/>
      </c>
      <c r="AN607" s="1" t="b">
        <f>NOT(ISNA(VLOOKUP(Master_Reference[[#This Row],[Model Number]],ObsoleteModels[],1,FALSE)))</f>
        <v>1</v>
      </c>
      <c r="AO607" s="1" t="str">
        <f>IF(LEFT(Master_Reference[[#This Row],[Model Number]],1)="U",LEFT(Master_Reference[[#This Row],[Model Number]],4),LEFT(Master_Reference[[#This Row],[Model Number]],3))</f>
        <v>FDB</v>
      </c>
    </row>
    <row r="608" spans="1:41" x14ac:dyDescent="0.25">
      <c r="A608" s="2" t="s">
        <v>894</v>
      </c>
      <c r="B608" s="1"/>
      <c r="C608" s="1" t="b">
        <v>1</v>
      </c>
      <c r="G608" s="1" t="str">
        <f>IF(OR(LEFT(RIGHT(Master_Reference[[#This Row],[Model Number]],3),1)="C",LEFT(RIGHT(Master_Reference[[#This Row],[Model Number]],4),1)="C"),TRUE,"")</f>
        <v/>
      </c>
      <c r="H608" s="1" t="str">
        <f>IF(LEFT(Master_Reference[[#This Row],[Model Number]],1)="U",TRUE,"")</f>
        <v/>
      </c>
      <c r="I608" s="1" t="b">
        <f>IF(Master_Reference[[#This Row],[Lamp Type]]="T4","",IF(Master_Reference[[#This Row],[Case Type]]="M","",TRUE))</f>
        <v>1</v>
      </c>
      <c r="J608" s="1" t="s">
        <v>111</v>
      </c>
      <c r="K608" s="1">
        <v>32</v>
      </c>
      <c r="L608" s="1" t="s">
        <v>118</v>
      </c>
      <c r="M608" s="1">
        <v>1</v>
      </c>
      <c r="N608" s="1" t="str">
        <f>LEFT(RIGHT(A608,5),3)</f>
        <v>200</v>
      </c>
      <c r="O608" s="1" t="s">
        <v>144</v>
      </c>
      <c r="Q608" s="1" t="s">
        <v>892</v>
      </c>
      <c r="R608" t="b">
        <f>IF(COUNTBLANK(Master_Reference[[#This Row],[C-Flex 3000K Eco Part Number]:[C-Flex 4000K Eco Part Number]])=3,FALSE,TRUE)</f>
        <v>0</v>
      </c>
      <c r="S608" t="b">
        <f>IF(COUNTBLANK(Master_Reference[[#This Row],[C-Flex 3000K 3W Part Number]:[C-Flex 4000K 3W Part Number]])=3,FALSE,TRUE)</f>
        <v>0</v>
      </c>
      <c r="T608" t="b">
        <f>IF(COUNTBLANK(Master_Reference[[#This Row],[Lutron 3000K Eco Part Number]:[Lutron 4000K Eco Part Number]])=3,FALSE,TRUE)</f>
        <v>0</v>
      </c>
      <c r="U608" t="b">
        <f>IF(COUNTBLANK(Master_Reference[[#This Row],[Lutron 3000K 3W Part Number]:[Lutron 4000K 3W Part Number]])=3,FALSE,TRUE)</f>
        <v>0</v>
      </c>
      <c r="V608" s="12"/>
      <c r="W608" s="12"/>
      <c r="X608" s="12"/>
      <c r="Y608" t="s">
        <v>2125</v>
      </c>
      <c r="Z608" s="12"/>
      <c r="AA608" s="12"/>
      <c r="AB608" s="12"/>
      <c r="AC608" t="s">
        <v>2125</v>
      </c>
      <c r="AD608" t="str">
        <f>SUBSTITUTE(Master_Reference[[#This Row],[C-Flex 4000K Eco Part Number]],"40-","xx-")</f>
        <v/>
      </c>
      <c r="AE608" t="str">
        <f>SUBSTITUTE(Master_Reference[[#This Row],[C-Flex 4000K 3W Part Number]],"40-","xx-")</f>
        <v/>
      </c>
      <c r="AF608" s="1" t="str">
        <f>_xlfn.IFNA(VLOOKUP(Master_Reference[[#This Row],[C-Flex 3000K Eco Part Number]],Lutron_CFlex_Lookup[],MATCH("Lutron Kit PN",Lutron_CFlex_Lookup[#Headers],0),FALSE),"")</f>
        <v/>
      </c>
      <c r="AG608" s="1" t="str">
        <f>_xlfn.IFNA(VLOOKUP(Master_Reference[[#This Row],[C-Flex 3500K Eco Part Number]],Lutron_CFlex_Lookup[],MATCH("Lutron Kit PN",Lutron_CFlex_Lookup[#Headers],0),FALSE),"")</f>
        <v/>
      </c>
      <c r="AH608" s="1" t="str">
        <f>_xlfn.IFNA(VLOOKUP(Master_Reference[[#This Row],[C-Flex 4000K Eco Part Number]],Lutron_CFlex_Lookup[],MATCH("Lutron Kit PN",Lutron_CFlex_Lookup[#Headers],0),FALSE),"")</f>
        <v/>
      </c>
      <c r="AI608" s="1" t="str">
        <f>_xlfn.IFNA(VLOOKUP(Master_Reference[[#This Row],[C-Flex 5000K Eco Part Number]],Lutron_CFlex_Lookup[],MATCH("Lutron Kit PN",Lutron_CFlex_Lookup[#Headers],0),FALSE),"")</f>
        <v/>
      </c>
      <c r="AJ608" s="1" t="str">
        <f>_xlfn.IFNA(VLOOKUP(Master_Reference[[#This Row],[C-Flex 3000K 3W Part Number]],Lutron_CFlex_Lookup[],MATCH("Lutron Kit PN",Lutron_CFlex_Lookup[#Headers],0),FALSE),"")</f>
        <v/>
      </c>
      <c r="AK608" s="1" t="str">
        <f>_xlfn.IFNA(VLOOKUP(Master_Reference[[#This Row],[C-Flex 3500K 3W Part Number]],Lutron_CFlex_Lookup[],MATCH("Lutron Kit PN",Lutron_CFlex_Lookup[#Headers],0),FALSE),"")</f>
        <v/>
      </c>
      <c r="AL608" s="1" t="str">
        <f>_xlfn.IFNA(VLOOKUP(Master_Reference[[#This Row],[C-Flex 4000K 3W Part Number]],Lutron_CFlex_Lookup[],MATCH("Lutron Kit PN",Lutron_CFlex_Lookup[#Headers],0),FALSE),"")</f>
        <v/>
      </c>
      <c r="AM608" s="1" t="str">
        <f>_xlfn.IFNA(VLOOKUP(Master_Reference[[#This Row],[C-Flex 5000K 3W Part Number]],Lutron_CFlex_Lookup[],MATCH("Lutron Kit PN",Lutron_CFlex_Lookup[#Headers],0),FALSE),"")</f>
        <v/>
      </c>
      <c r="AN608" s="1" t="b">
        <f>NOT(ISNA(VLOOKUP(Master_Reference[[#This Row],[Model Number]],ObsoleteModels[],1,FALSE)))</f>
        <v>1</v>
      </c>
      <c r="AO608" s="1" t="str">
        <f>IF(LEFT(Master_Reference[[#This Row],[Model Number]],1)="U",LEFT(Master_Reference[[#This Row],[Model Number]],4),LEFT(Master_Reference[[#This Row],[Model Number]],3))</f>
        <v>FDB</v>
      </c>
    </row>
    <row r="609" spans="1:41" x14ac:dyDescent="0.25">
      <c r="A609" s="2" t="s">
        <v>895</v>
      </c>
      <c r="B609" s="1"/>
      <c r="C609" s="1" t="b">
        <v>1</v>
      </c>
      <c r="G609" s="1" t="str">
        <f>IF(OR(LEFT(RIGHT(Master_Reference[[#This Row],[Model Number]],3),1)="C",LEFT(RIGHT(Master_Reference[[#This Row],[Model Number]],4),1)="C"),TRUE,"")</f>
        <v/>
      </c>
      <c r="H609" s="1" t="str">
        <f>IF(LEFT(Master_Reference[[#This Row],[Model Number]],1)="U",TRUE,"")</f>
        <v/>
      </c>
      <c r="I609" s="1" t="b">
        <f>IF(Master_Reference[[#This Row],[Lamp Type]]="T4","",IF(Master_Reference[[#This Row],[Case Type]]="M","",TRUE))</f>
        <v>1</v>
      </c>
      <c r="J609" s="1" t="s">
        <v>111</v>
      </c>
      <c r="K609" s="1">
        <v>32</v>
      </c>
      <c r="L609" s="1" t="s">
        <v>118</v>
      </c>
      <c r="M609" s="1">
        <v>2</v>
      </c>
      <c r="N609" s="1" t="str">
        <f>LEFT(RIGHT(A609,5),3)</f>
        <v>200</v>
      </c>
      <c r="O609" s="1" t="s">
        <v>144</v>
      </c>
      <c r="Q609" s="1" t="s">
        <v>892</v>
      </c>
      <c r="R609" t="b">
        <f>IF(COUNTBLANK(Master_Reference[[#This Row],[C-Flex 3000K Eco Part Number]:[C-Flex 4000K Eco Part Number]])=3,FALSE,TRUE)</f>
        <v>0</v>
      </c>
      <c r="S609" t="b">
        <f>IF(COUNTBLANK(Master_Reference[[#This Row],[C-Flex 3000K 3W Part Number]:[C-Flex 4000K 3W Part Number]])=3,FALSE,TRUE)</f>
        <v>0</v>
      </c>
      <c r="T609" t="b">
        <f>IF(COUNTBLANK(Master_Reference[[#This Row],[Lutron 3000K Eco Part Number]:[Lutron 4000K Eco Part Number]])=3,FALSE,TRUE)</f>
        <v>0</v>
      </c>
      <c r="U609" t="b">
        <f>IF(COUNTBLANK(Master_Reference[[#This Row],[Lutron 3000K 3W Part Number]:[Lutron 4000K 3W Part Number]])=3,FALSE,TRUE)</f>
        <v>0</v>
      </c>
      <c r="V609" s="12"/>
      <c r="W609" s="12"/>
      <c r="X609" s="12"/>
      <c r="Y609" t="s">
        <v>2125</v>
      </c>
      <c r="Z609" s="12"/>
      <c r="AA609" s="12"/>
      <c r="AB609" s="12"/>
      <c r="AC609" t="s">
        <v>2125</v>
      </c>
      <c r="AD609" t="str">
        <f>SUBSTITUTE(Master_Reference[[#This Row],[C-Flex 4000K Eco Part Number]],"40-","xx-")</f>
        <v/>
      </c>
      <c r="AE609" t="str">
        <f>SUBSTITUTE(Master_Reference[[#This Row],[C-Flex 4000K 3W Part Number]],"40-","xx-")</f>
        <v/>
      </c>
      <c r="AF609" s="1" t="str">
        <f>_xlfn.IFNA(VLOOKUP(Master_Reference[[#This Row],[C-Flex 3000K Eco Part Number]],Lutron_CFlex_Lookup[],MATCH("Lutron Kit PN",Lutron_CFlex_Lookup[#Headers],0),FALSE),"")</f>
        <v/>
      </c>
      <c r="AG609" s="1" t="str">
        <f>_xlfn.IFNA(VLOOKUP(Master_Reference[[#This Row],[C-Flex 3500K Eco Part Number]],Lutron_CFlex_Lookup[],MATCH("Lutron Kit PN",Lutron_CFlex_Lookup[#Headers],0),FALSE),"")</f>
        <v/>
      </c>
      <c r="AH609" s="1" t="str">
        <f>_xlfn.IFNA(VLOOKUP(Master_Reference[[#This Row],[C-Flex 4000K Eco Part Number]],Lutron_CFlex_Lookup[],MATCH("Lutron Kit PN",Lutron_CFlex_Lookup[#Headers],0),FALSE),"")</f>
        <v/>
      </c>
      <c r="AI609" s="1" t="str">
        <f>_xlfn.IFNA(VLOOKUP(Master_Reference[[#This Row],[C-Flex 5000K Eco Part Number]],Lutron_CFlex_Lookup[],MATCH("Lutron Kit PN",Lutron_CFlex_Lookup[#Headers],0),FALSE),"")</f>
        <v/>
      </c>
      <c r="AJ609" s="1" t="str">
        <f>_xlfn.IFNA(VLOOKUP(Master_Reference[[#This Row],[C-Flex 3000K 3W Part Number]],Lutron_CFlex_Lookup[],MATCH("Lutron Kit PN",Lutron_CFlex_Lookup[#Headers],0),FALSE),"")</f>
        <v/>
      </c>
      <c r="AK609" s="1" t="str">
        <f>_xlfn.IFNA(VLOOKUP(Master_Reference[[#This Row],[C-Flex 3500K 3W Part Number]],Lutron_CFlex_Lookup[],MATCH("Lutron Kit PN",Lutron_CFlex_Lookup[#Headers],0),FALSE),"")</f>
        <v/>
      </c>
      <c r="AL609" s="1" t="str">
        <f>_xlfn.IFNA(VLOOKUP(Master_Reference[[#This Row],[C-Flex 4000K 3W Part Number]],Lutron_CFlex_Lookup[],MATCH("Lutron Kit PN",Lutron_CFlex_Lookup[#Headers],0),FALSE),"")</f>
        <v/>
      </c>
      <c r="AM609" s="1" t="str">
        <f>_xlfn.IFNA(VLOOKUP(Master_Reference[[#This Row],[C-Flex 5000K 3W Part Number]],Lutron_CFlex_Lookup[],MATCH("Lutron Kit PN",Lutron_CFlex_Lookup[#Headers],0),FALSE),"")</f>
        <v/>
      </c>
      <c r="AN609" s="1" t="b">
        <f>NOT(ISNA(VLOOKUP(Master_Reference[[#This Row],[Model Number]],ObsoleteModels[],1,FALSE)))</f>
        <v>1</v>
      </c>
      <c r="AO609" s="1" t="str">
        <f>IF(LEFT(Master_Reference[[#This Row],[Model Number]],1)="U",LEFT(Master_Reference[[#This Row],[Model Number]],4),LEFT(Master_Reference[[#This Row],[Model Number]],3))</f>
        <v>FDB</v>
      </c>
    </row>
    <row r="610" spans="1:41" x14ac:dyDescent="0.25">
      <c r="A610" s="2" t="s">
        <v>896</v>
      </c>
      <c r="B610" s="1"/>
      <c r="C610" s="1" t="b">
        <v>1</v>
      </c>
      <c r="G610" s="1" t="str">
        <f>IF(OR(LEFT(RIGHT(Master_Reference[[#This Row],[Model Number]],3),1)="C",LEFT(RIGHT(Master_Reference[[#This Row],[Model Number]],4),1)="C"),TRUE,"")</f>
        <v/>
      </c>
      <c r="H610" s="1" t="str">
        <f>IF(LEFT(Master_Reference[[#This Row],[Model Number]],1)="U",TRUE,"")</f>
        <v/>
      </c>
      <c r="I610" s="1" t="b">
        <f>IF(Master_Reference[[#This Row],[Lamp Type]]="T4","",IF(Master_Reference[[#This Row],[Case Type]]="M","",TRUE))</f>
        <v>1</v>
      </c>
      <c r="J610" s="1" t="s">
        <v>111</v>
      </c>
      <c r="K610" s="1">
        <v>32</v>
      </c>
      <c r="L610" s="1" t="s">
        <v>118</v>
      </c>
      <c r="M610" s="1">
        <v>1</v>
      </c>
      <c r="N610" s="1" t="str">
        <f>LEFT(RIGHT(A610,5),3)</f>
        <v>120</v>
      </c>
      <c r="O610" s="1" t="s">
        <v>144</v>
      </c>
      <c r="R610" t="b">
        <f>IF(COUNTBLANK(Master_Reference[[#This Row],[C-Flex 3000K Eco Part Number]:[C-Flex 4000K Eco Part Number]])=3,FALSE,TRUE)</f>
        <v>0</v>
      </c>
      <c r="S610" t="b">
        <f>IF(COUNTBLANK(Master_Reference[[#This Row],[C-Flex 3000K 3W Part Number]:[C-Flex 4000K 3W Part Number]])=3,FALSE,TRUE)</f>
        <v>1</v>
      </c>
      <c r="T610" t="b">
        <f>IF(COUNTBLANK(Master_Reference[[#This Row],[Lutron 3000K Eco Part Number]:[Lutron 4000K Eco Part Number]])=3,FALSE,TRUE)</f>
        <v>0</v>
      </c>
      <c r="U610" t="b">
        <f>IF(COUNTBLANK(Master_Reference[[#This Row],[Lutron 3000K 3W Part Number]:[Lutron 4000K 3W Part Number]])=3,FALSE,TRUE)</f>
        <v>1</v>
      </c>
      <c r="V610" s="12"/>
      <c r="W610" s="12"/>
      <c r="X610" s="12"/>
      <c r="Y610" t="s">
        <v>2125</v>
      </c>
      <c r="Z610" s="12" t="s">
        <v>264</v>
      </c>
      <c r="AA610" s="12" t="s">
        <v>265</v>
      </c>
      <c r="AB610" s="12" t="s">
        <v>266</v>
      </c>
      <c r="AC610" t="s">
        <v>1829</v>
      </c>
      <c r="AD610" t="str">
        <f>SUBSTITUTE(Master_Reference[[#This Row],[C-Flex 4000K Eco Part Number]],"40-","xx-")</f>
        <v/>
      </c>
      <c r="AE610" t="str">
        <f>SUBSTITUTE(Master_Reference[[#This Row],[C-Flex 4000K 3W Part Number]],"40-","xx-")</f>
        <v>RP-T8-4FT-1L-8xx-3W-M-G2</v>
      </c>
      <c r="AF610" s="1" t="str">
        <f>_xlfn.IFNA(VLOOKUP(Master_Reference[[#This Row],[C-Flex 3000K Eco Part Number]],Lutron_CFlex_Lookup[],MATCH("Lutron Kit PN",Lutron_CFlex_Lookup[#Headers],0),FALSE),"")</f>
        <v/>
      </c>
      <c r="AG610" s="1" t="str">
        <f>_xlfn.IFNA(VLOOKUP(Master_Reference[[#This Row],[C-Flex 3500K Eco Part Number]],Lutron_CFlex_Lookup[],MATCH("Lutron Kit PN",Lutron_CFlex_Lookup[#Headers],0),FALSE),"")</f>
        <v/>
      </c>
      <c r="AH610" s="1" t="str">
        <f>_xlfn.IFNA(VLOOKUP(Master_Reference[[#This Row],[C-Flex 4000K Eco Part Number]],Lutron_CFlex_Lookup[],MATCH("Lutron Kit PN",Lutron_CFlex_Lookup[#Headers],0),FALSE),"")</f>
        <v/>
      </c>
      <c r="AI610" s="1" t="str">
        <f>_xlfn.IFNA(VLOOKUP(Master_Reference[[#This Row],[C-Flex 5000K Eco Part Number]],Lutron_CFlex_Lookup[],MATCH("Lutron Kit PN",Lutron_CFlex_Lookup[#Headers],0),FALSE),"")</f>
        <v/>
      </c>
      <c r="AJ610" s="1" t="str">
        <f>_xlfn.IFNA(VLOOKUP(Master_Reference[[#This Row],[C-Flex 3000K 3W Part Number]],Lutron_CFlex_Lookup[],MATCH("Lutron Kit PN",Lutron_CFlex_Lookup[#Headers],0),FALSE),"")</f>
        <v>3LD4T8-1M30-q</v>
      </c>
      <c r="AK610" s="1" t="str">
        <f>_xlfn.IFNA(VLOOKUP(Master_Reference[[#This Row],[C-Flex 3500K 3W Part Number]],Lutron_CFlex_Lookup[],MATCH("Lutron Kit PN",Lutron_CFlex_Lookup[#Headers],0),FALSE),"")</f>
        <v>3LD4T8-1M35-q</v>
      </c>
      <c r="AL610" s="1" t="str">
        <f>_xlfn.IFNA(VLOOKUP(Master_Reference[[#This Row],[C-Flex 4000K 3W Part Number]],Lutron_CFlex_Lookup[],MATCH("Lutron Kit PN",Lutron_CFlex_Lookup[#Headers],0),FALSE),"")</f>
        <v>3LD4T8-1M40-q</v>
      </c>
      <c r="AM610" s="1" t="str">
        <f>_xlfn.IFNA(VLOOKUP(Master_Reference[[#This Row],[C-Flex 5000K 3W Part Number]],Lutron_CFlex_Lookup[],MATCH("Lutron Kit PN",Lutron_CFlex_Lookup[#Headers],0),FALSE),"")</f>
        <v>3LD4T8-1M50-q</v>
      </c>
      <c r="AN610" s="1" t="b">
        <f>NOT(ISNA(VLOOKUP(Master_Reference[[#This Row],[Model Number]],ObsoleteModels[],1,FALSE)))</f>
        <v>1</v>
      </c>
      <c r="AO610" s="1" t="str">
        <f>IF(LEFT(Master_Reference[[#This Row],[Model Number]],1)="U",LEFT(Master_Reference[[#This Row],[Model Number]],4),LEFT(Master_Reference[[#This Row],[Model Number]],3))</f>
        <v>FDB</v>
      </c>
    </row>
    <row r="611" spans="1:41" x14ac:dyDescent="0.25">
      <c r="A611" s="2" t="s">
        <v>897</v>
      </c>
      <c r="B611" s="1"/>
      <c r="C611" s="1" t="b">
        <v>1</v>
      </c>
      <c r="G611" s="1" t="str">
        <f>IF(OR(LEFT(RIGHT(Master_Reference[[#This Row],[Model Number]],3),1)="C",LEFT(RIGHT(Master_Reference[[#This Row],[Model Number]],4),1)="C"),TRUE,"")</f>
        <v/>
      </c>
      <c r="H611" s="1" t="str">
        <f>IF(LEFT(Master_Reference[[#This Row],[Model Number]],1)="U",TRUE,"")</f>
        <v/>
      </c>
      <c r="I611" s="1" t="b">
        <f>IF(Master_Reference[[#This Row],[Lamp Type]]="T4","",IF(Master_Reference[[#This Row],[Case Type]]="M","",TRUE))</f>
        <v>1</v>
      </c>
      <c r="J611" s="1" t="s">
        <v>111</v>
      </c>
      <c r="K611" s="1">
        <v>32</v>
      </c>
      <c r="L611" s="1" t="s">
        <v>118</v>
      </c>
      <c r="M611" s="1">
        <v>1</v>
      </c>
      <c r="N611" s="1">
        <v>120</v>
      </c>
      <c r="O611" s="1" t="s">
        <v>144</v>
      </c>
      <c r="Q611" s="1" t="s">
        <v>91</v>
      </c>
      <c r="R611" t="b">
        <f>IF(COUNTBLANK(Master_Reference[[#This Row],[C-Flex 3000K Eco Part Number]:[C-Flex 4000K Eco Part Number]])=3,FALSE,TRUE)</f>
        <v>0</v>
      </c>
      <c r="S611" t="b">
        <f>IF(COUNTBLANK(Master_Reference[[#This Row],[C-Flex 3000K 3W Part Number]:[C-Flex 4000K 3W Part Number]])=3,FALSE,TRUE)</f>
        <v>0</v>
      </c>
      <c r="T611" t="b">
        <f>IF(COUNTBLANK(Master_Reference[[#This Row],[Lutron 3000K Eco Part Number]:[Lutron 4000K Eco Part Number]])=3,FALSE,TRUE)</f>
        <v>0</v>
      </c>
      <c r="U611" t="b">
        <f>IF(COUNTBLANK(Master_Reference[[#This Row],[Lutron 3000K 3W Part Number]:[Lutron 4000K 3W Part Number]])=3,FALSE,TRUE)</f>
        <v>0</v>
      </c>
      <c r="V611" s="12"/>
      <c r="W611" s="12"/>
      <c r="X611" s="12"/>
      <c r="Y611" t="s">
        <v>2125</v>
      </c>
      <c r="Z611" s="12"/>
      <c r="AA611" s="12"/>
      <c r="AB611" s="12"/>
      <c r="AC611" t="s">
        <v>2125</v>
      </c>
      <c r="AD611" t="str">
        <f>SUBSTITUTE(Master_Reference[[#This Row],[C-Flex 4000K Eco Part Number]],"40-","xx-")</f>
        <v/>
      </c>
      <c r="AE611" t="str">
        <f>SUBSTITUTE(Master_Reference[[#This Row],[C-Flex 4000K 3W Part Number]],"40-","xx-")</f>
        <v/>
      </c>
      <c r="AF611" s="1" t="str">
        <f>_xlfn.IFNA(VLOOKUP(Master_Reference[[#This Row],[C-Flex 3000K Eco Part Number]],Lutron_CFlex_Lookup[],MATCH("Lutron Kit PN",Lutron_CFlex_Lookup[#Headers],0),FALSE),"")</f>
        <v/>
      </c>
      <c r="AG611" s="1" t="str">
        <f>_xlfn.IFNA(VLOOKUP(Master_Reference[[#This Row],[C-Flex 3500K Eco Part Number]],Lutron_CFlex_Lookup[],MATCH("Lutron Kit PN",Lutron_CFlex_Lookup[#Headers],0),FALSE),"")</f>
        <v/>
      </c>
      <c r="AH611" s="1" t="str">
        <f>_xlfn.IFNA(VLOOKUP(Master_Reference[[#This Row],[C-Flex 4000K Eco Part Number]],Lutron_CFlex_Lookup[],MATCH("Lutron Kit PN",Lutron_CFlex_Lookup[#Headers],0),FALSE),"")</f>
        <v/>
      </c>
      <c r="AI611" s="1" t="str">
        <f>_xlfn.IFNA(VLOOKUP(Master_Reference[[#This Row],[C-Flex 5000K Eco Part Number]],Lutron_CFlex_Lookup[],MATCH("Lutron Kit PN",Lutron_CFlex_Lookup[#Headers],0),FALSE),"")</f>
        <v/>
      </c>
      <c r="AJ611" s="1" t="str">
        <f>_xlfn.IFNA(VLOOKUP(Master_Reference[[#This Row],[C-Flex 3000K 3W Part Number]],Lutron_CFlex_Lookup[],MATCH("Lutron Kit PN",Lutron_CFlex_Lookup[#Headers],0),FALSE),"")</f>
        <v/>
      </c>
      <c r="AK611" s="1" t="str">
        <f>_xlfn.IFNA(VLOOKUP(Master_Reference[[#This Row],[C-Flex 3500K 3W Part Number]],Lutron_CFlex_Lookup[],MATCH("Lutron Kit PN",Lutron_CFlex_Lookup[#Headers],0),FALSE),"")</f>
        <v/>
      </c>
      <c r="AL611" s="1" t="str">
        <f>_xlfn.IFNA(VLOOKUP(Master_Reference[[#This Row],[C-Flex 4000K 3W Part Number]],Lutron_CFlex_Lookup[],MATCH("Lutron Kit PN",Lutron_CFlex_Lookup[#Headers],0),FALSE),"")</f>
        <v/>
      </c>
      <c r="AM611" s="1" t="str">
        <f>_xlfn.IFNA(VLOOKUP(Master_Reference[[#This Row],[C-Flex 5000K 3W Part Number]],Lutron_CFlex_Lookup[],MATCH("Lutron Kit PN",Lutron_CFlex_Lookup[#Headers],0),FALSE),"")</f>
        <v/>
      </c>
      <c r="AN611" s="1" t="b">
        <f>NOT(ISNA(VLOOKUP(Master_Reference[[#This Row],[Model Number]],ObsoleteModels[],1,FALSE)))</f>
        <v>1</v>
      </c>
      <c r="AO611" s="1" t="str">
        <f>IF(LEFT(Master_Reference[[#This Row],[Model Number]],1)="U",LEFT(Master_Reference[[#This Row],[Model Number]],4),LEFT(Master_Reference[[#This Row],[Model Number]],3))</f>
        <v>FDB</v>
      </c>
    </row>
    <row r="612" spans="1:41" x14ac:dyDescent="0.25">
      <c r="A612" s="2" t="s">
        <v>898</v>
      </c>
      <c r="B612" s="1"/>
      <c r="C612" s="1" t="b">
        <v>1</v>
      </c>
      <c r="G612" s="1" t="str">
        <f>IF(OR(LEFT(RIGHT(Master_Reference[[#This Row],[Model Number]],3),1)="C",LEFT(RIGHT(Master_Reference[[#This Row],[Model Number]],4),1)="C"),TRUE,"")</f>
        <v/>
      </c>
      <c r="H612" s="1" t="str">
        <f>IF(LEFT(Master_Reference[[#This Row],[Model Number]],1)="U",TRUE,"")</f>
        <v/>
      </c>
      <c r="I612" s="1" t="b">
        <f>IF(Master_Reference[[#This Row],[Lamp Type]]="T4","",IF(Master_Reference[[#This Row],[Case Type]]="M","",TRUE))</f>
        <v>1</v>
      </c>
      <c r="J612" s="1" t="s">
        <v>111</v>
      </c>
      <c r="K612" s="1">
        <v>32</v>
      </c>
      <c r="L612" s="1" t="s">
        <v>118</v>
      </c>
      <c r="M612" s="1">
        <v>2</v>
      </c>
      <c r="N612" s="1" t="str">
        <f>LEFT(RIGHT(A612,5),3)</f>
        <v>120</v>
      </c>
      <c r="O612" s="1" t="s">
        <v>144</v>
      </c>
      <c r="R612" t="b">
        <f>IF(COUNTBLANK(Master_Reference[[#This Row],[C-Flex 3000K Eco Part Number]:[C-Flex 4000K Eco Part Number]])=3,FALSE,TRUE)</f>
        <v>0</v>
      </c>
      <c r="S612" t="b">
        <f>IF(COUNTBLANK(Master_Reference[[#This Row],[C-Flex 3000K 3W Part Number]:[C-Flex 4000K 3W Part Number]])=3,FALSE,TRUE)</f>
        <v>1</v>
      </c>
      <c r="T612" t="b">
        <f>IF(COUNTBLANK(Master_Reference[[#This Row],[Lutron 3000K Eco Part Number]:[Lutron 4000K Eco Part Number]])=3,FALSE,TRUE)</f>
        <v>0</v>
      </c>
      <c r="U612" t="b">
        <f>IF(COUNTBLANK(Master_Reference[[#This Row],[Lutron 3000K 3W Part Number]:[Lutron 4000K 3W Part Number]])=3,FALSE,TRUE)</f>
        <v>1</v>
      </c>
      <c r="V612" s="12"/>
      <c r="W612" s="12"/>
      <c r="X612" s="12"/>
      <c r="Y612" t="s">
        <v>2125</v>
      </c>
      <c r="Z612" s="12" t="s">
        <v>145</v>
      </c>
      <c r="AA612" s="12" t="s">
        <v>146</v>
      </c>
      <c r="AB612" s="12" t="s">
        <v>147</v>
      </c>
      <c r="AC612" t="s">
        <v>1830</v>
      </c>
      <c r="AD612" t="str">
        <f>SUBSTITUTE(Master_Reference[[#This Row],[C-Flex 4000K Eco Part Number]],"40-","xx-")</f>
        <v/>
      </c>
      <c r="AE612" t="str">
        <f>SUBSTITUTE(Master_Reference[[#This Row],[C-Flex 4000K 3W Part Number]],"40-","xx-")</f>
        <v>RP-T8-4FT-2L-8xx-3W-M-G2</v>
      </c>
      <c r="AF612" s="1" t="str">
        <f>_xlfn.IFNA(VLOOKUP(Master_Reference[[#This Row],[C-Flex 3000K Eco Part Number]],Lutron_CFlex_Lookup[],MATCH("Lutron Kit PN",Lutron_CFlex_Lookup[#Headers],0),FALSE),"")</f>
        <v/>
      </c>
      <c r="AG612" s="1" t="str">
        <f>_xlfn.IFNA(VLOOKUP(Master_Reference[[#This Row],[C-Flex 3500K Eco Part Number]],Lutron_CFlex_Lookup[],MATCH("Lutron Kit PN",Lutron_CFlex_Lookup[#Headers],0),FALSE),"")</f>
        <v/>
      </c>
      <c r="AH612" s="1" t="str">
        <f>_xlfn.IFNA(VLOOKUP(Master_Reference[[#This Row],[C-Flex 4000K Eco Part Number]],Lutron_CFlex_Lookup[],MATCH("Lutron Kit PN",Lutron_CFlex_Lookup[#Headers],0),FALSE),"")</f>
        <v/>
      </c>
      <c r="AI612" s="1" t="str">
        <f>_xlfn.IFNA(VLOOKUP(Master_Reference[[#This Row],[C-Flex 5000K Eco Part Number]],Lutron_CFlex_Lookup[],MATCH("Lutron Kit PN",Lutron_CFlex_Lookup[#Headers],0),FALSE),"")</f>
        <v/>
      </c>
      <c r="AJ612" s="1" t="str">
        <f>_xlfn.IFNA(VLOOKUP(Master_Reference[[#This Row],[C-Flex 3000K 3W Part Number]],Lutron_CFlex_Lookup[],MATCH("Lutron Kit PN",Lutron_CFlex_Lookup[#Headers],0),FALSE),"")</f>
        <v>3LD4T8-2M30-q</v>
      </c>
      <c r="AK612" s="1" t="str">
        <f>_xlfn.IFNA(VLOOKUP(Master_Reference[[#This Row],[C-Flex 3500K 3W Part Number]],Lutron_CFlex_Lookup[],MATCH("Lutron Kit PN",Lutron_CFlex_Lookup[#Headers],0),FALSE),"")</f>
        <v>3LD4T8-2M35-q</v>
      </c>
      <c r="AL612" s="1" t="str">
        <f>_xlfn.IFNA(VLOOKUP(Master_Reference[[#This Row],[C-Flex 4000K 3W Part Number]],Lutron_CFlex_Lookup[],MATCH("Lutron Kit PN",Lutron_CFlex_Lookup[#Headers],0),FALSE),"")</f>
        <v>3LD4T8-2M40-q</v>
      </c>
      <c r="AM612" s="1" t="str">
        <f>_xlfn.IFNA(VLOOKUP(Master_Reference[[#This Row],[C-Flex 5000K 3W Part Number]],Lutron_CFlex_Lookup[],MATCH("Lutron Kit PN",Lutron_CFlex_Lookup[#Headers],0),FALSE),"")</f>
        <v>3LD4T8-2M50-q</v>
      </c>
      <c r="AN612" s="1" t="b">
        <f>NOT(ISNA(VLOOKUP(Master_Reference[[#This Row],[Model Number]],ObsoleteModels[],1,FALSE)))</f>
        <v>1</v>
      </c>
      <c r="AO612" s="1" t="str">
        <f>IF(LEFT(Master_Reference[[#This Row],[Model Number]],1)="U",LEFT(Master_Reference[[#This Row],[Model Number]],4),LEFT(Master_Reference[[#This Row],[Model Number]],3))</f>
        <v>FDB</v>
      </c>
    </row>
    <row r="613" spans="1:41" x14ac:dyDescent="0.25">
      <c r="A613" s="2" t="s">
        <v>899</v>
      </c>
      <c r="B613" s="1"/>
      <c r="C613" s="1" t="b">
        <v>1</v>
      </c>
      <c r="G613" s="1" t="str">
        <f>IF(OR(LEFT(RIGHT(Master_Reference[[#This Row],[Model Number]],3),1)="C",LEFT(RIGHT(Master_Reference[[#This Row],[Model Number]],4),1)="C"),TRUE,"")</f>
        <v/>
      </c>
      <c r="H613" s="1" t="str">
        <f>IF(LEFT(Master_Reference[[#This Row],[Model Number]],1)="U",TRUE,"")</f>
        <v/>
      </c>
      <c r="I613" s="1" t="b">
        <f>IF(Master_Reference[[#This Row],[Lamp Type]]="T4","",IF(Master_Reference[[#This Row],[Case Type]]="M","",TRUE))</f>
        <v>1</v>
      </c>
      <c r="J613" s="1" t="s">
        <v>111</v>
      </c>
      <c r="K613" s="1">
        <v>32</v>
      </c>
      <c r="L613" s="1" t="s">
        <v>118</v>
      </c>
      <c r="M613" s="1">
        <v>2</v>
      </c>
      <c r="N613" s="1">
        <v>120</v>
      </c>
      <c r="O613" s="1" t="s">
        <v>144</v>
      </c>
      <c r="Q613" s="1" t="s">
        <v>91</v>
      </c>
      <c r="R613" t="b">
        <f>IF(COUNTBLANK(Master_Reference[[#This Row],[C-Flex 3000K Eco Part Number]:[C-Flex 4000K Eco Part Number]])=3,FALSE,TRUE)</f>
        <v>0</v>
      </c>
      <c r="S613" t="b">
        <f>IF(COUNTBLANK(Master_Reference[[#This Row],[C-Flex 3000K 3W Part Number]:[C-Flex 4000K 3W Part Number]])=3,FALSE,TRUE)</f>
        <v>0</v>
      </c>
      <c r="T613" t="b">
        <f>IF(COUNTBLANK(Master_Reference[[#This Row],[Lutron 3000K Eco Part Number]:[Lutron 4000K Eco Part Number]])=3,FALSE,TRUE)</f>
        <v>0</v>
      </c>
      <c r="U613" t="b">
        <f>IF(COUNTBLANK(Master_Reference[[#This Row],[Lutron 3000K 3W Part Number]:[Lutron 4000K 3W Part Number]])=3,FALSE,TRUE)</f>
        <v>0</v>
      </c>
      <c r="V613" s="12"/>
      <c r="W613" s="12"/>
      <c r="X613" s="12"/>
      <c r="Y613" t="s">
        <v>2125</v>
      </c>
      <c r="Z613" s="12"/>
      <c r="AA613" s="12"/>
      <c r="AB613" s="12"/>
      <c r="AC613" t="s">
        <v>2125</v>
      </c>
      <c r="AD613" t="str">
        <f>SUBSTITUTE(Master_Reference[[#This Row],[C-Flex 4000K Eco Part Number]],"40-","xx-")</f>
        <v/>
      </c>
      <c r="AE613" t="str">
        <f>SUBSTITUTE(Master_Reference[[#This Row],[C-Flex 4000K 3W Part Number]],"40-","xx-")</f>
        <v/>
      </c>
      <c r="AF613" s="1" t="str">
        <f>_xlfn.IFNA(VLOOKUP(Master_Reference[[#This Row],[C-Flex 3000K Eco Part Number]],Lutron_CFlex_Lookup[],MATCH("Lutron Kit PN",Lutron_CFlex_Lookup[#Headers],0),FALSE),"")</f>
        <v/>
      </c>
      <c r="AG613" s="1" t="str">
        <f>_xlfn.IFNA(VLOOKUP(Master_Reference[[#This Row],[C-Flex 3500K Eco Part Number]],Lutron_CFlex_Lookup[],MATCH("Lutron Kit PN",Lutron_CFlex_Lookup[#Headers],0),FALSE),"")</f>
        <v/>
      </c>
      <c r="AH613" s="1" t="str">
        <f>_xlfn.IFNA(VLOOKUP(Master_Reference[[#This Row],[C-Flex 4000K Eco Part Number]],Lutron_CFlex_Lookup[],MATCH("Lutron Kit PN",Lutron_CFlex_Lookup[#Headers],0),FALSE),"")</f>
        <v/>
      </c>
      <c r="AI613" s="1" t="str">
        <f>_xlfn.IFNA(VLOOKUP(Master_Reference[[#This Row],[C-Flex 5000K Eco Part Number]],Lutron_CFlex_Lookup[],MATCH("Lutron Kit PN",Lutron_CFlex_Lookup[#Headers],0),FALSE),"")</f>
        <v/>
      </c>
      <c r="AJ613" s="1" t="str">
        <f>_xlfn.IFNA(VLOOKUP(Master_Reference[[#This Row],[C-Flex 3000K 3W Part Number]],Lutron_CFlex_Lookup[],MATCH("Lutron Kit PN",Lutron_CFlex_Lookup[#Headers],0),FALSE),"")</f>
        <v/>
      </c>
      <c r="AK613" s="1" t="str">
        <f>_xlfn.IFNA(VLOOKUP(Master_Reference[[#This Row],[C-Flex 3500K 3W Part Number]],Lutron_CFlex_Lookup[],MATCH("Lutron Kit PN",Lutron_CFlex_Lookup[#Headers],0),FALSE),"")</f>
        <v/>
      </c>
      <c r="AL613" s="1" t="str">
        <f>_xlfn.IFNA(VLOOKUP(Master_Reference[[#This Row],[C-Flex 4000K 3W Part Number]],Lutron_CFlex_Lookup[],MATCH("Lutron Kit PN",Lutron_CFlex_Lookup[#Headers],0),FALSE),"")</f>
        <v/>
      </c>
      <c r="AM613" s="1" t="str">
        <f>_xlfn.IFNA(VLOOKUP(Master_Reference[[#This Row],[C-Flex 5000K 3W Part Number]],Lutron_CFlex_Lookup[],MATCH("Lutron Kit PN",Lutron_CFlex_Lookup[#Headers],0),FALSE),"")</f>
        <v/>
      </c>
      <c r="AN613" s="1" t="b">
        <f>NOT(ISNA(VLOOKUP(Master_Reference[[#This Row],[Model Number]],ObsoleteModels[],1,FALSE)))</f>
        <v>1</v>
      </c>
      <c r="AO613" s="1" t="str">
        <f>IF(LEFT(Master_Reference[[#This Row],[Model Number]],1)="U",LEFT(Master_Reference[[#This Row],[Model Number]],4),LEFT(Master_Reference[[#This Row],[Model Number]],3))</f>
        <v>FDB</v>
      </c>
    </row>
    <row r="614" spans="1:41" x14ac:dyDescent="0.25">
      <c r="A614" s="2" t="s">
        <v>900</v>
      </c>
      <c r="B614" s="1"/>
      <c r="C614" s="1" t="b">
        <v>1</v>
      </c>
      <c r="G614" s="1" t="str">
        <f>IF(OR(LEFT(RIGHT(Master_Reference[[#This Row],[Model Number]],3),1)="C",LEFT(RIGHT(Master_Reference[[#This Row],[Model Number]],4),1)="C"),TRUE,"")</f>
        <v/>
      </c>
      <c r="H614" s="1" t="str">
        <f>IF(LEFT(Master_Reference[[#This Row],[Model Number]],1)="U",TRUE,"")</f>
        <v/>
      </c>
      <c r="I614" s="1" t="b">
        <f>IF(Master_Reference[[#This Row],[Lamp Type]]="T4","",IF(Master_Reference[[#This Row],[Case Type]]="M","",TRUE))</f>
        <v>1</v>
      </c>
      <c r="J614" s="1" t="s">
        <v>111</v>
      </c>
      <c r="K614" s="1">
        <v>32</v>
      </c>
      <c r="L614" s="1" t="s">
        <v>118</v>
      </c>
      <c r="M614" s="1">
        <v>3</v>
      </c>
      <c r="N614" s="1" t="str">
        <f>LEFT(RIGHT(A614,5),3)</f>
        <v>120</v>
      </c>
      <c r="O614" s="1" t="s">
        <v>144</v>
      </c>
      <c r="R614" t="b">
        <f>IF(COUNTBLANK(Master_Reference[[#This Row],[C-Flex 3000K Eco Part Number]:[C-Flex 4000K Eco Part Number]])=3,FALSE,TRUE)</f>
        <v>0</v>
      </c>
      <c r="S614" t="b">
        <f>IF(COUNTBLANK(Master_Reference[[#This Row],[C-Flex 3000K 3W Part Number]:[C-Flex 4000K 3W Part Number]])=3,FALSE,TRUE)</f>
        <v>1</v>
      </c>
      <c r="T614" t="b">
        <f>IF(COUNTBLANK(Master_Reference[[#This Row],[Lutron 3000K Eco Part Number]:[Lutron 4000K Eco Part Number]])=3,FALSE,TRUE)</f>
        <v>0</v>
      </c>
      <c r="U614" t="b">
        <f>IF(COUNTBLANK(Master_Reference[[#This Row],[Lutron 3000K 3W Part Number]:[Lutron 4000K 3W Part Number]])=3,FALSE,TRUE)</f>
        <v>1</v>
      </c>
      <c r="V614" s="12"/>
      <c r="W614" s="12"/>
      <c r="X614" s="12"/>
      <c r="Y614" t="s">
        <v>2125</v>
      </c>
      <c r="Z614" s="12" t="s">
        <v>277</v>
      </c>
      <c r="AA614" s="12" t="s">
        <v>278</v>
      </c>
      <c r="AB614" s="12" t="s">
        <v>279</v>
      </c>
      <c r="AC614" t="s">
        <v>1831</v>
      </c>
      <c r="AD614" t="str">
        <f>SUBSTITUTE(Master_Reference[[#This Row],[C-Flex 4000K Eco Part Number]],"40-","xx-")</f>
        <v/>
      </c>
      <c r="AE614" t="str">
        <f>SUBSTITUTE(Master_Reference[[#This Row],[C-Flex 4000K 3W Part Number]],"40-","xx-")</f>
        <v>RP-T8-4FT-3L-8xx-3W-M-G2</v>
      </c>
      <c r="AF614" s="1" t="str">
        <f>_xlfn.IFNA(VLOOKUP(Master_Reference[[#This Row],[C-Flex 3000K Eco Part Number]],Lutron_CFlex_Lookup[],MATCH("Lutron Kit PN",Lutron_CFlex_Lookup[#Headers],0),FALSE),"")</f>
        <v/>
      </c>
      <c r="AG614" s="1" t="str">
        <f>_xlfn.IFNA(VLOOKUP(Master_Reference[[#This Row],[C-Flex 3500K Eco Part Number]],Lutron_CFlex_Lookup[],MATCH("Lutron Kit PN",Lutron_CFlex_Lookup[#Headers],0),FALSE),"")</f>
        <v/>
      </c>
      <c r="AH614" s="1" t="str">
        <f>_xlfn.IFNA(VLOOKUP(Master_Reference[[#This Row],[C-Flex 4000K Eco Part Number]],Lutron_CFlex_Lookup[],MATCH("Lutron Kit PN",Lutron_CFlex_Lookup[#Headers],0),FALSE),"")</f>
        <v/>
      </c>
      <c r="AI614" s="1" t="str">
        <f>_xlfn.IFNA(VLOOKUP(Master_Reference[[#This Row],[C-Flex 5000K Eco Part Number]],Lutron_CFlex_Lookup[],MATCH("Lutron Kit PN",Lutron_CFlex_Lookup[#Headers],0),FALSE),"")</f>
        <v/>
      </c>
      <c r="AJ614" s="1" t="str">
        <f>_xlfn.IFNA(VLOOKUP(Master_Reference[[#This Row],[C-Flex 3000K 3W Part Number]],Lutron_CFlex_Lookup[],MATCH("Lutron Kit PN",Lutron_CFlex_Lookup[#Headers],0),FALSE),"")</f>
        <v>3LD4T8-3M30-q</v>
      </c>
      <c r="AK614" s="1" t="str">
        <f>_xlfn.IFNA(VLOOKUP(Master_Reference[[#This Row],[C-Flex 3500K 3W Part Number]],Lutron_CFlex_Lookup[],MATCH("Lutron Kit PN",Lutron_CFlex_Lookup[#Headers],0),FALSE),"")</f>
        <v>3LD4T8-3M35-q</v>
      </c>
      <c r="AL614" s="1" t="str">
        <f>_xlfn.IFNA(VLOOKUP(Master_Reference[[#This Row],[C-Flex 4000K 3W Part Number]],Lutron_CFlex_Lookup[],MATCH("Lutron Kit PN",Lutron_CFlex_Lookup[#Headers],0),FALSE),"")</f>
        <v>3LD4T8-3M40-q</v>
      </c>
      <c r="AM614" s="1" t="str">
        <f>_xlfn.IFNA(VLOOKUP(Master_Reference[[#This Row],[C-Flex 5000K 3W Part Number]],Lutron_CFlex_Lookup[],MATCH("Lutron Kit PN",Lutron_CFlex_Lookup[#Headers],0),FALSE),"")</f>
        <v>3LD4T8-3M50-q</v>
      </c>
      <c r="AN614" s="1" t="b">
        <f>NOT(ISNA(VLOOKUP(Master_Reference[[#This Row],[Model Number]],ObsoleteModels[],1,FALSE)))</f>
        <v>1</v>
      </c>
      <c r="AO614" s="1" t="str">
        <f>IF(LEFT(Master_Reference[[#This Row],[Model Number]],1)="U",LEFT(Master_Reference[[#This Row],[Model Number]],4),LEFT(Master_Reference[[#This Row],[Model Number]],3))</f>
        <v>FDB</v>
      </c>
    </row>
    <row r="615" spans="1:41" x14ac:dyDescent="0.25">
      <c r="A615" s="2" t="s">
        <v>901</v>
      </c>
      <c r="B615" s="1"/>
      <c r="C615" s="1" t="b">
        <v>1</v>
      </c>
      <c r="G615" s="1" t="str">
        <f>IF(OR(LEFT(RIGHT(Master_Reference[[#This Row],[Model Number]],3),1)="C",LEFT(RIGHT(Master_Reference[[#This Row],[Model Number]],4),1)="C"),TRUE,"")</f>
        <v/>
      </c>
      <c r="H615" s="1" t="str">
        <f>IF(LEFT(Master_Reference[[#This Row],[Model Number]],1)="U",TRUE,"")</f>
        <v/>
      </c>
      <c r="I615" s="1" t="b">
        <f>IF(Master_Reference[[#This Row],[Lamp Type]]="T4","",IF(Master_Reference[[#This Row],[Case Type]]="M","",TRUE))</f>
        <v>1</v>
      </c>
      <c r="J615" s="1" t="s">
        <v>111</v>
      </c>
      <c r="K615" s="1">
        <v>32</v>
      </c>
      <c r="L615" s="1" t="s">
        <v>118</v>
      </c>
      <c r="M615" s="1">
        <v>3</v>
      </c>
      <c r="N615" s="1">
        <v>120</v>
      </c>
      <c r="O615" s="1" t="s">
        <v>144</v>
      </c>
      <c r="Q615" s="1" t="s">
        <v>91</v>
      </c>
      <c r="R615" t="b">
        <f>IF(COUNTBLANK(Master_Reference[[#This Row],[C-Flex 3000K Eco Part Number]:[C-Flex 4000K Eco Part Number]])=3,FALSE,TRUE)</f>
        <v>0</v>
      </c>
      <c r="S615" t="b">
        <f>IF(COUNTBLANK(Master_Reference[[#This Row],[C-Flex 3000K 3W Part Number]:[C-Flex 4000K 3W Part Number]])=3,FALSE,TRUE)</f>
        <v>0</v>
      </c>
      <c r="T615" t="b">
        <f>IF(COUNTBLANK(Master_Reference[[#This Row],[Lutron 3000K Eco Part Number]:[Lutron 4000K Eco Part Number]])=3,FALSE,TRUE)</f>
        <v>0</v>
      </c>
      <c r="U615" t="b">
        <f>IF(COUNTBLANK(Master_Reference[[#This Row],[Lutron 3000K 3W Part Number]:[Lutron 4000K 3W Part Number]])=3,FALSE,TRUE)</f>
        <v>0</v>
      </c>
      <c r="V615" s="12"/>
      <c r="W615" s="12"/>
      <c r="X615" s="12"/>
      <c r="Y615" t="s">
        <v>2125</v>
      </c>
      <c r="Z615" s="12"/>
      <c r="AA615" s="12"/>
      <c r="AB615" s="12"/>
      <c r="AC615" t="s">
        <v>2125</v>
      </c>
      <c r="AD615" t="str">
        <f>SUBSTITUTE(Master_Reference[[#This Row],[C-Flex 4000K Eco Part Number]],"40-","xx-")</f>
        <v/>
      </c>
      <c r="AE615" t="str">
        <f>SUBSTITUTE(Master_Reference[[#This Row],[C-Flex 4000K 3W Part Number]],"40-","xx-")</f>
        <v/>
      </c>
      <c r="AF615" s="1" t="str">
        <f>_xlfn.IFNA(VLOOKUP(Master_Reference[[#This Row],[C-Flex 3000K Eco Part Number]],Lutron_CFlex_Lookup[],MATCH("Lutron Kit PN",Lutron_CFlex_Lookup[#Headers],0),FALSE),"")</f>
        <v/>
      </c>
      <c r="AG615" s="1" t="str">
        <f>_xlfn.IFNA(VLOOKUP(Master_Reference[[#This Row],[C-Flex 3500K Eco Part Number]],Lutron_CFlex_Lookup[],MATCH("Lutron Kit PN",Lutron_CFlex_Lookup[#Headers],0),FALSE),"")</f>
        <v/>
      </c>
      <c r="AH615" s="1" t="str">
        <f>_xlfn.IFNA(VLOOKUP(Master_Reference[[#This Row],[C-Flex 4000K Eco Part Number]],Lutron_CFlex_Lookup[],MATCH("Lutron Kit PN",Lutron_CFlex_Lookup[#Headers],0),FALSE),"")</f>
        <v/>
      </c>
      <c r="AI615" s="1" t="str">
        <f>_xlfn.IFNA(VLOOKUP(Master_Reference[[#This Row],[C-Flex 5000K Eco Part Number]],Lutron_CFlex_Lookup[],MATCH("Lutron Kit PN",Lutron_CFlex_Lookup[#Headers],0),FALSE),"")</f>
        <v/>
      </c>
      <c r="AJ615" s="1" t="str">
        <f>_xlfn.IFNA(VLOOKUP(Master_Reference[[#This Row],[C-Flex 3000K 3W Part Number]],Lutron_CFlex_Lookup[],MATCH("Lutron Kit PN",Lutron_CFlex_Lookup[#Headers],0),FALSE),"")</f>
        <v/>
      </c>
      <c r="AK615" s="1" t="str">
        <f>_xlfn.IFNA(VLOOKUP(Master_Reference[[#This Row],[C-Flex 3500K 3W Part Number]],Lutron_CFlex_Lookup[],MATCH("Lutron Kit PN",Lutron_CFlex_Lookup[#Headers],0),FALSE),"")</f>
        <v/>
      </c>
      <c r="AL615" s="1" t="str">
        <f>_xlfn.IFNA(VLOOKUP(Master_Reference[[#This Row],[C-Flex 4000K 3W Part Number]],Lutron_CFlex_Lookup[],MATCH("Lutron Kit PN",Lutron_CFlex_Lookup[#Headers],0),FALSE),"")</f>
        <v/>
      </c>
      <c r="AM615" s="1" t="str">
        <f>_xlfn.IFNA(VLOOKUP(Master_Reference[[#This Row],[C-Flex 5000K 3W Part Number]],Lutron_CFlex_Lookup[],MATCH("Lutron Kit PN",Lutron_CFlex_Lookup[#Headers],0),FALSE),"")</f>
        <v/>
      </c>
      <c r="AN615" s="1" t="b">
        <f>NOT(ISNA(VLOOKUP(Master_Reference[[#This Row],[Model Number]],ObsoleteModels[],1,FALSE)))</f>
        <v>1</v>
      </c>
      <c r="AO615" s="1" t="str">
        <f>IF(LEFT(Master_Reference[[#This Row],[Model Number]],1)="U",LEFT(Master_Reference[[#This Row],[Model Number]],4),LEFT(Master_Reference[[#This Row],[Model Number]],3))</f>
        <v>FDB</v>
      </c>
    </row>
    <row r="616" spans="1:41" x14ac:dyDescent="0.25">
      <c r="A616" s="2" t="s">
        <v>902</v>
      </c>
      <c r="B616" s="1"/>
      <c r="C616" s="1" t="b">
        <v>1</v>
      </c>
      <c r="G616" s="1" t="str">
        <f>IF(OR(LEFT(RIGHT(Master_Reference[[#This Row],[Model Number]],3),1)="C",LEFT(RIGHT(Master_Reference[[#This Row],[Model Number]],4),1)="C"),TRUE,"")</f>
        <v/>
      </c>
      <c r="H616" s="1" t="str">
        <f>IF(LEFT(Master_Reference[[#This Row],[Model Number]],1)="U",TRUE,"")</f>
        <v/>
      </c>
      <c r="I616" s="1" t="b">
        <f>IF(Master_Reference[[#This Row],[Lamp Type]]="T4","",IF(Master_Reference[[#This Row],[Case Type]]="M","",TRUE))</f>
        <v>1</v>
      </c>
      <c r="J616" s="1" t="s">
        <v>111</v>
      </c>
      <c r="K616" s="1">
        <v>32</v>
      </c>
      <c r="L616" s="1" t="s">
        <v>118</v>
      </c>
      <c r="M616" s="1">
        <v>1</v>
      </c>
      <c r="N616" s="1">
        <v>240</v>
      </c>
      <c r="O616" s="1" t="s">
        <v>144</v>
      </c>
      <c r="Q616" s="1" t="s">
        <v>456</v>
      </c>
      <c r="R616" t="b">
        <f>IF(COUNTBLANK(Master_Reference[[#This Row],[C-Flex 3000K Eco Part Number]:[C-Flex 4000K Eco Part Number]])=3,FALSE,TRUE)</f>
        <v>0</v>
      </c>
      <c r="S616" t="b">
        <f>IF(COUNTBLANK(Master_Reference[[#This Row],[C-Flex 3000K 3W Part Number]:[C-Flex 4000K 3W Part Number]])=3,FALSE,TRUE)</f>
        <v>1</v>
      </c>
      <c r="T616" s="1" t="b">
        <f>IF(COUNTBLANK(Master_Reference[[#This Row],[Lutron 3000K Eco Part Number]:[Lutron 4000K Eco Part Number]])=3,FALSE,TRUE)</f>
        <v>0</v>
      </c>
      <c r="U616" s="1" t="b">
        <f>IF(COUNTBLANK(Master_Reference[[#This Row],[Lutron 3000K 3W Part Number]:[Lutron 4000K 3W Part Number]])=3,FALSE,TRUE)</f>
        <v>1</v>
      </c>
      <c r="V616" s="13"/>
      <c r="W616" s="13"/>
      <c r="X616" s="12"/>
      <c r="Y616" t="s">
        <v>2125</v>
      </c>
      <c r="Z616" s="12" t="s">
        <v>264</v>
      </c>
      <c r="AA616" s="12" t="s">
        <v>265</v>
      </c>
      <c r="AB616" s="12" t="s">
        <v>266</v>
      </c>
      <c r="AC616" t="s">
        <v>1829</v>
      </c>
      <c r="AD616" t="str">
        <f>SUBSTITUTE(Master_Reference[[#This Row],[C-Flex 4000K Eco Part Number]],"40-","xx-")</f>
        <v/>
      </c>
      <c r="AE616" t="str">
        <f>SUBSTITUTE(Master_Reference[[#This Row],[C-Flex 4000K 3W Part Number]],"40-","xx-")</f>
        <v>RP-T8-4FT-1L-8xx-3W-M-G2</v>
      </c>
      <c r="AF616" s="1" t="str">
        <f>_xlfn.IFNA(VLOOKUP(Master_Reference[[#This Row],[C-Flex 3000K Eco Part Number]],Lutron_CFlex_Lookup[],MATCH("Lutron Kit PN",Lutron_CFlex_Lookup[#Headers],0),FALSE),"")</f>
        <v/>
      </c>
      <c r="AG616" s="1" t="str">
        <f>_xlfn.IFNA(VLOOKUP(Master_Reference[[#This Row],[C-Flex 3500K Eco Part Number]],Lutron_CFlex_Lookup[],MATCH("Lutron Kit PN",Lutron_CFlex_Lookup[#Headers],0),FALSE),"")</f>
        <v/>
      </c>
      <c r="AH616" s="1" t="str">
        <f>_xlfn.IFNA(VLOOKUP(Master_Reference[[#This Row],[C-Flex 4000K Eco Part Number]],Lutron_CFlex_Lookup[],MATCH("Lutron Kit PN",Lutron_CFlex_Lookup[#Headers],0),FALSE),"")</f>
        <v/>
      </c>
      <c r="AI616" s="1" t="str">
        <f>_xlfn.IFNA(VLOOKUP(Master_Reference[[#This Row],[C-Flex 5000K Eco Part Number]],Lutron_CFlex_Lookup[],MATCH("Lutron Kit PN",Lutron_CFlex_Lookup[#Headers],0),FALSE),"")</f>
        <v/>
      </c>
      <c r="AJ616" s="1" t="str">
        <f>_xlfn.IFNA(VLOOKUP(Master_Reference[[#This Row],[C-Flex 3000K 3W Part Number]],Lutron_CFlex_Lookup[],MATCH("Lutron Kit PN",Lutron_CFlex_Lookup[#Headers],0),FALSE),"")</f>
        <v>3LD4T8-1M30-q</v>
      </c>
      <c r="AK616" s="1" t="str">
        <f>_xlfn.IFNA(VLOOKUP(Master_Reference[[#This Row],[C-Flex 3500K 3W Part Number]],Lutron_CFlex_Lookup[],MATCH("Lutron Kit PN",Lutron_CFlex_Lookup[#Headers],0),FALSE),"")</f>
        <v>3LD4T8-1M35-q</v>
      </c>
      <c r="AL616" s="1" t="str">
        <f>_xlfn.IFNA(VLOOKUP(Master_Reference[[#This Row],[C-Flex 4000K 3W Part Number]],Lutron_CFlex_Lookup[],MATCH("Lutron Kit PN",Lutron_CFlex_Lookup[#Headers],0),FALSE),"")</f>
        <v>3LD4T8-1M40-q</v>
      </c>
      <c r="AM616" s="1" t="str">
        <f>_xlfn.IFNA(VLOOKUP(Master_Reference[[#This Row],[C-Flex 5000K 3W Part Number]],Lutron_CFlex_Lookup[],MATCH("Lutron Kit PN",Lutron_CFlex_Lookup[#Headers],0),FALSE),"")</f>
        <v>3LD4T8-1M50-q</v>
      </c>
      <c r="AN616" s="1" t="b">
        <f>NOT(ISNA(VLOOKUP(Master_Reference[[#This Row],[Model Number]],ObsoleteModels[],1,FALSE)))</f>
        <v>1</v>
      </c>
      <c r="AO616" s="1" t="str">
        <f>IF(LEFT(Master_Reference[[#This Row],[Model Number]],1)="U",LEFT(Master_Reference[[#This Row],[Model Number]],4),LEFT(Master_Reference[[#This Row],[Model Number]],3))</f>
        <v>FDB</v>
      </c>
    </row>
    <row r="617" spans="1:41" x14ac:dyDescent="0.25">
      <c r="A617" s="2" t="s">
        <v>903</v>
      </c>
      <c r="B617" s="1"/>
      <c r="C617" s="1" t="b">
        <v>1</v>
      </c>
      <c r="G617" s="1" t="str">
        <f>IF(OR(LEFT(RIGHT(Master_Reference[[#This Row],[Model Number]],3),1)="C",LEFT(RIGHT(Master_Reference[[#This Row],[Model Number]],4),1)="C"),TRUE,"")</f>
        <v/>
      </c>
      <c r="H617" s="1" t="str">
        <f>IF(LEFT(Master_Reference[[#This Row],[Model Number]],1)="U",TRUE,"")</f>
        <v/>
      </c>
      <c r="I617" s="1" t="b">
        <f>IF(Master_Reference[[#This Row],[Lamp Type]]="T4","",IF(Master_Reference[[#This Row],[Case Type]]="M","",TRUE))</f>
        <v>1</v>
      </c>
      <c r="J617" s="1" t="s">
        <v>111</v>
      </c>
      <c r="K617" s="1">
        <v>32</v>
      </c>
      <c r="L617" s="1" t="s">
        <v>118</v>
      </c>
      <c r="M617" s="1">
        <v>2</v>
      </c>
      <c r="N617" s="1">
        <v>240</v>
      </c>
      <c r="O617" s="1" t="s">
        <v>144</v>
      </c>
      <c r="Q617" s="1" t="s">
        <v>456</v>
      </c>
      <c r="R617" t="b">
        <f>IF(COUNTBLANK(Master_Reference[[#This Row],[C-Flex 3000K Eco Part Number]:[C-Flex 4000K Eco Part Number]])=3,FALSE,TRUE)</f>
        <v>0</v>
      </c>
      <c r="S617" t="b">
        <f>IF(COUNTBLANK(Master_Reference[[#This Row],[C-Flex 3000K 3W Part Number]:[C-Flex 4000K 3W Part Number]])=3,FALSE,TRUE)</f>
        <v>1</v>
      </c>
      <c r="T617" s="1" t="b">
        <f>IF(COUNTBLANK(Master_Reference[[#This Row],[Lutron 3000K Eco Part Number]:[Lutron 4000K Eco Part Number]])=3,FALSE,TRUE)</f>
        <v>0</v>
      </c>
      <c r="U617" s="1" t="b">
        <f>IF(COUNTBLANK(Master_Reference[[#This Row],[Lutron 3000K 3W Part Number]:[Lutron 4000K 3W Part Number]])=3,FALSE,TRUE)</f>
        <v>1</v>
      </c>
      <c r="V617" s="13"/>
      <c r="W617" s="13"/>
      <c r="X617" s="12"/>
      <c r="Y617" t="s">
        <v>2125</v>
      </c>
      <c r="Z617" s="12" t="s">
        <v>145</v>
      </c>
      <c r="AA617" s="12" t="s">
        <v>146</v>
      </c>
      <c r="AB617" s="12" t="s">
        <v>147</v>
      </c>
      <c r="AC617" t="s">
        <v>1830</v>
      </c>
      <c r="AD617" t="str">
        <f>SUBSTITUTE(Master_Reference[[#This Row],[C-Flex 4000K Eco Part Number]],"40-","xx-")</f>
        <v/>
      </c>
      <c r="AE617" t="str">
        <f>SUBSTITUTE(Master_Reference[[#This Row],[C-Flex 4000K 3W Part Number]],"40-","xx-")</f>
        <v>RP-T8-4FT-2L-8xx-3W-M-G2</v>
      </c>
      <c r="AF617" s="1" t="str">
        <f>_xlfn.IFNA(VLOOKUP(Master_Reference[[#This Row],[C-Flex 3000K Eco Part Number]],Lutron_CFlex_Lookup[],MATCH("Lutron Kit PN",Lutron_CFlex_Lookup[#Headers],0),FALSE),"")</f>
        <v/>
      </c>
      <c r="AG617" s="1" t="str">
        <f>_xlfn.IFNA(VLOOKUP(Master_Reference[[#This Row],[C-Flex 3500K Eco Part Number]],Lutron_CFlex_Lookup[],MATCH("Lutron Kit PN",Lutron_CFlex_Lookup[#Headers],0),FALSE),"")</f>
        <v/>
      </c>
      <c r="AH617" s="1" t="str">
        <f>_xlfn.IFNA(VLOOKUP(Master_Reference[[#This Row],[C-Flex 4000K Eco Part Number]],Lutron_CFlex_Lookup[],MATCH("Lutron Kit PN",Lutron_CFlex_Lookup[#Headers],0),FALSE),"")</f>
        <v/>
      </c>
      <c r="AI617" s="1" t="str">
        <f>_xlfn.IFNA(VLOOKUP(Master_Reference[[#This Row],[C-Flex 5000K Eco Part Number]],Lutron_CFlex_Lookup[],MATCH("Lutron Kit PN",Lutron_CFlex_Lookup[#Headers],0),FALSE),"")</f>
        <v/>
      </c>
      <c r="AJ617" s="1" t="str">
        <f>_xlfn.IFNA(VLOOKUP(Master_Reference[[#This Row],[C-Flex 3000K 3W Part Number]],Lutron_CFlex_Lookup[],MATCH("Lutron Kit PN",Lutron_CFlex_Lookup[#Headers],0),FALSE),"")</f>
        <v>3LD4T8-2M30-q</v>
      </c>
      <c r="AK617" s="1" t="str">
        <f>_xlfn.IFNA(VLOOKUP(Master_Reference[[#This Row],[C-Flex 3500K 3W Part Number]],Lutron_CFlex_Lookup[],MATCH("Lutron Kit PN",Lutron_CFlex_Lookup[#Headers],0),FALSE),"")</f>
        <v>3LD4T8-2M35-q</v>
      </c>
      <c r="AL617" s="1" t="str">
        <f>_xlfn.IFNA(VLOOKUP(Master_Reference[[#This Row],[C-Flex 4000K 3W Part Number]],Lutron_CFlex_Lookup[],MATCH("Lutron Kit PN",Lutron_CFlex_Lookup[#Headers],0),FALSE),"")</f>
        <v>3LD4T8-2M40-q</v>
      </c>
      <c r="AM617" s="1" t="str">
        <f>_xlfn.IFNA(VLOOKUP(Master_Reference[[#This Row],[C-Flex 5000K 3W Part Number]],Lutron_CFlex_Lookup[],MATCH("Lutron Kit PN",Lutron_CFlex_Lookup[#Headers],0),FALSE),"")</f>
        <v>3LD4T8-2M50-q</v>
      </c>
      <c r="AN617" s="1" t="b">
        <f>NOT(ISNA(VLOOKUP(Master_Reference[[#This Row],[Model Number]],ObsoleteModels[],1,FALSE)))</f>
        <v>1</v>
      </c>
      <c r="AO617" s="1" t="str">
        <f>IF(LEFT(Master_Reference[[#This Row],[Model Number]],1)="U",LEFT(Master_Reference[[#This Row],[Model Number]],4),LEFT(Master_Reference[[#This Row],[Model Number]],3))</f>
        <v>FDB</v>
      </c>
    </row>
    <row r="618" spans="1:41" x14ac:dyDescent="0.25">
      <c r="A618" s="2" t="s">
        <v>904</v>
      </c>
      <c r="B618" s="1"/>
      <c r="C618" s="1" t="b">
        <v>1</v>
      </c>
      <c r="G618" s="1" t="str">
        <f>IF(OR(LEFT(RIGHT(Master_Reference[[#This Row],[Model Number]],3),1)="C",LEFT(RIGHT(Master_Reference[[#This Row],[Model Number]],4),1)="C"),TRUE,"")</f>
        <v/>
      </c>
      <c r="H618" s="1" t="str">
        <f>IF(LEFT(Master_Reference[[#This Row],[Model Number]],1)="U",TRUE,"")</f>
        <v/>
      </c>
      <c r="I618" s="1" t="b">
        <f>IF(Master_Reference[[#This Row],[Lamp Type]]="T4","",IF(Master_Reference[[#This Row],[Case Type]]="M","",TRUE))</f>
        <v>1</v>
      </c>
      <c r="J618" s="1" t="s">
        <v>111</v>
      </c>
      <c r="K618" s="1">
        <v>32</v>
      </c>
      <c r="L618" s="1" t="s">
        <v>118</v>
      </c>
      <c r="M618" s="1">
        <v>1</v>
      </c>
      <c r="N618" s="1" t="str">
        <f>LEFT(RIGHT(A618,5),3)</f>
        <v>277</v>
      </c>
      <c r="O618" s="1" t="s">
        <v>144</v>
      </c>
      <c r="R618" t="b">
        <f>IF(COUNTBLANK(Master_Reference[[#This Row],[C-Flex 3000K Eco Part Number]:[C-Flex 4000K Eco Part Number]])=3,FALSE,TRUE)</f>
        <v>0</v>
      </c>
      <c r="S618" t="b">
        <f>IF(COUNTBLANK(Master_Reference[[#This Row],[C-Flex 3000K 3W Part Number]:[C-Flex 4000K 3W Part Number]])=3,FALSE,TRUE)</f>
        <v>1</v>
      </c>
      <c r="T618" t="b">
        <f>IF(COUNTBLANK(Master_Reference[[#This Row],[Lutron 3000K Eco Part Number]:[Lutron 4000K Eco Part Number]])=3,FALSE,TRUE)</f>
        <v>0</v>
      </c>
      <c r="U618" t="b">
        <f>IF(COUNTBLANK(Master_Reference[[#This Row],[Lutron 3000K 3W Part Number]:[Lutron 4000K 3W Part Number]])=3,FALSE,TRUE)</f>
        <v>1</v>
      </c>
      <c r="V618" s="12"/>
      <c r="W618" s="12"/>
      <c r="X618" s="12"/>
      <c r="Y618" t="s">
        <v>2125</v>
      </c>
      <c r="Z618" s="12" t="s">
        <v>264</v>
      </c>
      <c r="AA618" s="12" t="s">
        <v>265</v>
      </c>
      <c r="AB618" s="12" t="s">
        <v>266</v>
      </c>
      <c r="AC618" t="s">
        <v>1829</v>
      </c>
      <c r="AD618" t="str">
        <f>SUBSTITUTE(Master_Reference[[#This Row],[C-Flex 4000K Eco Part Number]],"40-","xx-")</f>
        <v/>
      </c>
      <c r="AE618" t="str">
        <f>SUBSTITUTE(Master_Reference[[#This Row],[C-Flex 4000K 3W Part Number]],"40-","xx-")</f>
        <v>RP-T8-4FT-1L-8xx-3W-M-G2</v>
      </c>
      <c r="AF618" s="1" t="str">
        <f>_xlfn.IFNA(VLOOKUP(Master_Reference[[#This Row],[C-Flex 3000K Eco Part Number]],Lutron_CFlex_Lookup[],MATCH("Lutron Kit PN",Lutron_CFlex_Lookup[#Headers],0),FALSE),"")</f>
        <v/>
      </c>
      <c r="AG618" s="1" t="str">
        <f>_xlfn.IFNA(VLOOKUP(Master_Reference[[#This Row],[C-Flex 3500K Eco Part Number]],Lutron_CFlex_Lookup[],MATCH("Lutron Kit PN",Lutron_CFlex_Lookup[#Headers],0),FALSE),"")</f>
        <v/>
      </c>
      <c r="AH618" s="1" t="str">
        <f>_xlfn.IFNA(VLOOKUP(Master_Reference[[#This Row],[C-Flex 4000K Eco Part Number]],Lutron_CFlex_Lookup[],MATCH("Lutron Kit PN",Lutron_CFlex_Lookup[#Headers],0),FALSE),"")</f>
        <v/>
      </c>
      <c r="AI618" s="1" t="str">
        <f>_xlfn.IFNA(VLOOKUP(Master_Reference[[#This Row],[C-Flex 5000K Eco Part Number]],Lutron_CFlex_Lookup[],MATCH("Lutron Kit PN",Lutron_CFlex_Lookup[#Headers],0),FALSE),"")</f>
        <v/>
      </c>
      <c r="AJ618" s="1" t="str">
        <f>_xlfn.IFNA(VLOOKUP(Master_Reference[[#This Row],[C-Flex 3000K 3W Part Number]],Lutron_CFlex_Lookup[],MATCH("Lutron Kit PN",Lutron_CFlex_Lookup[#Headers],0),FALSE),"")</f>
        <v>3LD4T8-1M30-q</v>
      </c>
      <c r="AK618" s="1" t="str">
        <f>_xlfn.IFNA(VLOOKUP(Master_Reference[[#This Row],[C-Flex 3500K 3W Part Number]],Lutron_CFlex_Lookup[],MATCH("Lutron Kit PN",Lutron_CFlex_Lookup[#Headers],0),FALSE),"")</f>
        <v>3LD4T8-1M35-q</v>
      </c>
      <c r="AL618" s="1" t="str">
        <f>_xlfn.IFNA(VLOOKUP(Master_Reference[[#This Row],[C-Flex 4000K 3W Part Number]],Lutron_CFlex_Lookup[],MATCH("Lutron Kit PN",Lutron_CFlex_Lookup[#Headers],0),FALSE),"")</f>
        <v>3LD4T8-1M40-q</v>
      </c>
      <c r="AM618" s="1" t="str">
        <f>_xlfn.IFNA(VLOOKUP(Master_Reference[[#This Row],[C-Flex 5000K 3W Part Number]],Lutron_CFlex_Lookup[],MATCH("Lutron Kit PN",Lutron_CFlex_Lookup[#Headers],0),FALSE),"")</f>
        <v>3LD4T8-1M50-q</v>
      </c>
      <c r="AN618" s="1" t="b">
        <f>NOT(ISNA(VLOOKUP(Master_Reference[[#This Row],[Model Number]],ObsoleteModels[],1,FALSE)))</f>
        <v>1</v>
      </c>
      <c r="AO618" s="1" t="str">
        <f>IF(LEFT(Master_Reference[[#This Row],[Model Number]],1)="U",LEFT(Master_Reference[[#This Row],[Model Number]],4),LEFT(Master_Reference[[#This Row],[Model Number]],3))</f>
        <v>FDB</v>
      </c>
    </row>
    <row r="619" spans="1:41" x14ac:dyDescent="0.25">
      <c r="A619" s="2" t="s">
        <v>905</v>
      </c>
      <c r="B619" s="1"/>
      <c r="C619" s="1" t="b">
        <v>1</v>
      </c>
      <c r="G619" s="1" t="str">
        <f>IF(OR(LEFT(RIGHT(Master_Reference[[#This Row],[Model Number]],3),1)="C",LEFT(RIGHT(Master_Reference[[#This Row],[Model Number]],4),1)="C"),TRUE,"")</f>
        <v/>
      </c>
      <c r="H619" s="1" t="str">
        <f>IF(LEFT(Master_Reference[[#This Row],[Model Number]],1)="U",TRUE,"")</f>
        <v/>
      </c>
      <c r="I619" s="1" t="b">
        <f>IF(Master_Reference[[#This Row],[Lamp Type]]="T4","",IF(Master_Reference[[#This Row],[Case Type]]="M","",TRUE))</f>
        <v>1</v>
      </c>
      <c r="J619" s="1" t="s">
        <v>111</v>
      </c>
      <c r="K619" s="1">
        <v>32</v>
      </c>
      <c r="L619" s="1" t="s">
        <v>118</v>
      </c>
      <c r="M619" s="1">
        <v>2</v>
      </c>
      <c r="N619" s="1" t="str">
        <f>LEFT(RIGHT(A619,5),3)</f>
        <v>277</v>
      </c>
      <c r="O619" s="1" t="s">
        <v>144</v>
      </c>
      <c r="R619" t="b">
        <f>IF(COUNTBLANK(Master_Reference[[#This Row],[C-Flex 3000K Eco Part Number]:[C-Flex 4000K Eco Part Number]])=3,FALSE,TRUE)</f>
        <v>0</v>
      </c>
      <c r="S619" t="b">
        <f>IF(COUNTBLANK(Master_Reference[[#This Row],[C-Flex 3000K 3W Part Number]:[C-Flex 4000K 3W Part Number]])=3,FALSE,TRUE)</f>
        <v>1</v>
      </c>
      <c r="T619" t="b">
        <f>IF(COUNTBLANK(Master_Reference[[#This Row],[Lutron 3000K Eco Part Number]:[Lutron 4000K Eco Part Number]])=3,FALSE,TRUE)</f>
        <v>0</v>
      </c>
      <c r="U619" t="b">
        <f>IF(COUNTBLANK(Master_Reference[[#This Row],[Lutron 3000K 3W Part Number]:[Lutron 4000K 3W Part Number]])=3,FALSE,TRUE)</f>
        <v>1</v>
      </c>
      <c r="V619" s="12"/>
      <c r="W619" s="12"/>
      <c r="X619" s="12"/>
      <c r="Y619" t="s">
        <v>2125</v>
      </c>
      <c r="Z619" s="12" t="s">
        <v>145</v>
      </c>
      <c r="AA619" s="12" t="s">
        <v>146</v>
      </c>
      <c r="AB619" s="12" t="s">
        <v>147</v>
      </c>
      <c r="AC619" t="s">
        <v>1830</v>
      </c>
      <c r="AD619" t="str">
        <f>SUBSTITUTE(Master_Reference[[#This Row],[C-Flex 4000K Eco Part Number]],"40-","xx-")</f>
        <v/>
      </c>
      <c r="AE619" t="str">
        <f>SUBSTITUTE(Master_Reference[[#This Row],[C-Flex 4000K 3W Part Number]],"40-","xx-")</f>
        <v>RP-T8-4FT-2L-8xx-3W-M-G2</v>
      </c>
      <c r="AF619" s="1" t="str">
        <f>_xlfn.IFNA(VLOOKUP(Master_Reference[[#This Row],[C-Flex 3000K Eco Part Number]],Lutron_CFlex_Lookup[],MATCH("Lutron Kit PN",Lutron_CFlex_Lookup[#Headers],0),FALSE),"")</f>
        <v/>
      </c>
      <c r="AG619" s="1" t="str">
        <f>_xlfn.IFNA(VLOOKUP(Master_Reference[[#This Row],[C-Flex 3500K Eco Part Number]],Lutron_CFlex_Lookup[],MATCH("Lutron Kit PN",Lutron_CFlex_Lookup[#Headers],0),FALSE),"")</f>
        <v/>
      </c>
      <c r="AH619" s="1" t="str">
        <f>_xlfn.IFNA(VLOOKUP(Master_Reference[[#This Row],[C-Flex 4000K Eco Part Number]],Lutron_CFlex_Lookup[],MATCH("Lutron Kit PN",Lutron_CFlex_Lookup[#Headers],0),FALSE),"")</f>
        <v/>
      </c>
      <c r="AI619" s="1" t="str">
        <f>_xlfn.IFNA(VLOOKUP(Master_Reference[[#This Row],[C-Flex 5000K Eco Part Number]],Lutron_CFlex_Lookup[],MATCH("Lutron Kit PN",Lutron_CFlex_Lookup[#Headers],0),FALSE),"")</f>
        <v/>
      </c>
      <c r="AJ619" s="1" t="str">
        <f>_xlfn.IFNA(VLOOKUP(Master_Reference[[#This Row],[C-Flex 3000K 3W Part Number]],Lutron_CFlex_Lookup[],MATCH("Lutron Kit PN",Lutron_CFlex_Lookup[#Headers],0),FALSE),"")</f>
        <v>3LD4T8-2M30-q</v>
      </c>
      <c r="AK619" s="1" t="str">
        <f>_xlfn.IFNA(VLOOKUP(Master_Reference[[#This Row],[C-Flex 3500K 3W Part Number]],Lutron_CFlex_Lookup[],MATCH("Lutron Kit PN",Lutron_CFlex_Lookup[#Headers],0),FALSE),"")</f>
        <v>3LD4T8-2M35-q</v>
      </c>
      <c r="AL619" s="1" t="str">
        <f>_xlfn.IFNA(VLOOKUP(Master_Reference[[#This Row],[C-Flex 4000K 3W Part Number]],Lutron_CFlex_Lookup[],MATCH("Lutron Kit PN",Lutron_CFlex_Lookup[#Headers],0),FALSE),"")</f>
        <v>3LD4T8-2M40-q</v>
      </c>
      <c r="AM619" s="1" t="str">
        <f>_xlfn.IFNA(VLOOKUP(Master_Reference[[#This Row],[C-Flex 5000K 3W Part Number]],Lutron_CFlex_Lookup[],MATCH("Lutron Kit PN",Lutron_CFlex_Lookup[#Headers],0),FALSE),"")</f>
        <v>3LD4T8-2M50-q</v>
      </c>
      <c r="AN619" s="1" t="b">
        <f>NOT(ISNA(VLOOKUP(Master_Reference[[#This Row],[Model Number]],ObsoleteModels[],1,FALSE)))</f>
        <v>1</v>
      </c>
      <c r="AO619" s="1" t="str">
        <f>IF(LEFT(Master_Reference[[#This Row],[Model Number]],1)="U",LEFT(Master_Reference[[#This Row],[Model Number]],4),LEFT(Master_Reference[[#This Row],[Model Number]],3))</f>
        <v>FDB</v>
      </c>
    </row>
    <row r="620" spans="1:41" x14ac:dyDescent="0.25">
      <c r="A620" s="2" t="s">
        <v>906</v>
      </c>
      <c r="B620" s="1"/>
      <c r="C620" s="1" t="b">
        <v>1</v>
      </c>
      <c r="G620" s="1" t="str">
        <f>IF(OR(LEFT(RIGHT(Master_Reference[[#This Row],[Model Number]],3),1)="C",LEFT(RIGHT(Master_Reference[[#This Row],[Model Number]],4),1)="C"),TRUE,"")</f>
        <v/>
      </c>
      <c r="H620" s="1" t="str">
        <f>IF(LEFT(Master_Reference[[#This Row],[Model Number]],1)="U",TRUE,"")</f>
        <v/>
      </c>
      <c r="I620" s="1" t="b">
        <f>IF(Master_Reference[[#This Row],[Lamp Type]]="T4","",IF(Master_Reference[[#This Row],[Case Type]]="M","",TRUE))</f>
        <v>1</v>
      </c>
      <c r="J620" s="1" t="s">
        <v>111</v>
      </c>
      <c r="K620" s="1">
        <v>32</v>
      </c>
      <c r="L620" s="1" t="s">
        <v>118</v>
      </c>
      <c r="M620" s="1">
        <v>3</v>
      </c>
      <c r="N620" s="1" t="str">
        <f>LEFT(RIGHT(A620,5),3)</f>
        <v>277</v>
      </c>
      <c r="O620" s="1" t="s">
        <v>144</v>
      </c>
      <c r="R620" t="b">
        <f>IF(COUNTBLANK(Master_Reference[[#This Row],[C-Flex 3000K Eco Part Number]:[C-Flex 4000K Eco Part Number]])=3,FALSE,TRUE)</f>
        <v>0</v>
      </c>
      <c r="S620" t="b">
        <f>IF(COUNTBLANK(Master_Reference[[#This Row],[C-Flex 3000K 3W Part Number]:[C-Flex 4000K 3W Part Number]])=3,FALSE,TRUE)</f>
        <v>1</v>
      </c>
      <c r="T620" t="b">
        <f>IF(COUNTBLANK(Master_Reference[[#This Row],[Lutron 3000K Eco Part Number]:[Lutron 4000K Eco Part Number]])=3,FALSE,TRUE)</f>
        <v>0</v>
      </c>
      <c r="U620" t="b">
        <f>IF(COUNTBLANK(Master_Reference[[#This Row],[Lutron 3000K 3W Part Number]:[Lutron 4000K 3W Part Number]])=3,FALSE,TRUE)</f>
        <v>1</v>
      </c>
      <c r="V620" s="12"/>
      <c r="W620" s="12"/>
      <c r="X620" s="12"/>
      <c r="Y620" t="s">
        <v>2125</v>
      </c>
      <c r="Z620" s="12" t="s">
        <v>277</v>
      </c>
      <c r="AA620" s="12" t="s">
        <v>278</v>
      </c>
      <c r="AB620" s="12" t="s">
        <v>279</v>
      </c>
      <c r="AC620" t="s">
        <v>1831</v>
      </c>
      <c r="AD620" t="str">
        <f>SUBSTITUTE(Master_Reference[[#This Row],[C-Flex 4000K Eco Part Number]],"40-","xx-")</f>
        <v/>
      </c>
      <c r="AE620" t="str">
        <f>SUBSTITUTE(Master_Reference[[#This Row],[C-Flex 4000K 3W Part Number]],"40-","xx-")</f>
        <v>RP-T8-4FT-3L-8xx-3W-M-G2</v>
      </c>
      <c r="AF620" s="1" t="str">
        <f>_xlfn.IFNA(VLOOKUP(Master_Reference[[#This Row],[C-Flex 3000K Eco Part Number]],Lutron_CFlex_Lookup[],MATCH("Lutron Kit PN",Lutron_CFlex_Lookup[#Headers],0),FALSE),"")</f>
        <v/>
      </c>
      <c r="AG620" s="1" t="str">
        <f>_xlfn.IFNA(VLOOKUP(Master_Reference[[#This Row],[C-Flex 3500K Eco Part Number]],Lutron_CFlex_Lookup[],MATCH("Lutron Kit PN",Lutron_CFlex_Lookup[#Headers],0),FALSE),"")</f>
        <v/>
      </c>
      <c r="AH620" s="1" t="str">
        <f>_xlfn.IFNA(VLOOKUP(Master_Reference[[#This Row],[C-Flex 4000K Eco Part Number]],Lutron_CFlex_Lookup[],MATCH("Lutron Kit PN",Lutron_CFlex_Lookup[#Headers],0),FALSE),"")</f>
        <v/>
      </c>
      <c r="AI620" s="1" t="str">
        <f>_xlfn.IFNA(VLOOKUP(Master_Reference[[#This Row],[C-Flex 5000K Eco Part Number]],Lutron_CFlex_Lookup[],MATCH("Lutron Kit PN",Lutron_CFlex_Lookup[#Headers],0),FALSE),"")</f>
        <v/>
      </c>
      <c r="AJ620" s="1" t="str">
        <f>_xlfn.IFNA(VLOOKUP(Master_Reference[[#This Row],[C-Flex 3000K 3W Part Number]],Lutron_CFlex_Lookup[],MATCH("Lutron Kit PN",Lutron_CFlex_Lookup[#Headers],0),FALSE),"")</f>
        <v>3LD4T8-3M30-q</v>
      </c>
      <c r="AK620" s="1" t="str">
        <f>_xlfn.IFNA(VLOOKUP(Master_Reference[[#This Row],[C-Flex 3500K 3W Part Number]],Lutron_CFlex_Lookup[],MATCH("Lutron Kit PN",Lutron_CFlex_Lookup[#Headers],0),FALSE),"")</f>
        <v>3LD4T8-3M35-q</v>
      </c>
      <c r="AL620" s="1" t="str">
        <f>_xlfn.IFNA(VLOOKUP(Master_Reference[[#This Row],[C-Flex 4000K 3W Part Number]],Lutron_CFlex_Lookup[],MATCH("Lutron Kit PN",Lutron_CFlex_Lookup[#Headers],0),FALSE),"")</f>
        <v>3LD4T8-3M40-q</v>
      </c>
      <c r="AM620" s="1" t="str">
        <f>_xlfn.IFNA(VLOOKUP(Master_Reference[[#This Row],[C-Flex 5000K 3W Part Number]],Lutron_CFlex_Lookup[],MATCH("Lutron Kit PN",Lutron_CFlex_Lookup[#Headers],0),FALSE),"")</f>
        <v>3LD4T8-3M50-q</v>
      </c>
      <c r="AN620" s="1" t="b">
        <f>NOT(ISNA(VLOOKUP(Master_Reference[[#This Row],[Model Number]],ObsoleteModels[],1,FALSE)))</f>
        <v>1</v>
      </c>
      <c r="AO620" s="1" t="str">
        <f>IF(LEFT(Master_Reference[[#This Row],[Model Number]],1)="U",LEFT(Master_Reference[[#This Row],[Model Number]],4),LEFT(Master_Reference[[#This Row],[Model Number]],3))</f>
        <v>FDB</v>
      </c>
    </row>
    <row r="621" spans="1:41" x14ac:dyDescent="0.25">
      <c r="A621" s="2" t="s">
        <v>907</v>
      </c>
      <c r="B621" s="1"/>
      <c r="C621" s="1" t="b">
        <v>1</v>
      </c>
      <c r="G621" s="1" t="str">
        <f>IF(OR(LEFT(RIGHT(Master_Reference[[#This Row],[Model Number]],3),1)="C",LEFT(RIGHT(Master_Reference[[#This Row],[Model Number]],4),1)="C"),TRUE,"")</f>
        <v/>
      </c>
      <c r="H621" s="1" t="str">
        <f>IF(LEFT(Master_Reference[[#This Row],[Model Number]],1)="U",TRUE,"")</f>
        <v/>
      </c>
      <c r="I621" s="1" t="b">
        <f>IF(Master_Reference[[#This Row],[Lamp Type]]="T4","",IF(Master_Reference[[#This Row],[Case Type]]="M","",TRUE))</f>
        <v>1</v>
      </c>
      <c r="J621" s="1" t="s">
        <v>886</v>
      </c>
      <c r="K621" s="1">
        <v>40</v>
      </c>
      <c r="L621" s="1" t="s">
        <v>118</v>
      </c>
      <c r="M621" s="1">
        <v>1</v>
      </c>
      <c r="N621" s="1" t="str">
        <f>LEFT(RIGHT(A621,5),3)</f>
        <v>100</v>
      </c>
      <c r="O621" s="1" t="s">
        <v>144</v>
      </c>
      <c r="Q621" s="1" t="s">
        <v>892</v>
      </c>
      <c r="R621" t="b">
        <f>IF(COUNTBLANK(Master_Reference[[#This Row],[C-Flex 3000K Eco Part Number]:[C-Flex 4000K Eco Part Number]])=3,FALSE,TRUE)</f>
        <v>0</v>
      </c>
      <c r="S621" t="b">
        <f>IF(COUNTBLANK(Master_Reference[[#This Row],[C-Flex 3000K 3W Part Number]:[C-Flex 4000K 3W Part Number]])=3,FALSE,TRUE)</f>
        <v>0</v>
      </c>
      <c r="T621" t="b">
        <f>IF(COUNTBLANK(Master_Reference[[#This Row],[Lutron 3000K Eco Part Number]:[Lutron 4000K Eco Part Number]])=3,FALSE,TRUE)</f>
        <v>0</v>
      </c>
      <c r="U621" t="b">
        <f>IF(COUNTBLANK(Master_Reference[[#This Row],[Lutron 3000K 3W Part Number]:[Lutron 4000K 3W Part Number]])=3,FALSE,TRUE)</f>
        <v>0</v>
      </c>
      <c r="V621" s="12"/>
      <c r="W621" s="12"/>
      <c r="X621" s="12"/>
      <c r="Y621" t="s">
        <v>2125</v>
      </c>
      <c r="Z621" s="12"/>
      <c r="AA621" s="12"/>
      <c r="AB621" s="12"/>
      <c r="AC621" t="s">
        <v>2125</v>
      </c>
      <c r="AD621" t="str">
        <f>SUBSTITUTE(Master_Reference[[#This Row],[C-Flex 4000K Eco Part Number]],"40-","xx-")</f>
        <v/>
      </c>
      <c r="AE621" t="str">
        <f>SUBSTITUTE(Master_Reference[[#This Row],[C-Flex 4000K 3W Part Number]],"40-","xx-")</f>
        <v/>
      </c>
      <c r="AF621" s="1" t="str">
        <f>_xlfn.IFNA(VLOOKUP(Master_Reference[[#This Row],[C-Flex 3000K Eco Part Number]],Lutron_CFlex_Lookup[],MATCH("Lutron Kit PN",Lutron_CFlex_Lookup[#Headers],0),FALSE),"")</f>
        <v/>
      </c>
      <c r="AG621" s="1" t="str">
        <f>_xlfn.IFNA(VLOOKUP(Master_Reference[[#This Row],[C-Flex 3500K Eco Part Number]],Lutron_CFlex_Lookup[],MATCH("Lutron Kit PN",Lutron_CFlex_Lookup[#Headers],0),FALSE),"")</f>
        <v/>
      </c>
      <c r="AH621" s="1" t="str">
        <f>_xlfn.IFNA(VLOOKUP(Master_Reference[[#This Row],[C-Flex 4000K Eco Part Number]],Lutron_CFlex_Lookup[],MATCH("Lutron Kit PN",Lutron_CFlex_Lookup[#Headers],0),FALSE),"")</f>
        <v/>
      </c>
      <c r="AI621" s="1" t="str">
        <f>_xlfn.IFNA(VLOOKUP(Master_Reference[[#This Row],[C-Flex 5000K Eco Part Number]],Lutron_CFlex_Lookup[],MATCH("Lutron Kit PN",Lutron_CFlex_Lookup[#Headers],0),FALSE),"")</f>
        <v/>
      </c>
      <c r="AJ621" s="1" t="str">
        <f>_xlfn.IFNA(VLOOKUP(Master_Reference[[#This Row],[C-Flex 3000K 3W Part Number]],Lutron_CFlex_Lookup[],MATCH("Lutron Kit PN",Lutron_CFlex_Lookup[#Headers],0),FALSE),"")</f>
        <v/>
      </c>
      <c r="AK621" s="1" t="str">
        <f>_xlfn.IFNA(VLOOKUP(Master_Reference[[#This Row],[C-Flex 3500K 3W Part Number]],Lutron_CFlex_Lookup[],MATCH("Lutron Kit PN",Lutron_CFlex_Lookup[#Headers],0),FALSE),"")</f>
        <v/>
      </c>
      <c r="AL621" s="1" t="str">
        <f>_xlfn.IFNA(VLOOKUP(Master_Reference[[#This Row],[C-Flex 4000K 3W Part Number]],Lutron_CFlex_Lookup[],MATCH("Lutron Kit PN",Lutron_CFlex_Lookup[#Headers],0),FALSE),"")</f>
        <v/>
      </c>
      <c r="AM621" s="1" t="str">
        <f>_xlfn.IFNA(VLOOKUP(Master_Reference[[#This Row],[C-Flex 5000K 3W Part Number]],Lutron_CFlex_Lookup[],MATCH("Lutron Kit PN",Lutron_CFlex_Lookup[#Headers],0),FALSE),"")</f>
        <v/>
      </c>
      <c r="AN621" s="1" t="b">
        <f>NOT(ISNA(VLOOKUP(Master_Reference[[#This Row],[Model Number]],ObsoleteModels[],1,FALSE)))</f>
        <v>1</v>
      </c>
      <c r="AO621" s="1" t="str">
        <f>IF(LEFT(Master_Reference[[#This Row],[Model Number]],1)="U",LEFT(Master_Reference[[#This Row],[Model Number]],4),LEFT(Master_Reference[[#This Row],[Model Number]],3))</f>
        <v>FDB</v>
      </c>
    </row>
    <row r="622" spans="1:41" x14ac:dyDescent="0.25">
      <c r="A622" s="2" t="s">
        <v>908</v>
      </c>
      <c r="B622" s="1"/>
      <c r="C622" s="1" t="b">
        <v>1</v>
      </c>
      <c r="G622" s="1" t="str">
        <f>IF(OR(LEFT(RIGHT(Master_Reference[[#This Row],[Model Number]],3),1)="C",LEFT(RIGHT(Master_Reference[[#This Row],[Model Number]],4),1)="C"),TRUE,"")</f>
        <v/>
      </c>
      <c r="H622" s="1" t="str">
        <f>IF(LEFT(Master_Reference[[#This Row],[Model Number]],1)="U",TRUE,"")</f>
        <v/>
      </c>
      <c r="I622" s="1" t="b">
        <f>IF(Master_Reference[[#This Row],[Lamp Type]]="T4","",IF(Master_Reference[[#This Row],[Case Type]]="M","",TRUE))</f>
        <v>1</v>
      </c>
      <c r="J622" s="1" t="s">
        <v>886</v>
      </c>
      <c r="K622" s="1">
        <v>40</v>
      </c>
      <c r="L622" s="1" t="s">
        <v>118</v>
      </c>
      <c r="M622" s="1">
        <v>2</v>
      </c>
      <c r="N622" s="1" t="str">
        <f>LEFT(RIGHT(A622,5),3)</f>
        <v>100</v>
      </c>
      <c r="O622" s="1" t="s">
        <v>144</v>
      </c>
      <c r="Q622" s="1" t="s">
        <v>892</v>
      </c>
      <c r="R622" t="b">
        <f>IF(COUNTBLANK(Master_Reference[[#This Row],[C-Flex 3000K Eco Part Number]:[C-Flex 4000K Eco Part Number]])=3,FALSE,TRUE)</f>
        <v>0</v>
      </c>
      <c r="S622" t="b">
        <f>IF(COUNTBLANK(Master_Reference[[#This Row],[C-Flex 3000K 3W Part Number]:[C-Flex 4000K 3W Part Number]])=3,FALSE,TRUE)</f>
        <v>0</v>
      </c>
      <c r="T622" t="b">
        <f>IF(COUNTBLANK(Master_Reference[[#This Row],[Lutron 3000K Eco Part Number]:[Lutron 4000K Eco Part Number]])=3,FALSE,TRUE)</f>
        <v>0</v>
      </c>
      <c r="U622" t="b">
        <f>IF(COUNTBLANK(Master_Reference[[#This Row],[Lutron 3000K 3W Part Number]:[Lutron 4000K 3W Part Number]])=3,FALSE,TRUE)</f>
        <v>0</v>
      </c>
      <c r="V622" s="12"/>
      <c r="W622" s="12"/>
      <c r="X622" s="12"/>
      <c r="Y622" t="s">
        <v>2125</v>
      </c>
      <c r="Z622" s="12"/>
      <c r="AA622" s="12"/>
      <c r="AB622" s="12"/>
      <c r="AC622" t="s">
        <v>2125</v>
      </c>
      <c r="AD622" t="str">
        <f>SUBSTITUTE(Master_Reference[[#This Row],[C-Flex 4000K Eco Part Number]],"40-","xx-")</f>
        <v/>
      </c>
      <c r="AE622" t="str">
        <f>SUBSTITUTE(Master_Reference[[#This Row],[C-Flex 4000K 3W Part Number]],"40-","xx-")</f>
        <v/>
      </c>
      <c r="AF622" s="1" t="str">
        <f>_xlfn.IFNA(VLOOKUP(Master_Reference[[#This Row],[C-Flex 3000K Eco Part Number]],Lutron_CFlex_Lookup[],MATCH("Lutron Kit PN",Lutron_CFlex_Lookup[#Headers],0),FALSE),"")</f>
        <v/>
      </c>
      <c r="AG622" s="1" t="str">
        <f>_xlfn.IFNA(VLOOKUP(Master_Reference[[#This Row],[C-Flex 3500K Eco Part Number]],Lutron_CFlex_Lookup[],MATCH("Lutron Kit PN",Lutron_CFlex_Lookup[#Headers],0),FALSE),"")</f>
        <v/>
      </c>
      <c r="AH622" s="1" t="str">
        <f>_xlfn.IFNA(VLOOKUP(Master_Reference[[#This Row],[C-Flex 4000K Eco Part Number]],Lutron_CFlex_Lookup[],MATCH("Lutron Kit PN",Lutron_CFlex_Lookup[#Headers],0),FALSE),"")</f>
        <v/>
      </c>
      <c r="AI622" s="1" t="str">
        <f>_xlfn.IFNA(VLOOKUP(Master_Reference[[#This Row],[C-Flex 5000K Eco Part Number]],Lutron_CFlex_Lookup[],MATCH("Lutron Kit PN",Lutron_CFlex_Lookup[#Headers],0),FALSE),"")</f>
        <v/>
      </c>
      <c r="AJ622" s="1" t="str">
        <f>_xlfn.IFNA(VLOOKUP(Master_Reference[[#This Row],[C-Flex 3000K 3W Part Number]],Lutron_CFlex_Lookup[],MATCH("Lutron Kit PN",Lutron_CFlex_Lookup[#Headers],0),FALSE),"")</f>
        <v/>
      </c>
      <c r="AK622" s="1" t="str">
        <f>_xlfn.IFNA(VLOOKUP(Master_Reference[[#This Row],[C-Flex 3500K 3W Part Number]],Lutron_CFlex_Lookup[],MATCH("Lutron Kit PN",Lutron_CFlex_Lookup[#Headers],0),FALSE),"")</f>
        <v/>
      </c>
      <c r="AL622" s="1" t="str">
        <f>_xlfn.IFNA(VLOOKUP(Master_Reference[[#This Row],[C-Flex 4000K 3W Part Number]],Lutron_CFlex_Lookup[],MATCH("Lutron Kit PN",Lutron_CFlex_Lookup[#Headers],0),FALSE),"")</f>
        <v/>
      </c>
      <c r="AM622" s="1" t="str">
        <f>_xlfn.IFNA(VLOOKUP(Master_Reference[[#This Row],[C-Flex 5000K 3W Part Number]],Lutron_CFlex_Lookup[],MATCH("Lutron Kit PN",Lutron_CFlex_Lookup[#Headers],0),FALSE),"")</f>
        <v/>
      </c>
      <c r="AN622" s="1" t="b">
        <f>NOT(ISNA(VLOOKUP(Master_Reference[[#This Row],[Model Number]],ObsoleteModels[],1,FALSE)))</f>
        <v>1</v>
      </c>
      <c r="AO622" s="1" t="str">
        <f>IF(LEFT(Master_Reference[[#This Row],[Model Number]],1)="U",LEFT(Master_Reference[[#This Row],[Model Number]],4),LEFT(Master_Reference[[#This Row],[Model Number]],3))</f>
        <v>FDB</v>
      </c>
    </row>
    <row r="623" spans="1:41" x14ac:dyDescent="0.25">
      <c r="A623" s="2" t="s">
        <v>909</v>
      </c>
      <c r="B623" s="1"/>
      <c r="C623" s="1" t="b">
        <v>1</v>
      </c>
      <c r="G623" s="1" t="str">
        <f>IF(OR(LEFT(RIGHT(Master_Reference[[#This Row],[Model Number]],3),1)="C",LEFT(RIGHT(Master_Reference[[#This Row],[Model Number]],4),1)="C"),TRUE,"")</f>
        <v/>
      </c>
      <c r="H623" s="1" t="str">
        <f>IF(LEFT(Master_Reference[[#This Row],[Model Number]],1)="U",TRUE,"")</f>
        <v/>
      </c>
      <c r="I623" s="1" t="b">
        <f>IF(Master_Reference[[#This Row],[Lamp Type]]="T4","",IF(Master_Reference[[#This Row],[Case Type]]="M","",TRUE))</f>
        <v>1</v>
      </c>
      <c r="J623" s="1" t="s">
        <v>886</v>
      </c>
      <c r="K623" s="1">
        <v>40</v>
      </c>
      <c r="L623" s="1" t="s">
        <v>118</v>
      </c>
      <c r="M623" s="1">
        <v>1</v>
      </c>
      <c r="N623" s="1">
        <v>120</v>
      </c>
      <c r="O623" s="1" t="s">
        <v>144</v>
      </c>
      <c r="R623" t="b">
        <f>IF(COUNTBLANK(Master_Reference[[#This Row],[C-Flex 3000K Eco Part Number]:[C-Flex 4000K Eco Part Number]])=3,FALSE,TRUE)</f>
        <v>0</v>
      </c>
      <c r="S623" t="b">
        <f>IF(COUNTBLANK(Master_Reference[[#This Row],[C-Flex 3000K 3W Part Number]:[C-Flex 4000K 3W Part Number]])=3,FALSE,TRUE)</f>
        <v>0</v>
      </c>
      <c r="T623" s="1" t="b">
        <f>IF(COUNTBLANK(Master_Reference[[#This Row],[Lutron 3000K Eco Part Number]:[Lutron 4000K Eco Part Number]])=3,FALSE,TRUE)</f>
        <v>0</v>
      </c>
      <c r="U623" s="1" t="b">
        <f>IF(COUNTBLANK(Master_Reference[[#This Row],[Lutron 3000K 3W Part Number]:[Lutron 4000K 3W Part Number]])=3,FALSE,TRUE)</f>
        <v>0</v>
      </c>
      <c r="V623" s="13"/>
      <c r="W623" s="13"/>
      <c r="X623" s="12"/>
      <c r="Y623" t="s">
        <v>2125</v>
      </c>
      <c r="Z623" s="12"/>
      <c r="AA623" s="12"/>
      <c r="AB623" s="12"/>
      <c r="AC623" t="s">
        <v>2125</v>
      </c>
      <c r="AD623" t="str">
        <f>SUBSTITUTE(Master_Reference[[#This Row],[C-Flex 4000K Eco Part Number]],"40-","xx-")</f>
        <v/>
      </c>
      <c r="AE623" t="str">
        <f>SUBSTITUTE(Master_Reference[[#This Row],[C-Flex 4000K 3W Part Number]],"40-","xx-")</f>
        <v/>
      </c>
      <c r="AF623" s="1" t="str">
        <f>_xlfn.IFNA(VLOOKUP(Master_Reference[[#This Row],[C-Flex 3000K Eco Part Number]],Lutron_CFlex_Lookup[],MATCH("Lutron Kit PN",Lutron_CFlex_Lookup[#Headers],0),FALSE),"")</f>
        <v/>
      </c>
      <c r="AG623" s="1" t="str">
        <f>_xlfn.IFNA(VLOOKUP(Master_Reference[[#This Row],[C-Flex 3500K Eco Part Number]],Lutron_CFlex_Lookup[],MATCH("Lutron Kit PN",Lutron_CFlex_Lookup[#Headers],0),FALSE),"")</f>
        <v/>
      </c>
      <c r="AH623" s="1" t="str">
        <f>_xlfn.IFNA(VLOOKUP(Master_Reference[[#This Row],[C-Flex 4000K Eco Part Number]],Lutron_CFlex_Lookup[],MATCH("Lutron Kit PN",Lutron_CFlex_Lookup[#Headers],0),FALSE),"")</f>
        <v/>
      </c>
      <c r="AI623" s="1" t="str">
        <f>_xlfn.IFNA(VLOOKUP(Master_Reference[[#This Row],[C-Flex 5000K Eco Part Number]],Lutron_CFlex_Lookup[],MATCH("Lutron Kit PN",Lutron_CFlex_Lookup[#Headers],0),FALSE),"")</f>
        <v/>
      </c>
      <c r="AJ623" s="1" t="str">
        <f>_xlfn.IFNA(VLOOKUP(Master_Reference[[#This Row],[C-Flex 3000K 3W Part Number]],Lutron_CFlex_Lookup[],MATCH("Lutron Kit PN",Lutron_CFlex_Lookup[#Headers],0),FALSE),"")</f>
        <v/>
      </c>
      <c r="AK623" s="1" t="str">
        <f>_xlfn.IFNA(VLOOKUP(Master_Reference[[#This Row],[C-Flex 3500K 3W Part Number]],Lutron_CFlex_Lookup[],MATCH("Lutron Kit PN",Lutron_CFlex_Lookup[#Headers],0),FALSE),"")</f>
        <v/>
      </c>
      <c r="AL623" s="1" t="str">
        <f>_xlfn.IFNA(VLOOKUP(Master_Reference[[#This Row],[C-Flex 4000K 3W Part Number]],Lutron_CFlex_Lookup[],MATCH("Lutron Kit PN",Lutron_CFlex_Lookup[#Headers],0),FALSE),"")</f>
        <v/>
      </c>
      <c r="AM623" s="1" t="str">
        <f>_xlfn.IFNA(VLOOKUP(Master_Reference[[#This Row],[C-Flex 5000K 3W Part Number]],Lutron_CFlex_Lookup[],MATCH("Lutron Kit PN",Lutron_CFlex_Lookup[#Headers],0),FALSE),"")</f>
        <v/>
      </c>
      <c r="AN623" s="1" t="b">
        <f>NOT(ISNA(VLOOKUP(Master_Reference[[#This Row],[Model Number]],ObsoleteModels[],1,FALSE)))</f>
        <v>1</v>
      </c>
      <c r="AO623" s="1" t="str">
        <f>IF(LEFT(Master_Reference[[#This Row],[Model Number]],1)="U",LEFT(Master_Reference[[#This Row],[Model Number]],4),LEFT(Master_Reference[[#This Row],[Model Number]],3))</f>
        <v>FDB</v>
      </c>
    </row>
    <row r="624" spans="1:41" x14ac:dyDescent="0.25">
      <c r="A624" s="2" t="s">
        <v>910</v>
      </c>
      <c r="B624" s="1"/>
      <c r="C624" s="1" t="b">
        <v>1</v>
      </c>
      <c r="G624" s="1" t="str">
        <f>IF(OR(LEFT(RIGHT(Master_Reference[[#This Row],[Model Number]],3),1)="C",LEFT(RIGHT(Master_Reference[[#This Row],[Model Number]],4),1)="C"),TRUE,"")</f>
        <v/>
      </c>
      <c r="H624" s="1" t="str">
        <f>IF(LEFT(Master_Reference[[#This Row],[Model Number]],1)="U",TRUE,"")</f>
        <v/>
      </c>
      <c r="I624" s="1" t="b">
        <f>IF(Master_Reference[[#This Row],[Lamp Type]]="T4","",IF(Master_Reference[[#This Row],[Case Type]]="M","",TRUE))</f>
        <v>1</v>
      </c>
      <c r="J624" s="1" t="s">
        <v>886</v>
      </c>
      <c r="K624" s="1">
        <v>40</v>
      </c>
      <c r="L624" s="1" t="s">
        <v>118</v>
      </c>
      <c r="M624" s="1">
        <v>2</v>
      </c>
      <c r="N624" s="1">
        <v>120</v>
      </c>
      <c r="O624" s="1" t="s">
        <v>144</v>
      </c>
      <c r="R624" t="b">
        <f>IF(COUNTBLANK(Master_Reference[[#This Row],[C-Flex 3000K Eco Part Number]:[C-Flex 4000K Eco Part Number]])=3,FALSE,TRUE)</f>
        <v>0</v>
      </c>
      <c r="S624" t="b">
        <f>IF(COUNTBLANK(Master_Reference[[#This Row],[C-Flex 3000K 3W Part Number]:[C-Flex 4000K 3W Part Number]])=3,FALSE,TRUE)</f>
        <v>0</v>
      </c>
      <c r="T624" s="1" t="b">
        <f>IF(COUNTBLANK(Master_Reference[[#This Row],[Lutron 3000K Eco Part Number]:[Lutron 4000K Eco Part Number]])=3,FALSE,TRUE)</f>
        <v>0</v>
      </c>
      <c r="U624" s="1" t="b">
        <f>IF(COUNTBLANK(Master_Reference[[#This Row],[Lutron 3000K 3W Part Number]:[Lutron 4000K 3W Part Number]])=3,FALSE,TRUE)</f>
        <v>0</v>
      </c>
      <c r="V624" s="13"/>
      <c r="W624" s="13"/>
      <c r="X624" s="12"/>
      <c r="Y624" t="s">
        <v>2125</v>
      </c>
      <c r="Z624" s="12"/>
      <c r="AA624" s="12"/>
      <c r="AB624" s="12"/>
      <c r="AC624" t="s">
        <v>2125</v>
      </c>
      <c r="AD624" t="str">
        <f>SUBSTITUTE(Master_Reference[[#This Row],[C-Flex 4000K Eco Part Number]],"40-","xx-")</f>
        <v/>
      </c>
      <c r="AE624" t="str">
        <f>SUBSTITUTE(Master_Reference[[#This Row],[C-Flex 4000K 3W Part Number]],"40-","xx-")</f>
        <v/>
      </c>
      <c r="AF624" s="1" t="str">
        <f>_xlfn.IFNA(VLOOKUP(Master_Reference[[#This Row],[C-Flex 3000K Eco Part Number]],Lutron_CFlex_Lookup[],MATCH("Lutron Kit PN",Lutron_CFlex_Lookup[#Headers],0),FALSE),"")</f>
        <v/>
      </c>
      <c r="AG624" s="1" t="str">
        <f>_xlfn.IFNA(VLOOKUP(Master_Reference[[#This Row],[C-Flex 3500K Eco Part Number]],Lutron_CFlex_Lookup[],MATCH("Lutron Kit PN",Lutron_CFlex_Lookup[#Headers],0),FALSE),"")</f>
        <v/>
      </c>
      <c r="AH624" s="1" t="str">
        <f>_xlfn.IFNA(VLOOKUP(Master_Reference[[#This Row],[C-Flex 4000K Eco Part Number]],Lutron_CFlex_Lookup[],MATCH("Lutron Kit PN",Lutron_CFlex_Lookup[#Headers],0),FALSE),"")</f>
        <v/>
      </c>
      <c r="AI624" s="1" t="str">
        <f>_xlfn.IFNA(VLOOKUP(Master_Reference[[#This Row],[C-Flex 5000K Eco Part Number]],Lutron_CFlex_Lookup[],MATCH("Lutron Kit PN",Lutron_CFlex_Lookup[#Headers],0),FALSE),"")</f>
        <v/>
      </c>
      <c r="AJ624" s="1" t="str">
        <f>_xlfn.IFNA(VLOOKUP(Master_Reference[[#This Row],[C-Flex 3000K 3W Part Number]],Lutron_CFlex_Lookup[],MATCH("Lutron Kit PN",Lutron_CFlex_Lookup[#Headers],0),FALSE),"")</f>
        <v/>
      </c>
      <c r="AK624" s="1" t="str">
        <f>_xlfn.IFNA(VLOOKUP(Master_Reference[[#This Row],[C-Flex 3500K 3W Part Number]],Lutron_CFlex_Lookup[],MATCH("Lutron Kit PN",Lutron_CFlex_Lookup[#Headers],0),FALSE),"")</f>
        <v/>
      </c>
      <c r="AL624" s="1" t="str">
        <f>_xlfn.IFNA(VLOOKUP(Master_Reference[[#This Row],[C-Flex 4000K 3W Part Number]],Lutron_CFlex_Lookup[],MATCH("Lutron Kit PN",Lutron_CFlex_Lookup[#Headers],0),FALSE),"")</f>
        <v/>
      </c>
      <c r="AM624" s="1" t="str">
        <f>_xlfn.IFNA(VLOOKUP(Master_Reference[[#This Row],[C-Flex 5000K 3W Part Number]],Lutron_CFlex_Lookup[],MATCH("Lutron Kit PN",Lutron_CFlex_Lookup[#Headers],0),FALSE),"")</f>
        <v/>
      </c>
      <c r="AN624" s="1" t="b">
        <f>NOT(ISNA(VLOOKUP(Master_Reference[[#This Row],[Model Number]],ObsoleteModels[],1,FALSE)))</f>
        <v>1</v>
      </c>
      <c r="AO624" s="1" t="str">
        <f>IF(LEFT(Master_Reference[[#This Row],[Model Number]],1)="U",LEFT(Master_Reference[[#This Row],[Model Number]],4),LEFT(Master_Reference[[#This Row],[Model Number]],3))</f>
        <v>FDB</v>
      </c>
    </row>
    <row r="625" spans="1:41" x14ac:dyDescent="0.25">
      <c r="A625" s="2" t="s">
        <v>911</v>
      </c>
      <c r="B625" s="1"/>
      <c r="C625" s="1" t="b">
        <v>1</v>
      </c>
      <c r="G625" s="1" t="str">
        <f>IF(OR(LEFT(RIGHT(Master_Reference[[#This Row],[Model Number]],3),1)="C",LEFT(RIGHT(Master_Reference[[#This Row],[Model Number]],4),1)="C"),TRUE,"")</f>
        <v/>
      </c>
      <c r="H625" s="1" t="str">
        <f>IF(LEFT(Master_Reference[[#This Row],[Model Number]],1)="U",TRUE,"")</f>
        <v/>
      </c>
      <c r="I625" s="1" t="b">
        <f>IF(Master_Reference[[#This Row],[Lamp Type]]="T4","",IF(Master_Reference[[#This Row],[Case Type]]="M","",TRUE))</f>
        <v>1</v>
      </c>
      <c r="J625" s="1" t="s">
        <v>886</v>
      </c>
      <c r="K625" s="1">
        <v>40</v>
      </c>
      <c r="L625" s="1" t="s">
        <v>118</v>
      </c>
      <c r="M625" s="1">
        <v>1</v>
      </c>
      <c r="N625" s="1" t="str">
        <f>LEFT(RIGHT(A625,5),3)</f>
        <v>200</v>
      </c>
      <c r="O625" s="1" t="s">
        <v>144</v>
      </c>
      <c r="Q625" s="1" t="s">
        <v>892</v>
      </c>
      <c r="R625" t="b">
        <f>IF(COUNTBLANK(Master_Reference[[#This Row],[C-Flex 3000K Eco Part Number]:[C-Flex 4000K Eco Part Number]])=3,FALSE,TRUE)</f>
        <v>0</v>
      </c>
      <c r="S625" t="b">
        <f>IF(COUNTBLANK(Master_Reference[[#This Row],[C-Flex 3000K 3W Part Number]:[C-Flex 4000K 3W Part Number]])=3,FALSE,TRUE)</f>
        <v>0</v>
      </c>
      <c r="T625" t="b">
        <f>IF(COUNTBLANK(Master_Reference[[#This Row],[Lutron 3000K Eco Part Number]:[Lutron 4000K Eco Part Number]])=3,FALSE,TRUE)</f>
        <v>0</v>
      </c>
      <c r="U625" t="b">
        <f>IF(COUNTBLANK(Master_Reference[[#This Row],[Lutron 3000K 3W Part Number]:[Lutron 4000K 3W Part Number]])=3,FALSE,TRUE)</f>
        <v>0</v>
      </c>
      <c r="V625" s="12"/>
      <c r="W625" s="12"/>
      <c r="X625" s="12"/>
      <c r="Y625" t="s">
        <v>2125</v>
      </c>
      <c r="Z625" s="12"/>
      <c r="AA625" s="12"/>
      <c r="AB625" s="12"/>
      <c r="AC625" t="s">
        <v>2125</v>
      </c>
      <c r="AD625" t="str">
        <f>SUBSTITUTE(Master_Reference[[#This Row],[C-Flex 4000K Eco Part Number]],"40-","xx-")</f>
        <v/>
      </c>
      <c r="AE625" t="str">
        <f>SUBSTITUTE(Master_Reference[[#This Row],[C-Flex 4000K 3W Part Number]],"40-","xx-")</f>
        <v/>
      </c>
      <c r="AF625" s="1" t="str">
        <f>_xlfn.IFNA(VLOOKUP(Master_Reference[[#This Row],[C-Flex 3000K Eco Part Number]],Lutron_CFlex_Lookup[],MATCH("Lutron Kit PN",Lutron_CFlex_Lookup[#Headers],0),FALSE),"")</f>
        <v/>
      </c>
      <c r="AG625" s="1" t="str">
        <f>_xlfn.IFNA(VLOOKUP(Master_Reference[[#This Row],[C-Flex 3500K Eco Part Number]],Lutron_CFlex_Lookup[],MATCH("Lutron Kit PN",Lutron_CFlex_Lookup[#Headers],0),FALSE),"")</f>
        <v/>
      </c>
      <c r="AH625" s="1" t="str">
        <f>_xlfn.IFNA(VLOOKUP(Master_Reference[[#This Row],[C-Flex 4000K Eco Part Number]],Lutron_CFlex_Lookup[],MATCH("Lutron Kit PN",Lutron_CFlex_Lookup[#Headers],0),FALSE),"")</f>
        <v/>
      </c>
      <c r="AI625" s="1" t="str">
        <f>_xlfn.IFNA(VLOOKUP(Master_Reference[[#This Row],[C-Flex 5000K Eco Part Number]],Lutron_CFlex_Lookup[],MATCH("Lutron Kit PN",Lutron_CFlex_Lookup[#Headers],0),FALSE),"")</f>
        <v/>
      </c>
      <c r="AJ625" s="1" t="str">
        <f>_xlfn.IFNA(VLOOKUP(Master_Reference[[#This Row],[C-Flex 3000K 3W Part Number]],Lutron_CFlex_Lookup[],MATCH("Lutron Kit PN",Lutron_CFlex_Lookup[#Headers],0),FALSE),"")</f>
        <v/>
      </c>
      <c r="AK625" s="1" t="str">
        <f>_xlfn.IFNA(VLOOKUP(Master_Reference[[#This Row],[C-Flex 3500K 3W Part Number]],Lutron_CFlex_Lookup[],MATCH("Lutron Kit PN",Lutron_CFlex_Lookup[#Headers],0),FALSE),"")</f>
        <v/>
      </c>
      <c r="AL625" s="1" t="str">
        <f>_xlfn.IFNA(VLOOKUP(Master_Reference[[#This Row],[C-Flex 4000K 3W Part Number]],Lutron_CFlex_Lookup[],MATCH("Lutron Kit PN",Lutron_CFlex_Lookup[#Headers],0),FALSE),"")</f>
        <v/>
      </c>
      <c r="AM625" s="1" t="str">
        <f>_xlfn.IFNA(VLOOKUP(Master_Reference[[#This Row],[C-Flex 5000K 3W Part Number]],Lutron_CFlex_Lookup[],MATCH("Lutron Kit PN",Lutron_CFlex_Lookup[#Headers],0),FALSE),"")</f>
        <v/>
      </c>
      <c r="AN625" s="1" t="b">
        <f>NOT(ISNA(VLOOKUP(Master_Reference[[#This Row],[Model Number]],ObsoleteModels[],1,FALSE)))</f>
        <v>1</v>
      </c>
      <c r="AO625" s="1" t="str">
        <f>IF(LEFT(Master_Reference[[#This Row],[Model Number]],1)="U",LEFT(Master_Reference[[#This Row],[Model Number]],4),LEFT(Master_Reference[[#This Row],[Model Number]],3))</f>
        <v>FDB</v>
      </c>
    </row>
    <row r="626" spans="1:41" x14ac:dyDescent="0.25">
      <c r="A626" s="2" t="s">
        <v>912</v>
      </c>
      <c r="B626" s="1"/>
      <c r="C626" s="1" t="b">
        <v>1</v>
      </c>
      <c r="G626" s="1" t="str">
        <f>IF(OR(LEFT(RIGHT(Master_Reference[[#This Row],[Model Number]],3),1)="C",LEFT(RIGHT(Master_Reference[[#This Row],[Model Number]],4),1)="C"),TRUE,"")</f>
        <v/>
      </c>
      <c r="H626" s="1" t="str">
        <f>IF(LEFT(Master_Reference[[#This Row],[Model Number]],1)="U",TRUE,"")</f>
        <v/>
      </c>
      <c r="I626" s="1" t="b">
        <f>IF(Master_Reference[[#This Row],[Lamp Type]]="T4","",IF(Master_Reference[[#This Row],[Case Type]]="M","",TRUE))</f>
        <v>1</v>
      </c>
      <c r="J626" s="1" t="s">
        <v>886</v>
      </c>
      <c r="K626" s="1">
        <v>40</v>
      </c>
      <c r="L626" s="1" t="s">
        <v>118</v>
      </c>
      <c r="M626" s="1">
        <v>2</v>
      </c>
      <c r="N626" s="1" t="str">
        <f>LEFT(RIGHT(A626,5),3)</f>
        <v>200</v>
      </c>
      <c r="O626" s="1" t="s">
        <v>144</v>
      </c>
      <c r="Q626" s="1" t="s">
        <v>892</v>
      </c>
      <c r="R626" t="b">
        <f>IF(COUNTBLANK(Master_Reference[[#This Row],[C-Flex 3000K Eco Part Number]:[C-Flex 4000K Eco Part Number]])=3,FALSE,TRUE)</f>
        <v>0</v>
      </c>
      <c r="S626" t="b">
        <f>IF(COUNTBLANK(Master_Reference[[#This Row],[C-Flex 3000K 3W Part Number]:[C-Flex 4000K 3W Part Number]])=3,FALSE,TRUE)</f>
        <v>0</v>
      </c>
      <c r="T626" t="b">
        <f>IF(COUNTBLANK(Master_Reference[[#This Row],[Lutron 3000K Eco Part Number]:[Lutron 4000K Eco Part Number]])=3,FALSE,TRUE)</f>
        <v>0</v>
      </c>
      <c r="U626" t="b">
        <f>IF(COUNTBLANK(Master_Reference[[#This Row],[Lutron 3000K 3W Part Number]:[Lutron 4000K 3W Part Number]])=3,FALSE,TRUE)</f>
        <v>0</v>
      </c>
      <c r="V626" s="12"/>
      <c r="W626" s="12"/>
      <c r="X626" s="12"/>
      <c r="Y626" t="s">
        <v>2125</v>
      </c>
      <c r="Z626" s="12"/>
      <c r="AA626" s="12"/>
      <c r="AB626" s="12"/>
      <c r="AC626" t="s">
        <v>2125</v>
      </c>
      <c r="AD626" t="str">
        <f>SUBSTITUTE(Master_Reference[[#This Row],[C-Flex 4000K Eco Part Number]],"40-","xx-")</f>
        <v/>
      </c>
      <c r="AE626" t="str">
        <f>SUBSTITUTE(Master_Reference[[#This Row],[C-Flex 4000K 3W Part Number]],"40-","xx-")</f>
        <v/>
      </c>
      <c r="AF626" s="1" t="str">
        <f>_xlfn.IFNA(VLOOKUP(Master_Reference[[#This Row],[C-Flex 3000K Eco Part Number]],Lutron_CFlex_Lookup[],MATCH("Lutron Kit PN",Lutron_CFlex_Lookup[#Headers],0),FALSE),"")</f>
        <v/>
      </c>
      <c r="AG626" s="1" t="str">
        <f>_xlfn.IFNA(VLOOKUP(Master_Reference[[#This Row],[C-Flex 3500K Eco Part Number]],Lutron_CFlex_Lookup[],MATCH("Lutron Kit PN",Lutron_CFlex_Lookup[#Headers],0),FALSE),"")</f>
        <v/>
      </c>
      <c r="AH626" s="1" t="str">
        <f>_xlfn.IFNA(VLOOKUP(Master_Reference[[#This Row],[C-Flex 4000K Eco Part Number]],Lutron_CFlex_Lookup[],MATCH("Lutron Kit PN",Lutron_CFlex_Lookup[#Headers],0),FALSE),"")</f>
        <v/>
      </c>
      <c r="AI626" s="1" t="str">
        <f>_xlfn.IFNA(VLOOKUP(Master_Reference[[#This Row],[C-Flex 5000K Eco Part Number]],Lutron_CFlex_Lookup[],MATCH("Lutron Kit PN",Lutron_CFlex_Lookup[#Headers],0),FALSE),"")</f>
        <v/>
      </c>
      <c r="AJ626" s="1" t="str">
        <f>_xlfn.IFNA(VLOOKUP(Master_Reference[[#This Row],[C-Flex 3000K 3W Part Number]],Lutron_CFlex_Lookup[],MATCH("Lutron Kit PN",Lutron_CFlex_Lookup[#Headers],0),FALSE),"")</f>
        <v/>
      </c>
      <c r="AK626" s="1" t="str">
        <f>_xlfn.IFNA(VLOOKUP(Master_Reference[[#This Row],[C-Flex 3500K 3W Part Number]],Lutron_CFlex_Lookup[],MATCH("Lutron Kit PN",Lutron_CFlex_Lookup[#Headers],0),FALSE),"")</f>
        <v/>
      </c>
      <c r="AL626" s="1" t="str">
        <f>_xlfn.IFNA(VLOOKUP(Master_Reference[[#This Row],[C-Flex 4000K 3W Part Number]],Lutron_CFlex_Lookup[],MATCH("Lutron Kit PN",Lutron_CFlex_Lookup[#Headers],0),FALSE),"")</f>
        <v/>
      </c>
      <c r="AM626" s="1" t="str">
        <f>_xlfn.IFNA(VLOOKUP(Master_Reference[[#This Row],[C-Flex 5000K 3W Part Number]],Lutron_CFlex_Lookup[],MATCH("Lutron Kit PN",Lutron_CFlex_Lookup[#Headers],0),FALSE),"")</f>
        <v/>
      </c>
      <c r="AN626" s="1" t="b">
        <f>NOT(ISNA(VLOOKUP(Master_Reference[[#This Row],[Model Number]],ObsoleteModels[],1,FALSE)))</f>
        <v>1</v>
      </c>
      <c r="AO626" s="1" t="str">
        <f>IF(LEFT(Master_Reference[[#This Row],[Model Number]],1)="U",LEFT(Master_Reference[[#This Row],[Model Number]],4),LEFT(Master_Reference[[#This Row],[Model Number]],3))</f>
        <v>FDB</v>
      </c>
    </row>
    <row r="627" spans="1:41" x14ac:dyDescent="0.25">
      <c r="A627" s="2" t="s">
        <v>913</v>
      </c>
      <c r="B627" s="1"/>
      <c r="C627" s="1" t="b">
        <v>1</v>
      </c>
      <c r="G627" s="1" t="str">
        <f>IF(OR(LEFT(RIGHT(Master_Reference[[#This Row],[Model Number]],3),1)="C",LEFT(RIGHT(Master_Reference[[#This Row],[Model Number]],4),1)="C"),TRUE,"")</f>
        <v/>
      </c>
      <c r="H627" s="1" t="str">
        <f>IF(LEFT(Master_Reference[[#This Row],[Model Number]],1)="U",TRUE,"")</f>
        <v/>
      </c>
      <c r="I627" s="1" t="b">
        <f>IF(Master_Reference[[#This Row],[Lamp Type]]="T4","",IF(Master_Reference[[#This Row],[Case Type]]="M","",TRUE))</f>
        <v>1</v>
      </c>
      <c r="J627" s="1" t="s">
        <v>886</v>
      </c>
      <c r="K627" s="1">
        <v>40</v>
      </c>
      <c r="L627" s="1" t="s">
        <v>118</v>
      </c>
      <c r="M627" s="1">
        <v>1</v>
      </c>
      <c r="N627" s="1">
        <v>277</v>
      </c>
      <c r="O627" s="1" t="s">
        <v>144</v>
      </c>
      <c r="R627" t="b">
        <f>IF(COUNTBLANK(Master_Reference[[#This Row],[C-Flex 3000K Eco Part Number]:[C-Flex 4000K Eco Part Number]])=3,FALSE,TRUE)</f>
        <v>0</v>
      </c>
      <c r="S627" t="b">
        <f>IF(COUNTBLANK(Master_Reference[[#This Row],[C-Flex 3000K 3W Part Number]:[C-Flex 4000K 3W Part Number]])=3,FALSE,TRUE)</f>
        <v>0</v>
      </c>
      <c r="T627" s="1" t="b">
        <f>IF(COUNTBLANK(Master_Reference[[#This Row],[Lutron 3000K Eco Part Number]:[Lutron 4000K Eco Part Number]])=3,FALSE,TRUE)</f>
        <v>0</v>
      </c>
      <c r="U627" s="1" t="b">
        <f>IF(COUNTBLANK(Master_Reference[[#This Row],[Lutron 3000K 3W Part Number]:[Lutron 4000K 3W Part Number]])=3,FALSE,TRUE)</f>
        <v>0</v>
      </c>
      <c r="V627" s="13"/>
      <c r="W627" s="13"/>
      <c r="X627" s="12"/>
      <c r="Y627" t="s">
        <v>2125</v>
      </c>
      <c r="Z627" s="12"/>
      <c r="AA627" s="12"/>
      <c r="AB627" s="12"/>
      <c r="AC627" t="s">
        <v>2125</v>
      </c>
      <c r="AD627" t="str">
        <f>SUBSTITUTE(Master_Reference[[#This Row],[C-Flex 4000K Eco Part Number]],"40-","xx-")</f>
        <v/>
      </c>
      <c r="AE627" t="str">
        <f>SUBSTITUTE(Master_Reference[[#This Row],[C-Flex 4000K 3W Part Number]],"40-","xx-")</f>
        <v/>
      </c>
      <c r="AF627" s="1" t="str">
        <f>_xlfn.IFNA(VLOOKUP(Master_Reference[[#This Row],[C-Flex 3000K Eco Part Number]],Lutron_CFlex_Lookup[],MATCH("Lutron Kit PN",Lutron_CFlex_Lookup[#Headers],0),FALSE),"")</f>
        <v/>
      </c>
      <c r="AG627" s="1" t="str">
        <f>_xlfn.IFNA(VLOOKUP(Master_Reference[[#This Row],[C-Flex 3500K Eco Part Number]],Lutron_CFlex_Lookup[],MATCH("Lutron Kit PN",Lutron_CFlex_Lookup[#Headers],0),FALSE),"")</f>
        <v/>
      </c>
      <c r="AH627" s="1" t="str">
        <f>_xlfn.IFNA(VLOOKUP(Master_Reference[[#This Row],[C-Flex 4000K Eco Part Number]],Lutron_CFlex_Lookup[],MATCH("Lutron Kit PN",Lutron_CFlex_Lookup[#Headers],0),FALSE),"")</f>
        <v/>
      </c>
      <c r="AI627" s="1" t="str">
        <f>_xlfn.IFNA(VLOOKUP(Master_Reference[[#This Row],[C-Flex 5000K Eco Part Number]],Lutron_CFlex_Lookup[],MATCH("Lutron Kit PN",Lutron_CFlex_Lookup[#Headers],0),FALSE),"")</f>
        <v/>
      </c>
      <c r="AJ627" s="1" t="str">
        <f>_xlfn.IFNA(VLOOKUP(Master_Reference[[#This Row],[C-Flex 3000K 3W Part Number]],Lutron_CFlex_Lookup[],MATCH("Lutron Kit PN",Lutron_CFlex_Lookup[#Headers],0),FALSE),"")</f>
        <v/>
      </c>
      <c r="AK627" s="1" t="str">
        <f>_xlfn.IFNA(VLOOKUP(Master_Reference[[#This Row],[C-Flex 3500K 3W Part Number]],Lutron_CFlex_Lookup[],MATCH("Lutron Kit PN",Lutron_CFlex_Lookup[#Headers],0),FALSE),"")</f>
        <v/>
      </c>
      <c r="AL627" s="1" t="str">
        <f>_xlfn.IFNA(VLOOKUP(Master_Reference[[#This Row],[C-Flex 4000K 3W Part Number]],Lutron_CFlex_Lookup[],MATCH("Lutron Kit PN",Lutron_CFlex_Lookup[#Headers],0),FALSE),"")</f>
        <v/>
      </c>
      <c r="AM627" s="1" t="str">
        <f>_xlfn.IFNA(VLOOKUP(Master_Reference[[#This Row],[C-Flex 5000K 3W Part Number]],Lutron_CFlex_Lookup[],MATCH("Lutron Kit PN",Lutron_CFlex_Lookup[#Headers],0),FALSE),"")</f>
        <v/>
      </c>
      <c r="AN627" s="1" t="b">
        <f>NOT(ISNA(VLOOKUP(Master_Reference[[#This Row],[Model Number]],ObsoleteModels[],1,FALSE)))</f>
        <v>1</v>
      </c>
      <c r="AO627" s="1" t="str">
        <f>IF(LEFT(Master_Reference[[#This Row],[Model Number]],1)="U",LEFT(Master_Reference[[#This Row],[Model Number]],4),LEFT(Master_Reference[[#This Row],[Model Number]],3))</f>
        <v>FDB</v>
      </c>
    </row>
    <row r="628" spans="1:41" x14ac:dyDescent="0.25">
      <c r="A628" s="2" t="s">
        <v>914</v>
      </c>
      <c r="B628" s="1"/>
      <c r="C628" s="1" t="b">
        <v>1</v>
      </c>
      <c r="G628" s="1" t="str">
        <f>IF(OR(LEFT(RIGHT(Master_Reference[[#This Row],[Model Number]],3),1)="C",LEFT(RIGHT(Master_Reference[[#This Row],[Model Number]],4),1)="C"),TRUE,"")</f>
        <v/>
      </c>
      <c r="H628" s="1" t="str">
        <f>IF(LEFT(Master_Reference[[#This Row],[Model Number]],1)="U",TRUE,"")</f>
        <v/>
      </c>
      <c r="I628" s="1" t="b">
        <f>IF(Master_Reference[[#This Row],[Lamp Type]]="T4","",IF(Master_Reference[[#This Row],[Case Type]]="M","",TRUE))</f>
        <v>1</v>
      </c>
      <c r="J628" s="1" t="s">
        <v>886</v>
      </c>
      <c r="K628" s="1">
        <v>40</v>
      </c>
      <c r="L628" s="1" t="s">
        <v>118</v>
      </c>
      <c r="M628" s="1">
        <v>2</v>
      </c>
      <c r="N628" s="1">
        <v>277</v>
      </c>
      <c r="O628" s="1" t="s">
        <v>144</v>
      </c>
      <c r="R628" t="b">
        <f>IF(COUNTBLANK(Master_Reference[[#This Row],[C-Flex 3000K Eco Part Number]:[C-Flex 4000K Eco Part Number]])=3,FALSE,TRUE)</f>
        <v>0</v>
      </c>
      <c r="S628" t="b">
        <f>IF(COUNTBLANK(Master_Reference[[#This Row],[C-Flex 3000K 3W Part Number]:[C-Flex 4000K 3W Part Number]])=3,FALSE,TRUE)</f>
        <v>0</v>
      </c>
      <c r="T628" s="1" t="b">
        <f>IF(COUNTBLANK(Master_Reference[[#This Row],[Lutron 3000K Eco Part Number]:[Lutron 4000K Eco Part Number]])=3,FALSE,TRUE)</f>
        <v>0</v>
      </c>
      <c r="U628" s="1" t="b">
        <f>IF(COUNTBLANK(Master_Reference[[#This Row],[Lutron 3000K 3W Part Number]:[Lutron 4000K 3W Part Number]])=3,FALSE,TRUE)</f>
        <v>0</v>
      </c>
      <c r="V628" s="13"/>
      <c r="W628" s="13"/>
      <c r="X628" s="12"/>
      <c r="Y628" t="s">
        <v>2125</v>
      </c>
      <c r="Z628" s="12"/>
      <c r="AA628" s="12"/>
      <c r="AB628" s="12"/>
      <c r="AC628" t="s">
        <v>2125</v>
      </c>
      <c r="AD628" t="str">
        <f>SUBSTITUTE(Master_Reference[[#This Row],[C-Flex 4000K Eco Part Number]],"40-","xx-")</f>
        <v/>
      </c>
      <c r="AE628" t="str">
        <f>SUBSTITUTE(Master_Reference[[#This Row],[C-Flex 4000K 3W Part Number]],"40-","xx-")</f>
        <v/>
      </c>
      <c r="AF628" s="1" t="str">
        <f>_xlfn.IFNA(VLOOKUP(Master_Reference[[#This Row],[C-Flex 3000K Eco Part Number]],Lutron_CFlex_Lookup[],MATCH("Lutron Kit PN",Lutron_CFlex_Lookup[#Headers],0),FALSE),"")</f>
        <v/>
      </c>
      <c r="AG628" s="1" t="str">
        <f>_xlfn.IFNA(VLOOKUP(Master_Reference[[#This Row],[C-Flex 3500K Eco Part Number]],Lutron_CFlex_Lookup[],MATCH("Lutron Kit PN",Lutron_CFlex_Lookup[#Headers],0),FALSE),"")</f>
        <v/>
      </c>
      <c r="AH628" s="1" t="str">
        <f>_xlfn.IFNA(VLOOKUP(Master_Reference[[#This Row],[C-Flex 4000K Eco Part Number]],Lutron_CFlex_Lookup[],MATCH("Lutron Kit PN",Lutron_CFlex_Lookup[#Headers],0),FALSE),"")</f>
        <v/>
      </c>
      <c r="AI628" s="1" t="str">
        <f>_xlfn.IFNA(VLOOKUP(Master_Reference[[#This Row],[C-Flex 5000K Eco Part Number]],Lutron_CFlex_Lookup[],MATCH("Lutron Kit PN",Lutron_CFlex_Lookup[#Headers],0),FALSE),"")</f>
        <v/>
      </c>
      <c r="AJ628" s="1" t="str">
        <f>_xlfn.IFNA(VLOOKUP(Master_Reference[[#This Row],[C-Flex 3000K 3W Part Number]],Lutron_CFlex_Lookup[],MATCH("Lutron Kit PN",Lutron_CFlex_Lookup[#Headers],0),FALSE),"")</f>
        <v/>
      </c>
      <c r="AK628" s="1" t="str">
        <f>_xlfn.IFNA(VLOOKUP(Master_Reference[[#This Row],[C-Flex 3500K 3W Part Number]],Lutron_CFlex_Lookup[],MATCH("Lutron Kit PN",Lutron_CFlex_Lookup[#Headers],0),FALSE),"")</f>
        <v/>
      </c>
      <c r="AL628" s="1" t="str">
        <f>_xlfn.IFNA(VLOOKUP(Master_Reference[[#This Row],[C-Flex 4000K 3W Part Number]],Lutron_CFlex_Lookup[],MATCH("Lutron Kit PN",Lutron_CFlex_Lookup[#Headers],0),FALSE),"")</f>
        <v/>
      </c>
      <c r="AM628" s="1" t="str">
        <f>_xlfn.IFNA(VLOOKUP(Master_Reference[[#This Row],[C-Flex 5000K 3W Part Number]],Lutron_CFlex_Lookup[],MATCH("Lutron Kit PN",Lutron_CFlex_Lookup[#Headers],0),FALSE),"")</f>
        <v/>
      </c>
      <c r="AN628" s="1" t="b">
        <f>NOT(ISNA(VLOOKUP(Master_Reference[[#This Row],[Model Number]],ObsoleteModels[],1,FALSE)))</f>
        <v>1</v>
      </c>
      <c r="AO628" s="1" t="str">
        <f>IF(LEFT(Master_Reference[[#This Row],[Model Number]],1)="U",LEFT(Master_Reference[[#This Row],[Model Number]],4),LEFT(Master_Reference[[#This Row],[Model Number]],3))</f>
        <v>FDB</v>
      </c>
    </row>
    <row r="629" spans="1:41" x14ac:dyDescent="0.25">
      <c r="A629" s="2" t="s">
        <v>915</v>
      </c>
      <c r="B629" s="1"/>
      <c r="C629" s="1" t="b">
        <v>1</v>
      </c>
      <c r="G629" s="1" t="str">
        <f>IF(OR(LEFT(RIGHT(Master_Reference[[#This Row],[Model Number]],3),1)="C",LEFT(RIGHT(Master_Reference[[#This Row],[Model Number]],4),1)="C"),TRUE,"")</f>
        <v/>
      </c>
      <c r="H629" s="1" t="str">
        <f>IF(LEFT(Master_Reference[[#This Row],[Model Number]],1)="U",TRUE,"")</f>
        <v/>
      </c>
      <c r="I629" s="1" t="b">
        <f>IF(Master_Reference[[#This Row],[Lamp Type]]="T4","",IF(Master_Reference[[#This Row],[Case Type]]="M","",TRUE))</f>
        <v>1</v>
      </c>
      <c r="J629" s="1" t="s">
        <v>886</v>
      </c>
      <c r="K629" s="1">
        <v>40</v>
      </c>
      <c r="L629" s="1" t="s">
        <v>118</v>
      </c>
      <c r="M629" s="1">
        <v>1</v>
      </c>
      <c r="N629" s="1">
        <v>120</v>
      </c>
      <c r="O629" s="1" t="s">
        <v>144</v>
      </c>
      <c r="R629" t="b">
        <f>IF(COUNTBLANK(Master_Reference[[#This Row],[C-Flex 3000K Eco Part Number]:[C-Flex 4000K Eco Part Number]])=3,FALSE,TRUE)</f>
        <v>0</v>
      </c>
      <c r="S629" t="b">
        <f>IF(COUNTBLANK(Master_Reference[[#This Row],[C-Flex 3000K 3W Part Number]:[C-Flex 4000K 3W Part Number]])=3,FALSE,TRUE)</f>
        <v>0</v>
      </c>
      <c r="T629" s="1" t="b">
        <f>IF(COUNTBLANK(Master_Reference[[#This Row],[Lutron 3000K Eco Part Number]:[Lutron 4000K Eco Part Number]])=3,FALSE,TRUE)</f>
        <v>0</v>
      </c>
      <c r="U629" s="1" t="b">
        <f>IF(COUNTBLANK(Master_Reference[[#This Row],[Lutron 3000K 3W Part Number]:[Lutron 4000K 3W Part Number]])=3,FALSE,TRUE)</f>
        <v>0</v>
      </c>
      <c r="V629" s="13"/>
      <c r="W629" s="13"/>
      <c r="X629" s="12"/>
      <c r="Y629" t="s">
        <v>2125</v>
      </c>
      <c r="Z629" s="12"/>
      <c r="AA629" s="12"/>
      <c r="AB629" s="12"/>
      <c r="AC629" t="s">
        <v>2125</v>
      </c>
      <c r="AD629" t="str">
        <f>SUBSTITUTE(Master_Reference[[#This Row],[C-Flex 4000K Eco Part Number]],"40-","xx-")</f>
        <v/>
      </c>
      <c r="AE629" t="str">
        <f>SUBSTITUTE(Master_Reference[[#This Row],[C-Flex 4000K 3W Part Number]],"40-","xx-")</f>
        <v/>
      </c>
      <c r="AF629" s="1" t="str">
        <f>_xlfn.IFNA(VLOOKUP(Master_Reference[[#This Row],[C-Flex 3000K Eco Part Number]],Lutron_CFlex_Lookup[],MATCH("Lutron Kit PN",Lutron_CFlex_Lookup[#Headers],0),FALSE),"")</f>
        <v/>
      </c>
      <c r="AG629" s="1" t="str">
        <f>_xlfn.IFNA(VLOOKUP(Master_Reference[[#This Row],[C-Flex 3500K Eco Part Number]],Lutron_CFlex_Lookup[],MATCH("Lutron Kit PN",Lutron_CFlex_Lookup[#Headers],0),FALSE),"")</f>
        <v/>
      </c>
      <c r="AH629" s="1" t="str">
        <f>_xlfn.IFNA(VLOOKUP(Master_Reference[[#This Row],[C-Flex 4000K Eco Part Number]],Lutron_CFlex_Lookup[],MATCH("Lutron Kit PN",Lutron_CFlex_Lookup[#Headers],0),FALSE),"")</f>
        <v/>
      </c>
      <c r="AI629" s="1" t="str">
        <f>_xlfn.IFNA(VLOOKUP(Master_Reference[[#This Row],[C-Flex 5000K Eco Part Number]],Lutron_CFlex_Lookup[],MATCH("Lutron Kit PN",Lutron_CFlex_Lookup[#Headers],0),FALSE),"")</f>
        <v/>
      </c>
      <c r="AJ629" s="1" t="str">
        <f>_xlfn.IFNA(VLOOKUP(Master_Reference[[#This Row],[C-Flex 3000K 3W Part Number]],Lutron_CFlex_Lookup[],MATCH("Lutron Kit PN",Lutron_CFlex_Lookup[#Headers],0),FALSE),"")</f>
        <v/>
      </c>
      <c r="AK629" s="1" t="str">
        <f>_xlfn.IFNA(VLOOKUP(Master_Reference[[#This Row],[C-Flex 3500K 3W Part Number]],Lutron_CFlex_Lookup[],MATCH("Lutron Kit PN",Lutron_CFlex_Lookup[#Headers],0),FALSE),"")</f>
        <v/>
      </c>
      <c r="AL629" s="1" t="str">
        <f>_xlfn.IFNA(VLOOKUP(Master_Reference[[#This Row],[C-Flex 4000K 3W Part Number]],Lutron_CFlex_Lookup[],MATCH("Lutron Kit PN",Lutron_CFlex_Lookup[#Headers],0),FALSE),"")</f>
        <v/>
      </c>
      <c r="AM629" s="1" t="str">
        <f>_xlfn.IFNA(VLOOKUP(Master_Reference[[#This Row],[C-Flex 5000K 3W Part Number]],Lutron_CFlex_Lookup[],MATCH("Lutron Kit PN",Lutron_CFlex_Lookup[#Headers],0),FALSE),"")</f>
        <v/>
      </c>
      <c r="AN629" s="1" t="b">
        <f>NOT(ISNA(VLOOKUP(Master_Reference[[#This Row],[Model Number]],ObsoleteModels[],1,FALSE)))</f>
        <v>1</v>
      </c>
      <c r="AO629" s="1" t="str">
        <f>IF(LEFT(Master_Reference[[#This Row],[Model Number]],1)="U",LEFT(Master_Reference[[#This Row],[Model Number]],4),LEFT(Master_Reference[[#This Row],[Model Number]],3))</f>
        <v>FDB</v>
      </c>
    </row>
    <row r="630" spans="1:41" x14ac:dyDescent="0.25">
      <c r="A630" s="2" t="s">
        <v>916</v>
      </c>
      <c r="B630" s="1"/>
      <c r="C630" s="1" t="b">
        <v>1</v>
      </c>
      <c r="G630" s="1" t="str">
        <f>IF(OR(LEFT(RIGHT(Master_Reference[[#This Row],[Model Number]],3),1)="C",LEFT(RIGHT(Master_Reference[[#This Row],[Model Number]],4),1)="C"),TRUE,"")</f>
        <v/>
      </c>
      <c r="H630" s="1" t="str">
        <f>IF(LEFT(Master_Reference[[#This Row],[Model Number]],1)="U",TRUE,"")</f>
        <v/>
      </c>
      <c r="I630" s="1" t="b">
        <f>IF(Master_Reference[[#This Row],[Lamp Type]]="T4","",IF(Master_Reference[[#This Row],[Case Type]]="M","",TRUE))</f>
        <v>1</v>
      </c>
      <c r="J630" s="1" t="s">
        <v>111</v>
      </c>
      <c r="K630" s="1">
        <v>40</v>
      </c>
      <c r="L630" s="1" t="s">
        <v>220</v>
      </c>
      <c r="M630" s="1">
        <v>1</v>
      </c>
      <c r="N630" s="1" t="str">
        <f>LEFT(RIGHT(A630,5),3)</f>
        <v>120</v>
      </c>
      <c r="O630" s="1" t="s">
        <v>144</v>
      </c>
      <c r="R630" t="b">
        <f>IF(COUNTBLANK(Master_Reference[[#This Row],[C-Flex 3000K Eco Part Number]:[C-Flex 4000K Eco Part Number]])=3,FALSE,TRUE)</f>
        <v>0</v>
      </c>
      <c r="S630" t="b">
        <f>IF(COUNTBLANK(Master_Reference[[#This Row],[C-Flex 3000K 3W Part Number]:[C-Flex 4000K 3W Part Number]])=3,FALSE,TRUE)</f>
        <v>0</v>
      </c>
      <c r="T630" t="b">
        <f>IF(COUNTBLANK(Master_Reference[[#This Row],[Lutron 3000K Eco Part Number]:[Lutron 4000K Eco Part Number]])=3,FALSE,TRUE)</f>
        <v>0</v>
      </c>
      <c r="U630" t="b">
        <f>IF(COUNTBLANK(Master_Reference[[#This Row],[Lutron 3000K 3W Part Number]:[Lutron 4000K 3W Part Number]])=3,FALSE,TRUE)</f>
        <v>0</v>
      </c>
      <c r="V630" s="12"/>
      <c r="W630" s="12"/>
      <c r="X630" s="12"/>
      <c r="Y630" t="s">
        <v>2125</v>
      </c>
      <c r="Z630" s="12"/>
      <c r="AA630" s="12"/>
      <c r="AB630" s="12"/>
      <c r="AC630" t="s">
        <v>2125</v>
      </c>
      <c r="AD630" t="str">
        <f>SUBSTITUTE(Master_Reference[[#This Row],[C-Flex 4000K Eco Part Number]],"40-","xx-")</f>
        <v/>
      </c>
      <c r="AE630" t="str">
        <f>SUBSTITUTE(Master_Reference[[#This Row],[C-Flex 4000K 3W Part Number]],"40-","xx-")</f>
        <v/>
      </c>
      <c r="AF630" s="1" t="str">
        <f>_xlfn.IFNA(VLOOKUP(Master_Reference[[#This Row],[C-Flex 3000K Eco Part Number]],Lutron_CFlex_Lookup[],MATCH("Lutron Kit PN",Lutron_CFlex_Lookup[#Headers],0),FALSE),"")</f>
        <v/>
      </c>
      <c r="AG630" s="1" t="str">
        <f>_xlfn.IFNA(VLOOKUP(Master_Reference[[#This Row],[C-Flex 3500K Eco Part Number]],Lutron_CFlex_Lookup[],MATCH("Lutron Kit PN",Lutron_CFlex_Lookup[#Headers],0),FALSE),"")</f>
        <v/>
      </c>
      <c r="AH630" s="1" t="str">
        <f>_xlfn.IFNA(VLOOKUP(Master_Reference[[#This Row],[C-Flex 4000K Eco Part Number]],Lutron_CFlex_Lookup[],MATCH("Lutron Kit PN",Lutron_CFlex_Lookup[#Headers],0),FALSE),"")</f>
        <v/>
      </c>
      <c r="AI630" s="1" t="str">
        <f>_xlfn.IFNA(VLOOKUP(Master_Reference[[#This Row],[C-Flex 5000K Eco Part Number]],Lutron_CFlex_Lookup[],MATCH("Lutron Kit PN",Lutron_CFlex_Lookup[#Headers],0),FALSE),"")</f>
        <v/>
      </c>
      <c r="AJ630" s="1" t="str">
        <f>_xlfn.IFNA(VLOOKUP(Master_Reference[[#This Row],[C-Flex 3000K 3W Part Number]],Lutron_CFlex_Lookup[],MATCH("Lutron Kit PN",Lutron_CFlex_Lookup[#Headers],0),FALSE),"")</f>
        <v/>
      </c>
      <c r="AK630" s="1" t="str">
        <f>_xlfn.IFNA(VLOOKUP(Master_Reference[[#This Row],[C-Flex 3500K 3W Part Number]],Lutron_CFlex_Lookup[],MATCH("Lutron Kit PN",Lutron_CFlex_Lookup[#Headers],0),FALSE),"")</f>
        <v/>
      </c>
      <c r="AL630" s="1" t="str">
        <f>_xlfn.IFNA(VLOOKUP(Master_Reference[[#This Row],[C-Flex 4000K 3W Part Number]],Lutron_CFlex_Lookup[],MATCH("Lutron Kit PN",Lutron_CFlex_Lookup[#Headers],0),FALSE),"")</f>
        <v/>
      </c>
      <c r="AM630" s="1" t="str">
        <f>_xlfn.IFNA(VLOOKUP(Master_Reference[[#This Row],[C-Flex 5000K 3W Part Number]],Lutron_CFlex_Lookup[],MATCH("Lutron Kit PN",Lutron_CFlex_Lookup[#Headers],0),FALSE),"")</f>
        <v/>
      </c>
      <c r="AN630" s="1" t="b">
        <f>NOT(ISNA(VLOOKUP(Master_Reference[[#This Row],[Model Number]],ObsoleteModels[],1,FALSE)))</f>
        <v>1</v>
      </c>
      <c r="AO630" s="1" t="str">
        <f>IF(LEFT(Master_Reference[[#This Row],[Model Number]],1)="U",LEFT(Master_Reference[[#This Row],[Model Number]],4),LEFT(Master_Reference[[#This Row],[Model Number]],3))</f>
        <v>FDB</v>
      </c>
    </row>
    <row r="631" spans="1:41" x14ac:dyDescent="0.25">
      <c r="A631" s="2" t="s">
        <v>917</v>
      </c>
      <c r="B631" s="1"/>
      <c r="C631" s="1" t="b">
        <v>1</v>
      </c>
      <c r="G631" s="1" t="str">
        <f>IF(OR(LEFT(RIGHT(Master_Reference[[#This Row],[Model Number]],3),1)="C",LEFT(RIGHT(Master_Reference[[#This Row],[Model Number]],4),1)="C"),TRUE,"")</f>
        <v/>
      </c>
      <c r="H631" s="1" t="str">
        <f>IF(LEFT(Master_Reference[[#This Row],[Model Number]],1)="U",TRUE,"")</f>
        <v/>
      </c>
      <c r="I631" s="1" t="b">
        <f>IF(Master_Reference[[#This Row],[Lamp Type]]="T4","",IF(Master_Reference[[#This Row],[Case Type]]="M","",TRUE))</f>
        <v>1</v>
      </c>
      <c r="J631" s="1" t="s">
        <v>111</v>
      </c>
      <c r="K631" s="1">
        <v>40</v>
      </c>
      <c r="L631" s="1" t="s">
        <v>220</v>
      </c>
      <c r="M631" s="1">
        <v>2</v>
      </c>
      <c r="N631" s="1" t="str">
        <f>LEFT(RIGHT(A631,5),3)</f>
        <v>120</v>
      </c>
      <c r="O631" s="1" t="s">
        <v>144</v>
      </c>
      <c r="R631" t="b">
        <f>IF(COUNTBLANK(Master_Reference[[#This Row],[C-Flex 3000K Eco Part Number]:[C-Flex 4000K Eco Part Number]])=3,FALSE,TRUE)</f>
        <v>0</v>
      </c>
      <c r="S631" t="b">
        <f>IF(COUNTBLANK(Master_Reference[[#This Row],[C-Flex 3000K 3W Part Number]:[C-Flex 4000K 3W Part Number]])=3,FALSE,TRUE)</f>
        <v>0</v>
      </c>
      <c r="T631" t="b">
        <f>IF(COUNTBLANK(Master_Reference[[#This Row],[Lutron 3000K Eco Part Number]:[Lutron 4000K Eco Part Number]])=3,FALSE,TRUE)</f>
        <v>0</v>
      </c>
      <c r="U631" t="b">
        <f>IF(COUNTBLANK(Master_Reference[[#This Row],[Lutron 3000K 3W Part Number]:[Lutron 4000K 3W Part Number]])=3,FALSE,TRUE)</f>
        <v>0</v>
      </c>
      <c r="V631" s="12"/>
      <c r="W631" s="12"/>
      <c r="X631" s="12"/>
      <c r="Y631" t="s">
        <v>2125</v>
      </c>
      <c r="Z631" s="12"/>
      <c r="AA631" s="12"/>
      <c r="AB631" s="12"/>
      <c r="AC631" t="s">
        <v>2125</v>
      </c>
      <c r="AD631" t="str">
        <f>SUBSTITUTE(Master_Reference[[#This Row],[C-Flex 4000K Eco Part Number]],"40-","xx-")</f>
        <v/>
      </c>
      <c r="AE631" t="str">
        <f>SUBSTITUTE(Master_Reference[[#This Row],[C-Flex 4000K 3W Part Number]],"40-","xx-")</f>
        <v/>
      </c>
      <c r="AF631" s="1" t="str">
        <f>_xlfn.IFNA(VLOOKUP(Master_Reference[[#This Row],[C-Flex 3000K Eco Part Number]],Lutron_CFlex_Lookup[],MATCH("Lutron Kit PN",Lutron_CFlex_Lookup[#Headers],0),FALSE),"")</f>
        <v/>
      </c>
      <c r="AG631" s="1" t="str">
        <f>_xlfn.IFNA(VLOOKUP(Master_Reference[[#This Row],[C-Flex 3500K Eco Part Number]],Lutron_CFlex_Lookup[],MATCH("Lutron Kit PN",Lutron_CFlex_Lookup[#Headers],0),FALSE),"")</f>
        <v/>
      </c>
      <c r="AH631" s="1" t="str">
        <f>_xlfn.IFNA(VLOOKUP(Master_Reference[[#This Row],[C-Flex 4000K Eco Part Number]],Lutron_CFlex_Lookup[],MATCH("Lutron Kit PN",Lutron_CFlex_Lookup[#Headers],0),FALSE),"")</f>
        <v/>
      </c>
      <c r="AI631" s="1" t="str">
        <f>_xlfn.IFNA(VLOOKUP(Master_Reference[[#This Row],[C-Flex 5000K Eco Part Number]],Lutron_CFlex_Lookup[],MATCH("Lutron Kit PN",Lutron_CFlex_Lookup[#Headers],0),FALSE),"")</f>
        <v/>
      </c>
      <c r="AJ631" s="1" t="str">
        <f>_xlfn.IFNA(VLOOKUP(Master_Reference[[#This Row],[C-Flex 3000K 3W Part Number]],Lutron_CFlex_Lookup[],MATCH("Lutron Kit PN",Lutron_CFlex_Lookup[#Headers],0),FALSE),"")</f>
        <v/>
      </c>
      <c r="AK631" s="1" t="str">
        <f>_xlfn.IFNA(VLOOKUP(Master_Reference[[#This Row],[C-Flex 3500K 3W Part Number]],Lutron_CFlex_Lookup[],MATCH("Lutron Kit PN",Lutron_CFlex_Lookup[#Headers],0),FALSE),"")</f>
        <v/>
      </c>
      <c r="AL631" s="1" t="str">
        <f>_xlfn.IFNA(VLOOKUP(Master_Reference[[#This Row],[C-Flex 4000K 3W Part Number]],Lutron_CFlex_Lookup[],MATCH("Lutron Kit PN",Lutron_CFlex_Lookup[#Headers],0),FALSE),"")</f>
        <v/>
      </c>
      <c r="AM631" s="1" t="str">
        <f>_xlfn.IFNA(VLOOKUP(Master_Reference[[#This Row],[C-Flex 5000K 3W Part Number]],Lutron_CFlex_Lookup[],MATCH("Lutron Kit PN",Lutron_CFlex_Lookup[#Headers],0),FALSE),"")</f>
        <v/>
      </c>
      <c r="AN631" s="1" t="b">
        <f>NOT(ISNA(VLOOKUP(Master_Reference[[#This Row],[Model Number]],ObsoleteModels[],1,FALSE)))</f>
        <v>1</v>
      </c>
      <c r="AO631" s="1" t="str">
        <f>IF(LEFT(Master_Reference[[#This Row],[Model Number]],1)="U",LEFT(Master_Reference[[#This Row],[Model Number]],4),LEFT(Master_Reference[[#This Row],[Model Number]],3))</f>
        <v>FDB</v>
      </c>
    </row>
    <row r="632" spans="1:41" x14ac:dyDescent="0.25">
      <c r="A632" s="2" t="s">
        <v>918</v>
      </c>
      <c r="B632" s="1"/>
      <c r="C632" s="1" t="b">
        <v>1</v>
      </c>
      <c r="G632" s="1" t="str">
        <f>IF(OR(LEFT(RIGHT(Master_Reference[[#This Row],[Model Number]],3),1)="C",LEFT(RIGHT(Master_Reference[[#This Row],[Model Number]],4),1)="C"),TRUE,"")</f>
        <v/>
      </c>
      <c r="H632" s="1" t="str">
        <f>IF(LEFT(Master_Reference[[#This Row],[Model Number]],1)="U",TRUE,"")</f>
        <v/>
      </c>
      <c r="I632" s="1" t="b">
        <f>IF(Master_Reference[[#This Row],[Lamp Type]]="T4","",IF(Master_Reference[[#This Row],[Case Type]]="M","",TRUE))</f>
        <v>1</v>
      </c>
      <c r="J632" s="1" t="s">
        <v>111</v>
      </c>
      <c r="K632" s="1">
        <v>40</v>
      </c>
      <c r="L632" s="1" t="s">
        <v>220</v>
      </c>
      <c r="M632" s="1">
        <v>1</v>
      </c>
      <c r="N632" s="1" t="str">
        <f>LEFT(RIGHT(A632,5),3)</f>
        <v>277</v>
      </c>
      <c r="O632" s="1" t="s">
        <v>144</v>
      </c>
      <c r="R632" t="b">
        <f>IF(COUNTBLANK(Master_Reference[[#This Row],[C-Flex 3000K Eco Part Number]:[C-Flex 4000K Eco Part Number]])=3,FALSE,TRUE)</f>
        <v>0</v>
      </c>
      <c r="S632" t="b">
        <f>IF(COUNTBLANK(Master_Reference[[#This Row],[C-Flex 3000K 3W Part Number]:[C-Flex 4000K 3W Part Number]])=3,FALSE,TRUE)</f>
        <v>0</v>
      </c>
      <c r="T632" t="b">
        <f>IF(COUNTBLANK(Master_Reference[[#This Row],[Lutron 3000K Eco Part Number]:[Lutron 4000K Eco Part Number]])=3,FALSE,TRUE)</f>
        <v>0</v>
      </c>
      <c r="U632" t="b">
        <f>IF(COUNTBLANK(Master_Reference[[#This Row],[Lutron 3000K 3W Part Number]:[Lutron 4000K 3W Part Number]])=3,FALSE,TRUE)</f>
        <v>0</v>
      </c>
      <c r="V632" s="12"/>
      <c r="W632" s="12"/>
      <c r="X632" s="12"/>
      <c r="Y632" t="s">
        <v>2125</v>
      </c>
      <c r="Z632" s="12"/>
      <c r="AA632" s="12"/>
      <c r="AB632" s="12"/>
      <c r="AC632" t="s">
        <v>2125</v>
      </c>
      <c r="AD632" t="str">
        <f>SUBSTITUTE(Master_Reference[[#This Row],[C-Flex 4000K Eco Part Number]],"40-","xx-")</f>
        <v/>
      </c>
      <c r="AE632" t="str">
        <f>SUBSTITUTE(Master_Reference[[#This Row],[C-Flex 4000K 3W Part Number]],"40-","xx-")</f>
        <v/>
      </c>
      <c r="AF632" s="1" t="str">
        <f>_xlfn.IFNA(VLOOKUP(Master_Reference[[#This Row],[C-Flex 3000K Eco Part Number]],Lutron_CFlex_Lookup[],MATCH("Lutron Kit PN",Lutron_CFlex_Lookup[#Headers],0),FALSE),"")</f>
        <v/>
      </c>
      <c r="AG632" s="1" t="str">
        <f>_xlfn.IFNA(VLOOKUP(Master_Reference[[#This Row],[C-Flex 3500K Eco Part Number]],Lutron_CFlex_Lookup[],MATCH("Lutron Kit PN",Lutron_CFlex_Lookup[#Headers],0),FALSE),"")</f>
        <v/>
      </c>
      <c r="AH632" s="1" t="str">
        <f>_xlfn.IFNA(VLOOKUP(Master_Reference[[#This Row],[C-Flex 4000K Eco Part Number]],Lutron_CFlex_Lookup[],MATCH("Lutron Kit PN",Lutron_CFlex_Lookup[#Headers],0),FALSE),"")</f>
        <v/>
      </c>
      <c r="AI632" s="1" t="str">
        <f>_xlfn.IFNA(VLOOKUP(Master_Reference[[#This Row],[C-Flex 5000K Eco Part Number]],Lutron_CFlex_Lookup[],MATCH("Lutron Kit PN",Lutron_CFlex_Lookup[#Headers],0),FALSE),"")</f>
        <v/>
      </c>
      <c r="AJ632" s="1" t="str">
        <f>_xlfn.IFNA(VLOOKUP(Master_Reference[[#This Row],[C-Flex 3000K 3W Part Number]],Lutron_CFlex_Lookup[],MATCH("Lutron Kit PN",Lutron_CFlex_Lookup[#Headers],0),FALSE),"")</f>
        <v/>
      </c>
      <c r="AK632" s="1" t="str">
        <f>_xlfn.IFNA(VLOOKUP(Master_Reference[[#This Row],[C-Flex 3500K 3W Part Number]],Lutron_CFlex_Lookup[],MATCH("Lutron Kit PN",Lutron_CFlex_Lookup[#Headers],0),FALSE),"")</f>
        <v/>
      </c>
      <c r="AL632" s="1" t="str">
        <f>_xlfn.IFNA(VLOOKUP(Master_Reference[[#This Row],[C-Flex 4000K 3W Part Number]],Lutron_CFlex_Lookup[],MATCH("Lutron Kit PN",Lutron_CFlex_Lookup[#Headers],0),FALSE),"")</f>
        <v/>
      </c>
      <c r="AM632" s="1" t="str">
        <f>_xlfn.IFNA(VLOOKUP(Master_Reference[[#This Row],[C-Flex 5000K 3W Part Number]],Lutron_CFlex_Lookup[],MATCH("Lutron Kit PN",Lutron_CFlex_Lookup[#Headers],0),FALSE),"")</f>
        <v/>
      </c>
      <c r="AN632" s="1" t="b">
        <f>NOT(ISNA(VLOOKUP(Master_Reference[[#This Row],[Model Number]],ObsoleteModels[],1,FALSE)))</f>
        <v>1</v>
      </c>
      <c r="AO632" s="1" t="str">
        <f>IF(LEFT(Master_Reference[[#This Row],[Model Number]],1)="U",LEFT(Master_Reference[[#This Row],[Model Number]],4),LEFT(Master_Reference[[#This Row],[Model Number]],3))</f>
        <v>FDB</v>
      </c>
    </row>
    <row r="633" spans="1:41" x14ac:dyDescent="0.25">
      <c r="A633" s="2" t="s">
        <v>919</v>
      </c>
      <c r="B633" s="1"/>
      <c r="C633" s="1" t="b">
        <v>1</v>
      </c>
      <c r="G633" s="1" t="str">
        <f>IF(OR(LEFT(RIGHT(Master_Reference[[#This Row],[Model Number]],3),1)="C",LEFT(RIGHT(Master_Reference[[#This Row],[Model Number]],4),1)="C"),TRUE,"")</f>
        <v/>
      </c>
      <c r="H633" s="1" t="str">
        <f>IF(LEFT(Master_Reference[[#This Row],[Model Number]],1)="U",TRUE,"")</f>
        <v/>
      </c>
      <c r="I633" s="1" t="b">
        <f>IF(Master_Reference[[#This Row],[Lamp Type]]="T4","",IF(Master_Reference[[#This Row],[Case Type]]="M","",TRUE))</f>
        <v>1</v>
      </c>
      <c r="J633" s="1" t="s">
        <v>111</v>
      </c>
      <c r="K633" s="1">
        <v>40</v>
      </c>
      <c r="L633" s="1" t="s">
        <v>220</v>
      </c>
      <c r="M633" s="1">
        <v>2</v>
      </c>
      <c r="N633" s="1" t="str">
        <f>LEFT(RIGHT(A633,5),3)</f>
        <v>277</v>
      </c>
      <c r="O633" s="1" t="s">
        <v>144</v>
      </c>
      <c r="R633" t="b">
        <f>IF(COUNTBLANK(Master_Reference[[#This Row],[C-Flex 3000K Eco Part Number]:[C-Flex 4000K Eco Part Number]])=3,FALSE,TRUE)</f>
        <v>0</v>
      </c>
      <c r="S633" t="b">
        <f>IF(COUNTBLANK(Master_Reference[[#This Row],[C-Flex 3000K 3W Part Number]:[C-Flex 4000K 3W Part Number]])=3,FALSE,TRUE)</f>
        <v>0</v>
      </c>
      <c r="T633" t="b">
        <f>IF(COUNTBLANK(Master_Reference[[#This Row],[Lutron 3000K Eco Part Number]:[Lutron 4000K Eco Part Number]])=3,FALSE,TRUE)</f>
        <v>0</v>
      </c>
      <c r="U633" t="b">
        <f>IF(COUNTBLANK(Master_Reference[[#This Row],[Lutron 3000K 3W Part Number]:[Lutron 4000K 3W Part Number]])=3,FALSE,TRUE)</f>
        <v>0</v>
      </c>
      <c r="V633" s="12"/>
      <c r="W633" s="12"/>
      <c r="X633" s="12"/>
      <c r="Y633" t="s">
        <v>2125</v>
      </c>
      <c r="Z633" s="12"/>
      <c r="AA633" s="12"/>
      <c r="AB633" s="12"/>
      <c r="AC633" t="s">
        <v>2125</v>
      </c>
      <c r="AD633" t="str">
        <f>SUBSTITUTE(Master_Reference[[#This Row],[C-Flex 4000K Eco Part Number]],"40-","xx-")</f>
        <v/>
      </c>
      <c r="AE633" t="str">
        <f>SUBSTITUTE(Master_Reference[[#This Row],[C-Flex 4000K 3W Part Number]],"40-","xx-")</f>
        <v/>
      </c>
      <c r="AF633" s="1" t="str">
        <f>_xlfn.IFNA(VLOOKUP(Master_Reference[[#This Row],[C-Flex 3000K Eco Part Number]],Lutron_CFlex_Lookup[],MATCH("Lutron Kit PN",Lutron_CFlex_Lookup[#Headers],0),FALSE),"")</f>
        <v/>
      </c>
      <c r="AG633" s="1" t="str">
        <f>_xlfn.IFNA(VLOOKUP(Master_Reference[[#This Row],[C-Flex 3500K Eco Part Number]],Lutron_CFlex_Lookup[],MATCH("Lutron Kit PN",Lutron_CFlex_Lookup[#Headers],0),FALSE),"")</f>
        <v/>
      </c>
      <c r="AH633" s="1" t="str">
        <f>_xlfn.IFNA(VLOOKUP(Master_Reference[[#This Row],[C-Flex 4000K Eco Part Number]],Lutron_CFlex_Lookup[],MATCH("Lutron Kit PN",Lutron_CFlex_Lookup[#Headers],0),FALSE),"")</f>
        <v/>
      </c>
      <c r="AI633" s="1" t="str">
        <f>_xlfn.IFNA(VLOOKUP(Master_Reference[[#This Row],[C-Flex 5000K Eco Part Number]],Lutron_CFlex_Lookup[],MATCH("Lutron Kit PN",Lutron_CFlex_Lookup[#Headers],0),FALSE),"")</f>
        <v/>
      </c>
      <c r="AJ633" s="1" t="str">
        <f>_xlfn.IFNA(VLOOKUP(Master_Reference[[#This Row],[C-Flex 3000K 3W Part Number]],Lutron_CFlex_Lookup[],MATCH("Lutron Kit PN",Lutron_CFlex_Lookup[#Headers],0),FALSE),"")</f>
        <v/>
      </c>
      <c r="AK633" s="1" t="str">
        <f>_xlfn.IFNA(VLOOKUP(Master_Reference[[#This Row],[C-Flex 3500K 3W Part Number]],Lutron_CFlex_Lookup[],MATCH("Lutron Kit PN",Lutron_CFlex_Lookup[#Headers],0),FALSE),"")</f>
        <v/>
      </c>
      <c r="AL633" s="1" t="str">
        <f>_xlfn.IFNA(VLOOKUP(Master_Reference[[#This Row],[C-Flex 4000K 3W Part Number]],Lutron_CFlex_Lookup[],MATCH("Lutron Kit PN",Lutron_CFlex_Lookup[#Headers],0),FALSE),"")</f>
        <v/>
      </c>
      <c r="AM633" s="1" t="str">
        <f>_xlfn.IFNA(VLOOKUP(Master_Reference[[#This Row],[C-Flex 5000K 3W Part Number]],Lutron_CFlex_Lookup[],MATCH("Lutron Kit PN",Lutron_CFlex_Lookup[#Headers],0),FALSE),"")</f>
        <v/>
      </c>
      <c r="AN633" s="1" t="b">
        <f>NOT(ISNA(VLOOKUP(Master_Reference[[#This Row],[Model Number]],ObsoleteModels[],1,FALSE)))</f>
        <v>1</v>
      </c>
      <c r="AO633" s="1" t="str">
        <f>IF(LEFT(Master_Reference[[#This Row],[Model Number]],1)="U",LEFT(Master_Reference[[#This Row],[Model Number]],4),LEFT(Master_Reference[[#This Row],[Model Number]],3))</f>
        <v>FDB</v>
      </c>
    </row>
    <row r="634" spans="1:41" x14ac:dyDescent="0.25">
      <c r="A634" s="2" t="s">
        <v>920</v>
      </c>
      <c r="B634" s="1"/>
      <c r="C634" s="1" t="b">
        <v>1</v>
      </c>
      <c r="G634" s="1" t="str">
        <f>IF(OR(LEFT(RIGHT(Master_Reference[[#This Row],[Model Number]],3),1)="C",LEFT(RIGHT(Master_Reference[[#This Row],[Model Number]],4),1)="C"),TRUE,"")</f>
        <v/>
      </c>
      <c r="H634" s="1" t="str">
        <f>IF(LEFT(Master_Reference[[#This Row],[Model Number]],1)="U",TRUE,"")</f>
        <v/>
      </c>
      <c r="I634" s="1" t="b">
        <f>IF(Master_Reference[[#This Row],[Lamp Type]]="T4","",IF(Master_Reference[[#This Row],[Case Type]]="M","",TRUE))</f>
        <v>1</v>
      </c>
      <c r="J634" s="1" t="s">
        <v>886</v>
      </c>
      <c r="K634" s="1">
        <v>85</v>
      </c>
      <c r="L634" s="1" t="s">
        <v>921</v>
      </c>
      <c r="M634" s="1">
        <v>1</v>
      </c>
      <c r="N634" s="1">
        <v>120</v>
      </c>
      <c r="O634" s="1" t="s">
        <v>144</v>
      </c>
      <c r="R634" t="b">
        <f>IF(COUNTBLANK(Master_Reference[[#This Row],[C-Flex 3000K Eco Part Number]:[C-Flex 4000K Eco Part Number]])=3,FALSE,TRUE)</f>
        <v>0</v>
      </c>
      <c r="S634" t="b">
        <f>IF(COUNTBLANK(Master_Reference[[#This Row],[C-Flex 3000K 3W Part Number]:[C-Flex 4000K 3W Part Number]])=3,FALSE,TRUE)</f>
        <v>0</v>
      </c>
      <c r="T634" s="1" t="b">
        <f>IF(COUNTBLANK(Master_Reference[[#This Row],[Lutron 3000K Eco Part Number]:[Lutron 4000K Eco Part Number]])=3,FALSE,TRUE)</f>
        <v>0</v>
      </c>
      <c r="U634" s="1" t="b">
        <f>IF(COUNTBLANK(Master_Reference[[#This Row],[Lutron 3000K 3W Part Number]:[Lutron 4000K 3W Part Number]])=3,FALSE,TRUE)</f>
        <v>0</v>
      </c>
      <c r="V634" s="13"/>
      <c r="W634" s="13"/>
      <c r="X634" s="12"/>
      <c r="Y634" t="s">
        <v>2125</v>
      </c>
      <c r="Z634" s="12"/>
      <c r="AA634" s="12"/>
      <c r="AB634" s="12"/>
      <c r="AC634" t="s">
        <v>2125</v>
      </c>
      <c r="AD634" t="str">
        <f>SUBSTITUTE(Master_Reference[[#This Row],[C-Flex 4000K Eco Part Number]],"40-","xx-")</f>
        <v/>
      </c>
      <c r="AE634" t="str">
        <f>SUBSTITUTE(Master_Reference[[#This Row],[C-Flex 4000K 3W Part Number]],"40-","xx-")</f>
        <v/>
      </c>
      <c r="AF634" s="1" t="str">
        <f>_xlfn.IFNA(VLOOKUP(Master_Reference[[#This Row],[C-Flex 3000K Eco Part Number]],Lutron_CFlex_Lookup[],MATCH("Lutron Kit PN",Lutron_CFlex_Lookup[#Headers],0),FALSE),"")</f>
        <v/>
      </c>
      <c r="AG634" s="1" t="str">
        <f>_xlfn.IFNA(VLOOKUP(Master_Reference[[#This Row],[C-Flex 3500K Eco Part Number]],Lutron_CFlex_Lookup[],MATCH("Lutron Kit PN",Lutron_CFlex_Lookup[#Headers],0),FALSE),"")</f>
        <v/>
      </c>
      <c r="AH634" s="1" t="str">
        <f>_xlfn.IFNA(VLOOKUP(Master_Reference[[#This Row],[C-Flex 4000K Eco Part Number]],Lutron_CFlex_Lookup[],MATCH("Lutron Kit PN",Lutron_CFlex_Lookup[#Headers],0),FALSE),"")</f>
        <v/>
      </c>
      <c r="AI634" s="1" t="str">
        <f>_xlfn.IFNA(VLOOKUP(Master_Reference[[#This Row],[C-Flex 5000K Eco Part Number]],Lutron_CFlex_Lookup[],MATCH("Lutron Kit PN",Lutron_CFlex_Lookup[#Headers],0),FALSE),"")</f>
        <v/>
      </c>
      <c r="AJ634" s="1" t="str">
        <f>_xlfn.IFNA(VLOOKUP(Master_Reference[[#This Row],[C-Flex 3000K 3W Part Number]],Lutron_CFlex_Lookup[],MATCH("Lutron Kit PN",Lutron_CFlex_Lookup[#Headers],0),FALSE),"")</f>
        <v/>
      </c>
      <c r="AK634" s="1" t="str">
        <f>_xlfn.IFNA(VLOOKUP(Master_Reference[[#This Row],[C-Flex 3500K 3W Part Number]],Lutron_CFlex_Lookup[],MATCH("Lutron Kit PN",Lutron_CFlex_Lookup[#Headers],0),FALSE),"")</f>
        <v/>
      </c>
      <c r="AL634" s="1" t="str">
        <f>_xlfn.IFNA(VLOOKUP(Master_Reference[[#This Row],[C-Flex 4000K 3W Part Number]],Lutron_CFlex_Lookup[],MATCH("Lutron Kit PN",Lutron_CFlex_Lookup[#Headers],0),FALSE),"")</f>
        <v/>
      </c>
      <c r="AM634" s="1" t="str">
        <f>_xlfn.IFNA(VLOOKUP(Master_Reference[[#This Row],[C-Flex 5000K 3W Part Number]],Lutron_CFlex_Lookup[],MATCH("Lutron Kit PN",Lutron_CFlex_Lookup[#Headers],0),FALSE),"")</f>
        <v/>
      </c>
      <c r="AN634" s="1" t="b">
        <f>NOT(ISNA(VLOOKUP(Master_Reference[[#This Row],[Model Number]],ObsoleteModels[],1,FALSE)))</f>
        <v>1</v>
      </c>
      <c r="AO634" s="1" t="str">
        <f>IF(LEFT(Master_Reference[[#This Row],[Model Number]],1)="U",LEFT(Master_Reference[[#This Row],[Model Number]],4),LEFT(Master_Reference[[#This Row],[Model Number]],3))</f>
        <v>FDB</v>
      </c>
    </row>
    <row r="635" spans="1:41" x14ac:dyDescent="0.25">
      <c r="A635" s="2" t="s">
        <v>922</v>
      </c>
      <c r="B635" s="1"/>
      <c r="C635" s="1" t="b">
        <v>1</v>
      </c>
      <c r="G635" s="1" t="str">
        <f>IF(OR(LEFT(RIGHT(Master_Reference[[#This Row],[Model Number]],3),1)="C",LEFT(RIGHT(Master_Reference[[#This Row],[Model Number]],4),1)="C"),TRUE,"")</f>
        <v/>
      </c>
      <c r="H635" s="1" t="str">
        <f>IF(LEFT(Master_Reference[[#This Row],[Model Number]],1)="U",TRUE,"")</f>
        <v/>
      </c>
      <c r="I635" s="1" t="b">
        <f>IF(Master_Reference[[#This Row],[Lamp Type]]="T4","",IF(Master_Reference[[#This Row],[Case Type]]="M","",TRUE))</f>
        <v>1</v>
      </c>
      <c r="J635" s="1" t="s">
        <v>886</v>
      </c>
      <c r="K635" s="1">
        <v>95</v>
      </c>
      <c r="L635" s="1" t="s">
        <v>923</v>
      </c>
      <c r="M635" s="1">
        <v>1</v>
      </c>
      <c r="N635" s="1">
        <v>120</v>
      </c>
      <c r="O635" s="1" t="s">
        <v>144</v>
      </c>
      <c r="R635" t="b">
        <f>IF(COUNTBLANK(Master_Reference[[#This Row],[C-Flex 3000K Eco Part Number]:[C-Flex 4000K Eco Part Number]])=3,FALSE,TRUE)</f>
        <v>0</v>
      </c>
      <c r="S635" t="b">
        <f>IF(COUNTBLANK(Master_Reference[[#This Row],[C-Flex 3000K 3W Part Number]:[C-Flex 4000K 3W Part Number]])=3,FALSE,TRUE)</f>
        <v>0</v>
      </c>
      <c r="T635" s="1" t="b">
        <f>IF(COUNTBLANK(Master_Reference[[#This Row],[Lutron 3000K Eco Part Number]:[Lutron 4000K Eco Part Number]])=3,FALSE,TRUE)</f>
        <v>0</v>
      </c>
      <c r="U635" s="1" t="b">
        <f>IF(COUNTBLANK(Master_Reference[[#This Row],[Lutron 3000K 3W Part Number]:[Lutron 4000K 3W Part Number]])=3,FALSE,TRUE)</f>
        <v>0</v>
      </c>
      <c r="V635" s="13"/>
      <c r="W635" s="13"/>
      <c r="X635" s="12"/>
      <c r="Y635" t="s">
        <v>2125</v>
      </c>
      <c r="Z635" s="12"/>
      <c r="AA635" s="12"/>
      <c r="AB635" s="12"/>
      <c r="AC635" t="s">
        <v>2125</v>
      </c>
      <c r="AD635" t="str">
        <f>SUBSTITUTE(Master_Reference[[#This Row],[C-Flex 4000K Eco Part Number]],"40-","xx-")</f>
        <v/>
      </c>
      <c r="AE635" t="str">
        <f>SUBSTITUTE(Master_Reference[[#This Row],[C-Flex 4000K 3W Part Number]],"40-","xx-")</f>
        <v/>
      </c>
      <c r="AF635" s="1" t="str">
        <f>_xlfn.IFNA(VLOOKUP(Master_Reference[[#This Row],[C-Flex 3000K Eco Part Number]],Lutron_CFlex_Lookup[],MATCH("Lutron Kit PN",Lutron_CFlex_Lookup[#Headers],0),FALSE),"")</f>
        <v/>
      </c>
      <c r="AG635" s="1" t="str">
        <f>_xlfn.IFNA(VLOOKUP(Master_Reference[[#This Row],[C-Flex 3500K Eco Part Number]],Lutron_CFlex_Lookup[],MATCH("Lutron Kit PN",Lutron_CFlex_Lookup[#Headers],0),FALSE),"")</f>
        <v/>
      </c>
      <c r="AH635" s="1" t="str">
        <f>_xlfn.IFNA(VLOOKUP(Master_Reference[[#This Row],[C-Flex 4000K Eco Part Number]],Lutron_CFlex_Lookup[],MATCH("Lutron Kit PN",Lutron_CFlex_Lookup[#Headers],0),FALSE),"")</f>
        <v/>
      </c>
      <c r="AI635" s="1" t="str">
        <f>_xlfn.IFNA(VLOOKUP(Master_Reference[[#This Row],[C-Flex 5000K Eco Part Number]],Lutron_CFlex_Lookup[],MATCH("Lutron Kit PN",Lutron_CFlex_Lookup[#Headers],0),FALSE),"")</f>
        <v/>
      </c>
      <c r="AJ635" s="1" t="str">
        <f>_xlfn.IFNA(VLOOKUP(Master_Reference[[#This Row],[C-Flex 3000K 3W Part Number]],Lutron_CFlex_Lookup[],MATCH("Lutron Kit PN",Lutron_CFlex_Lookup[#Headers],0),FALSE),"")</f>
        <v/>
      </c>
      <c r="AK635" s="1" t="str">
        <f>_xlfn.IFNA(VLOOKUP(Master_Reference[[#This Row],[C-Flex 3500K 3W Part Number]],Lutron_CFlex_Lookup[],MATCH("Lutron Kit PN",Lutron_CFlex_Lookup[#Headers],0),FALSE),"")</f>
        <v/>
      </c>
      <c r="AL635" s="1" t="str">
        <f>_xlfn.IFNA(VLOOKUP(Master_Reference[[#This Row],[C-Flex 4000K 3W Part Number]],Lutron_CFlex_Lookup[],MATCH("Lutron Kit PN",Lutron_CFlex_Lookup[#Headers],0),FALSE),"")</f>
        <v/>
      </c>
      <c r="AM635" s="1" t="str">
        <f>_xlfn.IFNA(VLOOKUP(Master_Reference[[#This Row],[C-Flex 5000K 3W Part Number]],Lutron_CFlex_Lookup[],MATCH("Lutron Kit PN",Lutron_CFlex_Lookup[#Headers],0),FALSE),"")</f>
        <v/>
      </c>
      <c r="AN635" s="1" t="b">
        <f>NOT(ISNA(VLOOKUP(Master_Reference[[#This Row],[Model Number]],ObsoleteModels[],1,FALSE)))</f>
        <v>1</v>
      </c>
      <c r="AO635" s="1" t="str">
        <f>IF(LEFT(Master_Reference[[#This Row],[Model Number]],1)="U",LEFT(Master_Reference[[#This Row],[Model Number]],4),LEFT(Master_Reference[[#This Row],[Model Number]],3))</f>
        <v>FDB</v>
      </c>
    </row>
    <row r="636" spans="1:41" x14ac:dyDescent="0.25">
      <c r="A636" s="2" t="s">
        <v>924</v>
      </c>
      <c r="B636" s="1"/>
      <c r="C636" s="1" t="b">
        <v>1</v>
      </c>
      <c r="G636" s="1" t="str">
        <f>IF(OR(LEFT(RIGHT(Master_Reference[[#This Row],[Model Number]],3),1)="C",LEFT(RIGHT(Master_Reference[[#This Row],[Model Number]],4),1)="C"),TRUE,"")</f>
        <v/>
      </c>
      <c r="H636" s="1" t="str">
        <f>IF(LEFT(Master_Reference[[#This Row],[Model Number]],1)="U",TRUE,"")</f>
        <v/>
      </c>
      <c r="I636" s="1" t="b">
        <f>IF(Master_Reference[[#This Row],[Lamp Type]]="T4","",IF(Master_Reference[[#This Row],[Case Type]]="M","",TRUE))</f>
        <v>1</v>
      </c>
      <c r="J636" s="1" t="s">
        <v>886</v>
      </c>
      <c r="K636" s="1">
        <v>110</v>
      </c>
      <c r="L636" s="1" t="s">
        <v>925</v>
      </c>
      <c r="M636" s="1">
        <v>1</v>
      </c>
      <c r="N636" s="1">
        <v>120</v>
      </c>
      <c r="O636" s="1" t="s">
        <v>144</v>
      </c>
      <c r="R636" t="b">
        <f>IF(COUNTBLANK(Master_Reference[[#This Row],[C-Flex 3000K Eco Part Number]:[C-Flex 4000K Eco Part Number]])=3,FALSE,TRUE)</f>
        <v>0</v>
      </c>
      <c r="S636" t="b">
        <f>IF(COUNTBLANK(Master_Reference[[#This Row],[C-Flex 3000K 3W Part Number]:[C-Flex 4000K 3W Part Number]])=3,FALSE,TRUE)</f>
        <v>0</v>
      </c>
      <c r="T636" s="1" t="b">
        <f>IF(COUNTBLANK(Master_Reference[[#This Row],[Lutron 3000K Eco Part Number]:[Lutron 4000K Eco Part Number]])=3,FALSE,TRUE)</f>
        <v>0</v>
      </c>
      <c r="U636" s="1" t="b">
        <f>IF(COUNTBLANK(Master_Reference[[#This Row],[Lutron 3000K 3W Part Number]:[Lutron 4000K 3W Part Number]])=3,FALSE,TRUE)</f>
        <v>0</v>
      </c>
      <c r="V636" s="13"/>
      <c r="W636" s="13"/>
      <c r="X636" s="12"/>
      <c r="Y636" t="s">
        <v>2125</v>
      </c>
      <c r="Z636" s="12"/>
      <c r="AA636" s="12"/>
      <c r="AB636" s="12"/>
      <c r="AC636" t="s">
        <v>2125</v>
      </c>
      <c r="AD636" t="str">
        <f>SUBSTITUTE(Master_Reference[[#This Row],[C-Flex 4000K Eco Part Number]],"40-","xx-")</f>
        <v/>
      </c>
      <c r="AE636" t="str">
        <f>SUBSTITUTE(Master_Reference[[#This Row],[C-Flex 4000K 3W Part Number]],"40-","xx-")</f>
        <v/>
      </c>
      <c r="AF636" s="1" t="str">
        <f>_xlfn.IFNA(VLOOKUP(Master_Reference[[#This Row],[C-Flex 3000K Eco Part Number]],Lutron_CFlex_Lookup[],MATCH("Lutron Kit PN",Lutron_CFlex_Lookup[#Headers],0),FALSE),"")</f>
        <v/>
      </c>
      <c r="AG636" s="1" t="str">
        <f>_xlfn.IFNA(VLOOKUP(Master_Reference[[#This Row],[C-Flex 3500K Eco Part Number]],Lutron_CFlex_Lookup[],MATCH("Lutron Kit PN",Lutron_CFlex_Lookup[#Headers],0),FALSE),"")</f>
        <v/>
      </c>
      <c r="AH636" s="1" t="str">
        <f>_xlfn.IFNA(VLOOKUP(Master_Reference[[#This Row],[C-Flex 4000K Eco Part Number]],Lutron_CFlex_Lookup[],MATCH("Lutron Kit PN",Lutron_CFlex_Lookup[#Headers],0),FALSE),"")</f>
        <v/>
      </c>
      <c r="AI636" s="1" t="str">
        <f>_xlfn.IFNA(VLOOKUP(Master_Reference[[#This Row],[C-Flex 5000K Eco Part Number]],Lutron_CFlex_Lookup[],MATCH("Lutron Kit PN",Lutron_CFlex_Lookup[#Headers],0),FALSE),"")</f>
        <v/>
      </c>
      <c r="AJ636" s="1" t="str">
        <f>_xlfn.IFNA(VLOOKUP(Master_Reference[[#This Row],[C-Flex 3000K 3W Part Number]],Lutron_CFlex_Lookup[],MATCH("Lutron Kit PN",Lutron_CFlex_Lookup[#Headers],0),FALSE),"")</f>
        <v/>
      </c>
      <c r="AK636" s="1" t="str">
        <f>_xlfn.IFNA(VLOOKUP(Master_Reference[[#This Row],[C-Flex 3500K 3W Part Number]],Lutron_CFlex_Lookup[],MATCH("Lutron Kit PN",Lutron_CFlex_Lookup[#Headers],0),FALSE),"")</f>
        <v/>
      </c>
      <c r="AL636" s="1" t="str">
        <f>_xlfn.IFNA(VLOOKUP(Master_Reference[[#This Row],[C-Flex 4000K 3W Part Number]],Lutron_CFlex_Lookup[],MATCH("Lutron Kit PN",Lutron_CFlex_Lookup[#Headers],0),FALSE),"")</f>
        <v/>
      </c>
      <c r="AM636" s="1" t="str">
        <f>_xlfn.IFNA(VLOOKUP(Master_Reference[[#This Row],[C-Flex 5000K 3W Part Number]],Lutron_CFlex_Lookup[],MATCH("Lutron Kit PN",Lutron_CFlex_Lookup[#Headers],0),FALSE),"")</f>
        <v/>
      </c>
      <c r="AN636" s="1" t="b">
        <f>NOT(ISNA(VLOOKUP(Master_Reference[[#This Row],[Model Number]],ObsoleteModels[],1,FALSE)))</f>
        <v>1</v>
      </c>
      <c r="AO636" s="1" t="str">
        <f>IF(LEFT(Master_Reference[[#This Row],[Model Number]],1)="U",LEFT(Master_Reference[[#This Row],[Model Number]],4),LEFT(Master_Reference[[#This Row],[Model Number]],3))</f>
        <v>FDB</v>
      </c>
    </row>
    <row r="637" spans="1:41" x14ac:dyDescent="0.25">
      <c r="A637" s="2" t="s">
        <v>926</v>
      </c>
      <c r="B637" s="1"/>
      <c r="C637" s="1" t="b">
        <v>1</v>
      </c>
      <c r="G637" s="1" t="str">
        <f>IF(OR(LEFT(RIGHT(Master_Reference[[#This Row],[Model Number]],3),1)="C",LEFT(RIGHT(Master_Reference[[#This Row],[Model Number]],4),1)="C"),TRUE,"")</f>
        <v/>
      </c>
      <c r="H637" s="1" t="str">
        <f>IF(LEFT(Master_Reference[[#This Row],[Model Number]],1)="U",TRUE,"")</f>
        <v/>
      </c>
      <c r="I637" s="1" t="str">
        <f>IF(Master_Reference[[#This Row],[Lamp Type]]="T4","",IF(Master_Reference[[#This Row],[Case Type]]="M","",TRUE))</f>
        <v/>
      </c>
      <c r="J637" s="1" t="s">
        <v>87</v>
      </c>
      <c r="K637" s="1">
        <v>18</v>
      </c>
      <c r="L637" s="1" t="s">
        <v>88</v>
      </c>
      <c r="M637" s="1">
        <v>1</v>
      </c>
      <c r="N637" s="1">
        <v>120</v>
      </c>
      <c r="O637" s="1" t="s">
        <v>89</v>
      </c>
      <c r="P637" s="1" t="b">
        <v>1</v>
      </c>
      <c r="R637" t="b">
        <f>IF(COUNTBLANK(Master_Reference[[#This Row],[C-Flex 3000K Eco Part Number]:[C-Flex 4000K Eco Part Number]])=3,FALSE,TRUE)</f>
        <v>0</v>
      </c>
      <c r="S637" t="b">
        <f>IF(COUNTBLANK(Master_Reference[[#This Row],[C-Flex 3000K 3W Part Number]:[C-Flex 4000K 3W Part Number]])=3,FALSE,TRUE)</f>
        <v>1</v>
      </c>
      <c r="T637" s="1" t="b">
        <f>IF(COUNTBLANK(Master_Reference[[#This Row],[Lutron 3000K Eco Part Number]:[Lutron 4000K Eco Part Number]])=3,FALSE,TRUE)</f>
        <v>0</v>
      </c>
      <c r="U637" s="1" t="b">
        <f>IF(COUNTBLANK(Master_Reference[[#This Row],[Lutron 3000K 3W Part Number]:[Lutron 4000K 3W Part Number]])=3,FALSE,TRUE)</f>
        <v>0</v>
      </c>
      <c r="V637" s="13"/>
      <c r="W637" s="13"/>
      <c r="X637" s="12"/>
      <c r="Y637" t="s">
        <v>2125</v>
      </c>
      <c r="Z637" s="12" t="s">
        <v>161</v>
      </c>
      <c r="AA637" s="12" t="s">
        <v>162</v>
      </c>
      <c r="AB637" s="12" t="s">
        <v>163</v>
      </c>
      <c r="AC637" t="s">
        <v>2125</v>
      </c>
      <c r="AD637" t="str">
        <f>SUBSTITUTE(Master_Reference[[#This Row],[C-Flex 4000K Eco Part Number]],"40-","xx-")</f>
        <v/>
      </c>
      <c r="AE637" t="str">
        <f>SUBSTITUTE(Master_Reference[[#This Row],[C-Flex 4000K 3W Part Number]],"40-","xx-")</f>
        <v>RP-G24Q-126m-1L-8xx-3W-K-G2</v>
      </c>
      <c r="AF637" s="1" t="str">
        <f>_xlfn.IFNA(VLOOKUP(Master_Reference[[#This Row],[C-Flex 3000K Eco Part Number]],Lutron_CFlex_Lookup[],MATCH("Lutron Kit PN",Lutron_CFlex_Lookup[#Headers],0),FALSE),"")</f>
        <v/>
      </c>
      <c r="AG637" s="1" t="str">
        <f>_xlfn.IFNA(VLOOKUP(Master_Reference[[#This Row],[C-Flex 3500K Eco Part Number]],Lutron_CFlex_Lookup[],MATCH("Lutron Kit PN",Lutron_CFlex_Lookup[#Headers],0),FALSE),"")</f>
        <v/>
      </c>
      <c r="AH637" s="1" t="str">
        <f>_xlfn.IFNA(VLOOKUP(Master_Reference[[#This Row],[C-Flex 4000K Eco Part Number]],Lutron_CFlex_Lookup[],MATCH("Lutron Kit PN",Lutron_CFlex_Lookup[#Headers],0),FALSE),"")</f>
        <v/>
      </c>
      <c r="AI637" s="1" t="str">
        <f>_xlfn.IFNA(VLOOKUP(Master_Reference[[#This Row],[C-Flex 5000K Eco Part Number]],Lutron_CFlex_Lookup[],MATCH("Lutron Kit PN",Lutron_CFlex_Lookup[#Headers],0),FALSE),"")</f>
        <v/>
      </c>
      <c r="AJ637" s="1" t="str">
        <f>_xlfn.IFNA(VLOOKUP(Master_Reference[[#This Row],[C-Flex 3000K 3W Part Number]],Lutron_CFlex_Lookup[],MATCH("Lutron Kit PN",Lutron_CFlex_Lookup[#Headers],0),FALSE),"")</f>
        <v/>
      </c>
      <c r="AK637" s="1" t="str">
        <f>_xlfn.IFNA(VLOOKUP(Master_Reference[[#This Row],[C-Flex 3500K 3W Part Number]],Lutron_CFlex_Lookup[],MATCH("Lutron Kit PN",Lutron_CFlex_Lookup[#Headers],0),FALSE),"")</f>
        <v/>
      </c>
      <c r="AL637" s="1" t="str">
        <f>_xlfn.IFNA(VLOOKUP(Master_Reference[[#This Row],[C-Flex 4000K 3W Part Number]],Lutron_CFlex_Lookup[],MATCH("Lutron Kit PN",Lutron_CFlex_Lookup[#Headers],0),FALSE),"")</f>
        <v/>
      </c>
      <c r="AM637" s="1" t="str">
        <f>_xlfn.IFNA(VLOOKUP(Master_Reference[[#This Row],[C-Flex 5000K 3W Part Number]],Lutron_CFlex_Lookup[],MATCH("Lutron Kit PN",Lutron_CFlex_Lookup[#Headers],0),FALSE),"")</f>
        <v/>
      </c>
      <c r="AN637" s="1" t="b">
        <f>NOT(ISNA(VLOOKUP(Master_Reference[[#This Row],[Model Number]],ObsoleteModels[],1,FALSE)))</f>
        <v>1</v>
      </c>
      <c r="AO637" s="1" t="str">
        <f>IF(LEFT(Master_Reference[[#This Row],[Model Number]],1)="U",LEFT(Master_Reference[[#This Row],[Model Number]],4),LEFT(Master_Reference[[#This Row],[Model Number]],3))</f>
        <v>FDB</v>
      </c>
    </row>
    <row r="638" spans="1:41" x14ac:dyDescent="0.25">
      <c r="A638" s="2" t="s">
        <v>927</v>
      </c>
      <c r="B638" s="1"/>
      <c r="C638" s="1" t="b">
        <v>1</v>
      </c>
      <c r="G638" s="1" t="str">
        <f>IF(OR(LEFT(RIGHT(Master_Reference[[#This Row],[Model Number]],3),1)="C",LEFT(RIGHT(Master_Reference[[#This Row],[Model Number]],4),1)="C"),TRUE,"")</f>
        <v/>
      </c>
      <c r="H638" s="1" t="str">
        <f>IF(LEFT(Master_Reference[[#This Row],[Model Number]],1)="U",TRUE,"")</f>
        <v/>
      </c>
      <c r="I638" s="1" t="str">
        <f>IF(Master_Reference[[#This Row],[Lamp Type]]="T4","",IF(Master_Reference[[#This Row],[Case Type]]="M","",TRUE))</f>
        <v/>
      </c>
      <c r="J638" s="1" t="s">
        <v>87</v>
      </c>
      <c r="K638" s="1">
        <v>18</v>
      </c>
      <c r="L638" s="1" t="s">
        <v>88</v>
      </c>
      <c r="M638" s="1">
        <v>1</v>
      </c>
      <c r="N638" s="1">
        <v>120</v>
      </c>
      <c r="O638" s="1" t="s">
        <v>89</v>
      </c>
      <c r="R638" t="b">
        <f>IF(COUNTBLANK(Master_Reference[[#This Row],[C-Flex 3000K Eco Part Number]:[C-Flex 4000K Eco Part Number]])=3,FALSE,TRUE)</f>
        <v>0</v>
      </c>
      <c r="S638" t="b">
        <f>IF(COUNTBLANK(Master_Reference[[#This Row],[C-Flex 3000K 3W Part Number]:[C-Flex 4000K 3W Part Number]])=3,FALSE,TRUE)</f>
        <v>1</v>
      </c>
      <c r="T638" s="1" t="b">
        <f>IF(COUNTBLANK(Master_Reference[[#This Row],[Lutron 3000K Eco Part Number]:[Lutron 4000K Eco Part Number]])=3,FALSE,TRUE)</f>
        <v>0</v>
      </c>
      <c r="U638" s="1" t="b">
        <f>IF(COUNTBLANK(Master_Reference[[#This Row],[Lutron 3000K 3W Part Number]:[Lutron 4000K 3W Part Number]])=3,FALSE,TRUE)</f>
        <v>0</v>
      </c>
      <c r="V638" s="13"/>
      <c r="W638" s="13"/>
      <c r="X638" s="12"/>
      <c r="Y638" t="s">
        <v>2125</v>
      </c>
      <c r="Z638" s="12" t="s">
        <v>154</v>
      </c>
      <c r="AA638" s="12" t="s">
        <v>155</v>
      </c>
      <c r="AB638" s="12" t="s">
        <v>156</v>
      </c>
      <c r="AC638" t="s">
        <v>2125</v>
      </c>
      <c r="AD638" t="str">
        <f>SUBSTITUTE(Master_Reference[[#This Row],[C-Flex 4000K Eco Part Number]],"40-","xx-")</f>
        <v/>
      </c>
      <c r="AE638" t="str">
        <f>SUBSTITUTE(Master_Reference[[#This Row],[C-Flex 4000K 3W Part Number]],"40-","xx-")</f>
        <v>RP-G24Q-126m-1L-8xx-3W-KN-G2</v>
      </c>
      <c r="AF638" s="1" t="str">
        <f>_xlfn.IFNA(VLOOKUP(Master_Reference[[#This Row],[C-Flex 3000K Eco Part Number]],Lutron_CFlex_Lookup[],MATCH("Lutron Kit PN",Lutron_CFlex_Lookup[#Headers],0),FALSE),"")</f>
        <v/>
      </c>
      <c r="AG638" s="1" t="str">
        <f>_xlfn.IFNA(VLOOKUP(Master_Reference[[#This Row],[C-Flex 3500K Eco Part Number]],Lutron_CFlex_Lookup[],MATCH("Lutron Kit PN",Lutron_CFlex_Lookup[#Headers],0),FALSE),"")</f>
        <v/>
      </c>
      <c r="AH638" s="1" t="str">
        <f>_xlfn.IFNA(VLOOKUP(Master_Reference[[#This Row],[C-Flex 4000K Eco Part Number]],Lutron_CFlex_Lookup[],MATCH("Lutron Kit PN",Lutron_CFlex_Lookup[#Headers],0),FALSE),"")</f>
        <v/>
      </c>
      <c r="AI638" s="1" t="str">
        <f>_xlfn.IFNA(VLOOKUP(Master_Reference[[#This Row],[C-Flex 5000K Eco Part Number]],Lutron_CFlex_Lookup[],MATCH("Lutron Kit PN",Lutron_CFlex_Lookup[#Headers],0),FALSE),"")</f>
        <v/>
      </c>
      <c r="AJ638" s="1" t="str">
        <f>_xlfn.IFNA(VLOOKUP(Master_Reference[[#This Row],[C-Flex 3000K 3W Part Number]],Lutron_CFlex_Lookup[],MATCH("Lutron Kit PN",Lutron_CFlex_Lookup[#Headers],0),FALSE),"")</f>
        <v/>
      </c>
      <c r="AK638" s="1" t="str">
        <f>_xlfn.IFNA(VLOOKUP(Master_Reference[[#This Row],[C-Flex 3500K 3W Part Number]],Lutron_CFlex_Lookup[],MATCH("Lutron Kit PN",Lutron_CFlex_Lookup[#Headers],0),FALSE),"")</f>
        <v/>
      </c>
      <c r="AL638" s="1" t="str">
        <f>_xlfn.IFNA(VLOOKUP(Master_Reference[[#This Row],[C-Flex 4000K 3W Part Number]],Lutron_CFlex_Lookup[],MATCH("Lutron Kit PN",Lutron_CFlex_Lookup[#Headers],0),FALSE),"")</f>
        <v/>
      </c>
      <c r="AM638" s="1" t="str">
        <f>_xlfn.IFNA(VLOOKUP(Master_Reference[[#This Row],[C-Flex 5000K 3W Part Number]],Lutron_CFlex_Lookup[],MATCH("Lutron Kit PN",Lutron_CFlex_Lookup[#Headers],0),FALSE),"")</f>
        <v/>
      </c>
      <c r="AN638" s="1" t="b">
        <f>NOT(ISNA(VLOOKUP(Master_Reference[[#This Row],[Model Number]],ObsoleteModels[],1,FALSE)))</f>
        <v>1</v>
      </c>
      <c r="AO638" s="1" t="str">
        <f>IF(LEFT(Master_Reference[[#This Row],[Model Number]],1)="U",LEFT(Master_Reference[[#This Row],[Model Number]],4),LEFT(Master_Reference[[#This Row],[Model Number]],3))</f>
        <v>FDB</v>
      </c>
    </row>
    <row r="639" spans="1:41" x14ac:dyDescent="0.25">
      <c r="A639" s="2" t="s">
        <v>928</v>
      </c>
      <c r="B639" s="1"/>
      <c r="C639" s="1" t="b">
        <v>1</v>
      </c>
      <c r="G639" s="1" t="str">
        <f>IF(OR(LEFT(RIGHT(Master_Reference[[#This Row],[Model Number]],3),1)="C",LEFT(RIGHT(Master_Reference[[#This Row],[Model Number]],4),1)="C"),TRUE,"")</f>
        <v/>
      </c>
      <c r="H639" s="1" t="str">
        <f>IF(LEFT(Master_Reference[[#This Row],[Model Number]],1)="U",TRUE,"")</f>
        <v/>
      </c>
      <c r="I639" s="1" t="str">
        <f>IF(Master_Reference[[#This Row],[Lamp Type]]="T4","",IF(Master_Reference[[#This Row],[Case Type]]="M","",TRUE))</f>
        <v/>
      </c>
      <c r="J639" s="1" t="s">
        <v>87</v>
      </c>
      <c r="K639" s="1">
        <v>18</v>
      </c>
      <c r="L639" s="1" t="s">
        <v>88</v>
      </c>
      <c r="M639" s="1">
        <v>2</v>
      </c>
      <c r="N639" s="1">
        <v>120</v>
      </c>
      <c r="O639" s="1" t="s">
        <v>106</v>
      </c>
      <c r="P639" s="1" t="b">
        <v>1</v>
      </c>
      <c r="R639" t="b">
        <f>IF(COUNTBLANK(Master_Reference[[#This Row],[C-Flex 3000K Eco Part Number]:[C-Flex 4000K Eco Part Number]])=3,FALSE,TRUE)</f>
        <v>0</v>
      </c>
      <c r="S639" t="b">
        <f>IF(COUNTBLANK(Master_Reference[[#This Row],[C-Flex 3000K 3W Part Number]:[C-Flex 4000K 3W Part Number]])=3,FALSE,TRUE)</f>
        <v>1</v>
      </c>
      <c r="T639" s="1" t="b">
        <f>IF(COUNTBLANK(Master_Reference[[#This Row],[Lutron 3000K Eco Part Number]:[Lutron 4000K Eco Part Number]])=3,FALSE,TRUE)</f>
        <v>0</v>
      </c>
      <c r="U639" s="1" t="b">
        <f>IF(COUNTBLANK(Master_Reference[[#This Row],[Lutron 3000K 3W Part Number]:[Lutron 4000K 3W Part Number]])=3,FALSE,TRUE)</f>
        <v>0</v>
      </c>
      <c r="V639" s="13"/>
      <c r="W639" s="13"/>
      <c r="X639" s="12"/>
      <c r="Y639" t="s">
        <v>2125</v>
      </c>
      <c r="Z639" s="12" t="s">
        <v>1573</v>
      </c>
      <c r="AA639" s="12" t="s">
        <v>1574</v>
      </c>
      <c r="AB639" s="12" t="s">
        <v>1575</v>
      </c>
      <c r="AC639" t="s">
        <v>2125</v>
      </c>
      <c r="AD639" t="str">
        <f>SUBSTITUTE(Master_Reference[[#This Row],[C-Flex 4000K Eco Part Number]],"40-","xx-")</f>
        <v/>
      </c>
      <c r="AE639" t="str">
        <f>SUBSTITUTE(Master_Reference[[#This Row],[C-Flex 4000K 3W Part Number]],"40-","xx-")</f>
        <v>RP-G24Q-226m-2L-8xx-3W-K-G2</v>
      </c>
      <c r="AF639" s="1" t="str">
        <f>_xlfn.IFNA(VLOOKUP(Master_Reference[[#This Row],[C-Flex 3000K Eco Part Number]],Lutron_CFlex_Lookup[],MATCH("Lutron Kit PN",Lutron_CFlex_Lookup[#Headers],0),FALSE),"")</f>
        <v/>
      </c>
      <c r="AG639" s="1" t="str">
        <f>_xlfn.IFNA(VLOOKUP(Master_Reference[[#This Row],[C-Flex 3500K Eco Part Number]],Lutron_CFlex_Lookup[],MATCH("Lutron Kit PN",Lutron_CFlex_Lookup[#Headers],0),FALSE),"")</f>
        <v/>
      </c>
      <c r="AH639" s="1" t="str">
        <f>_xlfn.IFNA(VLOOKUP(Master_Reference[[#This Row],[C-Flex 4000K Eco Part Number]],Lutron_CFlex_Lookup[],MATCH("Lutron Kit PN",Lutron_CFlex_Lookup[#Headers],0),FALSE),"")</f>
        <v/>
      </c>
      <c r="AI639" s="1" t="str">
        <f>_xlfn.IFNA(VLOOKUP(Master_Reference[[#This Row],[C-Flex 5000K Eco Part Number]],Lutron_CFlex_Lookup[],MATCH("Lutron Kit PN",Lutron_CFlex_Lookup[#Headers],0),FALSE),"")</f>
        <v/>
      </c>
      <c r="AJ639" s="1" t="str">
        <f>_xlfn.IFNA(VLOOKUP(Master_Reference[[#This Row],[C-Flex 3000K 3W Part Number]],Lutron_CFlex_Lookup[],MATCH("Lutron Kit PN",Lutron_CFlex_Lookup[#Headers],0),FALSE),"")</f>
        <v/>
      </c>
      <c r="AK639" s="1" t="str">
        <f>_xlfn.IFNA(VLOOKUP(Master_Reference[[#This Row],[C-Flex 3500K 3W Part Number]],Lutron_CFlex_Lookup[],MATCH("Lutron Kit PN",Lutron_CFlex_Lookup[#Headers],0),FALSE),"")</f>
        <v/>
      </c>
      <c r="AL639" s="1" t="str">
        <f>_xlfn.IFNA(VLOOKUP(Master_Reference[[#This Row],[C-Flex 4000K 3W Part Number]],Lutron_CFlex_Lookup[],MATCH("Lutron Kit PN",Lutron_CFlex_Lookup[#Headers],0),FALSE),"")</f>
        <v/>
      </c>
      <c r="AM639" s="1" t="str">
        <f>_xlfn.IFNA(VLOOKUP(Master_Reference[[#This Row],[C-Flex 5000K 3W Part Number]],Lutron_CFlex_Lookup[],MATCH("Lutron Kit PN",Lutron_CFlex_Lookup[#Headers],0),FALSE),"")</f>
        <v/>
      </c>
      <c r="AN639" s="1" t="b">
        <f>NOT(ISNA(VLOOKUP(Master_Reference[[#This Row],[Model Number]],ObsoleteModels[],1,FALSE)))</f>
        <v>1</v>
      </c>
      <c r="AO639" s="1" t="str">
        <f>IF(LEFT(Master_Reference[[#This Row],[Model Number]],1)="U",LEFT(Master_Reference[[#This Row],[Model Number]],4),LEFT(Master_Reference[[#This Row],[Model Number]],3))</f>
        <v>FDB</v>
      </c>
    </row>
    <row r="640" spans="1:41" x14ac:dyDescent="0.25">
      <c r="A640" s="2" t="s">
        <v>929</v>
      </c>
      <c r="B640" s="1"/>
      <c r="C640" s="1" t="b">
        <v>1</v>
      </c>
      <c r="G640" s="1" t="str">
        <f>IF(OR(LEFT(RIGHT(Master_Reference[[#This Row],[Model Number]],3),1)="C",LEFT(RIGHT(Master_Reference[[#This Row],[Model Number]],4),1)="C"),TRUE,"")</f>
        <v/>
      </c>
      <c r="H640" s="1" t="str">
        <f>IF(LEFT(Master_Reference[[#This Row],[Model Number]],1)="U",TRUE,"")</f>
        <v/>
      </c>
      <c r="I640" s="1" t="str">
        <f>IF(Master_Reference[[#This Row],[Lamp Type]]="T4","",IF(Master_Reference[[#This Row],[Case Type]]="M","",TRUE))</f>
        <v/>
      </c>
      <c r="J640" s="1" t="s">
        <v>87</v>
      </c>
      <c r="K640" s="1">
        <v>18</v>
      </c>
      <c r="L640" s="1" t="s">
        <v>88</v>
      </c>
      <c r="M640" s="1">
        <v>2</v>
      </c>
      <c r="N640" s="1">
        <v>120</v>
      </c>
      <c r="O640" s="1" t="s">
        <v>106</v>
      </c>
      <c r="R640" t="b">
        <f>IF(COUNTBLANK(Master_Reference[[#This Row],[C-Flex 3000K Eco Part Number]:[C-Flex 4000K Eco Part Number]])=3,FALSE,TRUE)</f>
        <v>0</v>
      </c>
      <c r="S640" t="b">
        <f>IF(COUNTBLANK(Master_Reference[[#This Row],[C-Flex 3000K 3W Part Number]:[C-Flex 4000K 3W Part Number]])=3,FALSE,TRUE)</f>
        <v>1</v>
      </c>
      <c r="T640" s="1" t="b">
        <f>IF(COUNTBLANK(Master_Reference[[#This Row],[Lutron 3000K Eco Part Number]:[Lutron 4000K Eco Part Number]])=3,FALSE,TRUE)</f>
        <v>0</v>
      </c>
      <c r="U640" s="1" t="b">
        <f>IF(COUNTBLANK(Master_Reference[[#This Row],[Lutron 3000K 3W Part Number]:[Lutron 4000K 3W Part Number]])=3,FALSE,TRUE)</f>
        <v>0</v>
      </c>
      <c r="V640" s="13"/>
      <c r="W640" s="13"/>
      <c r="X640" s="12"/>
      <c r="Y640" t="s">
        <v>2125</v>
      </c>
      <c r="Z640" s="12" t="s">
        <v>1567</v>
      </c>
      <c r="AA640" s="12" t="s">
        <v>1568</v>
      </c>
      <c r="AB640" s="12" t="s">
        <v>1569</v>
      </c>
      <c r="AC640" t="s">
        <v>2125</v>
      </c>
      <c r="AD640" t="str">
        <f>SUBSTITUTE(Master_Reference[[#This Row],[C-Flex 4000K Eco Part Number]],"40-","xx-")</f>
        <v/>
      </c>
      <c r="AE640" t="str">
        <f>SUBSTITUTE(Master_Reference[[#This Row],[C-Flex 4000K 3W Part Number]],"40-","xx-")</f>
        <v>RP-G24Q-226m-2L-8xx-3W-KN-G2</v>
      </c>
      <c r="AF640" s="1" t="str">
        <f>_xlfn.IFNA(VLOOKUP(Master_Reference[[#This Row],[C-Flex 3000K Eco Part Number]],Lutron_CFlex_Lookup[],MATCH("Lutron Kit PN",Lutron_CFlex_Lookup[#Headers],0),FALSE),"")</f>
        <v/>
      </c>
      <c r="AG640" s="1" t="str">
        <f>_xlfn.IFNA(VLOOKUP(Master_Reference[[#This Row],[C-Flex 3500K Eco Part Number]],Lutron_CFlex_Lookup[],MATCH("Lutron Kit PN",Lutron_CFlex_Lookup[#Headers],0),FALSE),"")</f>
        <v/>
      </c>
      <c r="AH640" s="1" t="str">
        <f>_xlfn.IFNA(VLOOKUP(Master_Reference[[#This Row],[C-Flex 4000K Eco Part Number]],Lutron_CFlex_Lookup[],MATCH("Lutron Kit PN",Lutron_CFlex_Lookup[#Headers],0),FALSE),"")</f>
        <v/>
      </c>
      <c r="AI640" s="1" t="str">
        <f>_xlfn.IFNA(VLOOKUP(Master_Reference[[#This Row],[C-Flex 5000K Eco Part Number]],Lutron_CFlex_Lookup[],MATCH("Lutron Kit PN",Lutron_CFlex_Lookup[#Headers],0),FALSE),"")</f>
        <v/>
      </c>
      <c r="AJ640" s="1" t="str">
        <f>_xlfn.IFNA(VLOOKUP(Master_Reference[[#This Row],[C-Flex 3000K 3W Part Number]],Lutron_CFlex_Lookup[],MATCH("Lutron Kit PN",Lutron_CFlex_Lookup[#Headers],0),FALSE),"")</f>
        <v/>
      </c>
      <c r="AK640" s="1" t="str">
        <f>_xlfn.IFNA(VLOOKUP(Master_Reference[[#This Row],[C-Flex 3500K 3W Part Number]],Lutron_CFlex_Lookup[],MATCH("Lutron Kit PN",Lutron_CFlex_Lookup[#Headers],0),FALSE),"")</f>
        <v/>
      </c>
      <c r="AL640" s="1" t="str">
        <f>_xlfn.IFNA(VLOOKUP(Master_Reference[[#This Row],[C-Flex 4000K 3W Part Number]],Lutron_CFlex_Lookup[],MATCH("Lutron Kit PN",Lutron_CFlex_Lookup[#Headers],0),FALSE),"")</f>
        <v/>
      </c>
      <c r="AM640" s="1" t="str">
        <f>_xlfn.IFNA(VLOOKUP(Master_Reference[[#This Row],[C-Flex 5000K 3W Part Number]],Lutron_CFlex_Lookup[],MATCH("Lutron Kit PN",Lutron_CFlex_Lookup[#Headers],0),FALSE),"")</f>
        <v/>
      </c>
      <c r="AN640" s="1" t="b">
        <f>NOT(ISNA(VLOOKUP(Master_Reference[[#This Row],[Model Number]],ObsoleteModels[],1,FALSE)))</f>
        <v>1</v>
      </c>
      <c r="AO640" s="1" t="str">
        <f>IF(LEFT(Master_Reference[[#This Row],[Model Number]],1)="U",LEFT(Master_Reference[[#This Row],[Model Number]],4),LEFT(Master_Reference[[#This Row],[Model Number]],3))</f>
        <v>FDB</v>
      </c>
    </row>
    <row r="641" spans="1:41" x14ac:dyDescent="0.25">
      <c r="A641" s="2" t="s">
        <v>930</v>
      </c>
      <c r="B641" s="1"/>
      <c r="C641" s="1" t="b">
        <v>1</v>
      </c>
      <c r="G641" s="1" t="str">
        <f>IF(OR(LEFT(RIGHT(Master_Reference[[#This Row],[Model Number]],3),1)="C",LEFT(RIGHT(Master_Reference[[#This Row],[Model Number]],4),1)="C"),TRUE,"")</f>
        <v/>
      </c>
      <c r="H641" s="1" t="str">
        <f>IF(LEFT(Master_Reference[[#This Row],[Model Number]],1)="U",TRUE,"")</f>
        <v/>
      </c>
      <c r="I641" s="1" t="str">
        <f>IF(Master_Reference[[#This Row],[Lamp Type]]="T4","",IF(Master_Reference[[#This Row],[Case Type]]="M","",TRUE))</f>
        <v/>
      </c>
      <c r="J641" s="1" t="s">
        <v>87</v>
      </c>
      <c r="K641" s="1">
        <v>18</v>
      </c>
      <c r="L641" s="1" t="s">
        <v>88</v>
      </c>
      <c r="M641" s="1">
        <v>1</v>
      </c>
      <c r="N641" s="1">
        <v>240</v>
      </c>
      <c r="O641" s="1" t="s">
        <v>89</v>
      </c>
      <c r="Q641" s="1" t="s">
        <v>456</v>
      </c>
      <c r="R641" t="b">
        <f>IF(COUNTBLANK(Master_Reference[[#This Row],[C-Flex 3000K Eco Part Number]:[C-Flex 4000K Eco Part Number]])=3,FALSE,TRUE)</f>
        <v>0</v>
      </c>
      <c r="S641" t="b">
        <f>IF(COUNTBLANK(Master_Reference[[#This Row],[C-Flex 3000K 3W Part Number]:[C-Flex 4000K 3W Part Number]])=3,FALSE,TRUE)</f>
        <v>0</v>
      </c>
      <c r="T641" s="1" t="b">
        <f>IF(COUNTBLANK(Master_Reference[[#This Row],[Lutron 3000K Eco Part Number]:[Lutron 4000K Eco Part Number]])=3,FALSE,TRUE)</f>
        <v>0</v>
      </c>
      <c r="U641" s="1" t="b">
        <f>IF(COUNTBLANK(Master_Reference[[#This Row],[Lutron 3000K 3W Part Number]:[Lutron 4000K 3W Part Number]])=3,FALSE,TRUE)</f>
        <v>0</v>
      </c>
      <c r="V641" s="13"/>
      <c r="W641" s="13"/>
      <c r="X641" s="12"/>
      <c r="Y641" t="s">
        <v>2125</v>
      </c>
      <c r="Z641" s="12"/>
      <c r="AA641" s="12"/>
      <c r="AB641" s="12"/>
      <c r="AC641" t="s">
        <v>2125</v>
      </c>
      <c r="AD641" t="str">
        <f>SUBSTITUTE(Master_Reference[[#This Row],[C-Flex 4000K Eco Part Number]],"40-","xx-")</f>
        <v/>
      </c>
      <c r="AE641" t="str">
        <f>SUBSTITUTE(Master_Reference[[#This Row],[C-Flex 4000K 3W Part Number]],"40-","xx-")</f>
        <v/>
      </c>
      <c r="AF641" s="1" t="str">
        <f>_xlfn.IFNA(VLOOKUP(Master_Reference[[#This Row],[C-Flex 3000K Eco Part Number]],Lutron_CFlex_Lookup[],MATCH("Lutron Kit PN",Lutron_CFlex_Lookup[#Headers],0),FALSE),"")</f>
        <v/>
      </c>
      <c r="AG641" s="1" t="str">
        <f>_xlfn.IFNA(VLOOKUP(Master_Reference[[#This Row],[C-Flex 3500K Eco Part Number]],Lutron_CFlex_Lookup[],MATCH("Lutron Kit PN",Lutron_CFlex_Lookup[#Headers],0),FALSE),"")</f>
        <v/>
      </c>
      <c r="AH641" s="1" t="str">
        <f>_xlfn.IFNA(VLOOKUP(Master_Reference[[#This Row],[C-Flex 4000K Eco Part Number]],Lutron_CFlex_Lookup[],MATCH("Lutron Kit PN",Lutron_CFlex_Lookup[#Headers],0),FALSE),"")</f>
        <v/>
      </c>
      <c r="AI641" s="1" t="str">
        <f>_xlfn.IFNA(VLOOKUP(Master_Reference[[#This Row],[C-Flex 5000K Eco Part Number]],Lutron_CFlex_Lookup[],MATCH("Lutron Kit PN",Lutron_CFlex_Lookup[#Headers],0),FALSE),"")</f>
        <v/>
      </c>
      <c r="AJ641" s="1" t="str">
        <f>_xlfn.IFNA(VLOOKUP(Master_Reference[[#This Row],[C-Flex 3000K 3W Part Number]],Lutron_CFlex_Lookup[],MATCH("Lutron Kit PN",Lutron_CFlex_Lookup[#Headers],0),FALSE),"")</f>
        <v/>
      </c>
      <c r="AK641" s="1" t="str">
        <f>_xlfn.IFNA(VLOOKUP(Master_Reference[[#This Row],[C-Flex 3500K 3W Part Number]],Lutron_CFlex_Lookup[],MATCH("Lutron Kit PN",Lutron_CFlex_Lookup[#Headers],0),FALSE),"")</f>
        <v/>
      </c>
      <c r="AL641" s="1" t="str">
        <f>_xlfn.IFNA(VLOOKUP(Master_Reference[[#This Row],[C-Flex 4000K 3W Part Number]],Lutron_CFlex_Lookup[],MATCH("Lutron Kit PN",Lutron_CFlex_Lookup[#Headers],0),FALSE),"")</f>
        <v/>
      </c>
      <c r="AM641" s="1" t="str">
        <f>_xlfn.IFNA(VLOOKUP(Master_Reference[[#This Row],[C-Flex 5000K 3W Part Number]],Lutron_CFlex_Lookup[],MATCH("Lutron Kit PN",Lutron_CFlex_Lookup[#Headers],0),FALSE),"")</f>
        <v/>
      </c>
      <c r="AN641" s="1" t="b">
        <f>NOT(ISNA(VLOOKUP(Master_Reference[[#This Row],[Model Number]],ObsoleteModels[],1,FALSE)))</f>
        <v>1</v>
      </c>
      <c r="AO641" s="1" t="str">
        <f>IF(LEFT(Master_Reference[[#This Row],[Model Number]],1)="U",LEFT(Master_Reference[[#This Row],[Model Number]],4),LEFT(Master_Reference[[#This Row],[Model Number]],3))</f>
        <v>FDB</v>
      </c>
    </row>
    <row r="642" spans="1:41" x14ac:dyDescent="0.25">
      <c r="A642" s="2" t="s">
        <v>931</v>
      </c>
      <c r="B642" s="1"/>
      <c r="C642" s="1" t="b">
        <v>1</v>
      </c>
      <c r="G642" s="1" t="str">
        <f>IF(OR(LEFT(RIGHT(Master_Reference[[#This Row],[Model Number]],3),1)="C",LEFT(RIGHT(Master_Reference[[#This Row],[Model Number]],4),1)="C"),TRUE,"")</f>
        <v/>
      </c>
      <c r="H642" s="1" t="str">
        <f>IF(LEFT(Master_Reference[[#This Row],[Model Number]],1)="U",TRUE,"")</f>
        <v/>
      </c>
      <c r="I642" s="1" t="str">
        <f>IF(Master_Reference[[#This Row],[Lamp Type]]="T4","",IF(Master_Reference[[#This Row],[Case Type]]="M","",TRUE))</f>
        <v/>
      </c>
      <c r="J642" s="1" t="s">
        <v>87</v>
      </c>
      <c r="K642" s="1">
        <v>18</v>
      </c>
      <c r="L642" s="1" t="s">
        <v>88</v>
      </c>
      <c r="M642" s="1">
        <v>1</v>
      </c>
      <c r="N642" s="1">
        <v>277</v>
      </c>
      <c r="O642" s="1" t="s">
        <v>89</v>
      </c>
      <c r="P642" s="1" t="b">
        <v>1</v>
      </c>
      <c r="R642" t="b">
        <f>IF(COUNTBLANK(Master_Reference[[#This Row],[C-Flex 3000K Eco Part Number]:[C-Flex 4000K Eco Part Number]])=3,FALSE,TRUE)</f>
        <v>0</v>
      </c>
      <c r="S642" t="b">
        <f>IF(COUNTBLANK(Master_Reference[[#This Row],[C-Flex 3000K 3W Part Number]:[C-Flex 4000K 3W Part Number]])=3,FALSE,TRUE)</f>
        <v>1</v>
      </c>
      <c r="T642" s="1" t="b">
        <f>IF(COUNTBLANK(Master_Reference[[#This Row],[Lutron 3000K Eco Part Number]:[Lutron 4000K Eco Part Number]])=3,FALSE,TRUE)</f>
        <v>0</v>
      </c>
      <c r="U642" s="1" t="b">
        <f>IF(COUNTBLANK(Master_Reference[[#This Row],[Lutron 3000K 3W Part Number]:[Lutron 4000K 3W Part Number]])=3,FALSE,TRUE)</f>
        <v>0</v>
      </c>
      <c r="V642" s="13"/>
      <c r="W642" s="13"/>
      <c r="X642" s="12"/>
      <c r="Y642" t="s">
        <v>2125</v>
      </c>
      <c r="Z642" s="12" t="s">
        <v>161</v>
      </c>
      <c r="AA642" s="12" t="s">
        <v>162</v>
      </c>
      <c r="AB642" s="12" t="s">
        <v>163</v>
      </c>
      <c r="AC642" t="s">
        <v>2125</v>
      </c>
      <c r="AD642" t="str">
        <f>SUBSTITUTE(Master_Reference[[#This Row],[C-Flex 4000K Eco Part Number]],"40-","xx-")</f>
        <v/>
      </c>
      <c r="AE642" t="str">
        <f>SUBSTITUTE(Master_Reference[[#This Row],[C-Flex 4000K 3W Part Number]],"40-","xx-")</f>
        <v>RP-G24Q-126m-1L-8xx-3W-K-G2</v>
      </c>
      <c r="AF642" s="1" t="str">
        <f>_xlfn.IFNA(VLOOKUP(Master_Reference[[#This Row],[C-Flex 3000K Eco Part Number]],Lutron_CFlex_Lookup[],MATCH("Lutron Kit PN",Lutron_CFlex_Lookup[#Headers],0),FALSE),"")</f>
        <v/>
      </c>
      <c r="AG642" s="1" t="str">
        <f>_xlfn.IFNA(VLOOKUP(Master_Reference[[#This Row],[C-Flex 3500K Eco Part Number]],Lutron_CFlex_Lookup[],MATCH("Lutron Kit PN",Lutron_CFlex_Lookup[#Headers],0),FALSE),"")</f>
        <v/>
      </c>
      <c r="AH642" s="1" t="str">
        <f>_xlfn.IFNA(VLOOKUP(Master_Reference[[#This Row],[C-Flex 4000K Eco Part Number]],Lutron_CFlex_Lookup[],MATCH("Lutron Kit PN",Lutron_CFlex_Lookup[#Headers],0),FALSE),"")</f>
        <v/>
      </c>
      <c r="AI642" s="1" t="str">
        <f>_xlfn.IFNA(VLOOKUP(Master_Reference[[#This Row],[C-Flex 5000K Eco Part Number]],Lutron_CFlex_Lookup[],MATCH("Lutron Kit PN",Lutron_CFlex_Lookup[#Headers],0),FALSE),"")</f>
        <v/>
      </c>
      <c r="AJ642" s="1" t="str">
        <f>_xlfn.IFNA(VLOOKUP(Master_Reference[[#This Row],[C-Flex 3000K 3W Part Number]],Lutron_CFlex_Lookup[],MATCH("Lutron Kit PN",Lutron_CFlex_Lookup[#Headers],0),FALSE),"")</f>
        <v/>
      </c>
      <c r="AK642" s="1" t="str">
        <f>_xlfn.IFNA(VLOOKUP(Master_Reference[[#This Row],[C-Flex 3500K 3W Part Number]],Lutron_CFlex_Lookup[],MATCH("Lutron Kit PN",Lutron_CFlex_Lookup[#Headers],0),FALSE),"")</f>
        <v/>
      </c>
      <c r="AL642" s="1" t="str">
        <f>_xlfn.IFNA(VLOOKUP(Master_Reference[[#This Row],[C-Flex 4000K 3W Part Number]],Lutron_CFlex_Lookup[],MATCH("Lutron Kit PN",Lutron_CFlex_Lookup[#Headers],0),FALSE),"")</f>
        <v/>
      </c>
      <c r="AM642" s="1" t="str">
        <f>_xlfn.IFNA(VLOOKUP(Master_Reference[[#This Row],[C-Flex 5000K 3W Part Number]],Lutron_CFlex_Lookup[],MATCH("Lutron Kit PN",Lutron_CFlex_Lookup[#Headers],0),FALSE),"")</f>
        <v/>
      </c>
      <c r="AN642" s="1" t="b">
        <f>NOT(ISNA(VLOOKUP(Master_Reference[[#This Row],[Model Number]],ObsoleteModels[],1,FALSE)))</f>
        <v>1</v>
      </c>
      <c r="AO642" s="1" t="str">
        <f>IF(LEFT(Master_Reference[[#This Row],[Model Number]],1)="U",LEFT(Master_Reference[[#This Row],[Model Number]],4),LEFT(Master_Reference[[#This Row],[Model Number]],3))</f>
        <v>FDB</v>
      </c>
    </row>
    <row r="643" spans="1:41" x14ac:dyDescent="0.25">
      <c r="A643" s="2" t="s">
        <v>932</v>
      </c>
      <c r="B643" s="1"/>
      <c r="C643" s="1" t="b">
        <v>1</v>
      </c>
      <c r="G643" s="1" t="str">
        <f>IF(OR(LEFT(RIGHT(Master_Reference[[#This Row],[Model Number]],3),1)="C",LEFT(RIGHT(Master_Reference[[#This Row],[Model Number]],4),1)="C"),TRUE,"")</f>
        <v/>
      </c>
      <c r="H643" s="1" t="str">
        <f>IF(LEFT(Master_Reference[[#This Row],[Model Number]],1)="U",TRUE,"")</f>
        <v/>
      </c>
      <c r="I643" s="1" t="str">
        <f>IF(Master_Reference[[#This Row],[Lamp Type]]="T4","",IF(Master_Reference[[#This Row],[Case Type]]="M","",TRUE))</f>
        <v/>
      </c>
      <c r="J643" s="1" t="s">
        <v>87</v>
      </c>
      <c r="K643" s="1">
        <v>18</v>
      </c>
      <c r="L643" s="1" t="s">
        <v>88</v>
      </c>
      <c r="M643" s="1">
        <v>1</v>
      </c>
      <c r="N643" s="1">
        <v>277</v>
      </c>
      <c r="O643" s="1" t="s">
        <v>89</v>
      </c>
      <c r="R643" t="b">
        <f>IF(COUNTBLANK(Master_Reference[[#This Row],[C-Flex 3000K Eco Part Number]:[C-Flex 4000K Eco Part Number]])=3,FALSE,TRUE)</f>
        <v>0</v>
      </c>
      <c r="S643" t="b">
        <f>IF(COUNTBLANK(Master_Reference[[#This Row],[C-Flex 3000K 3W Part Number]:[C-Flex 4000K 3W Part Number]])=3,FALSE,TRUE)</f>
        <v>1</v>
      </c>
      <c r="T643" s="1" t="b">
        <f>IF(COUNTBLANK(Master_Reference[[#This Row],[Lutron 3000K Eco Part Number]:[Lutron 4000K Eco Part Number]])=3,FALSE,TRUE)</f>
        <v>0</v>
      </c>
      <c r="U643" s="1" t="b">
        <f>IF(COUNTBLANK(Master_Reference[[#This Row],[Lutron 3000K 3W Part Number]:[Lutron 4000K 3W Part Number]])=3,FALSE,TRUE)</f>
        <v>0</v>
      </c>
      <c r="V643" s="13"/>
      <c r="W643" s="13"/>
      <c r="X643" s="12"/>
      <c r="Y643" t="s">
        <v>2125</v>
      </c>
      <c r="Z643" s="12" t="s">
        <v>154</v>
      </c>
      <c r="AA643" s="12" t="s">
        <v>155</v>
      </c>
      <c r="AB643" s="12" t="s">
        <v>156</v>
      </c>
      <c r="AC643" t="s">
        <v>2125</v>
      </c>
      <c r="AD643" t="str">
        <f>SUBSTITUTE(Master_Reference[[#This Row],[C-Flex 4000K Eco Part Number]],"40-","xx-")</f>
        <v/>
      </c>
      <c r="AE643" t="str">
        <f>SUBSTITUTE(Master_Reference[[#This Row],[C-Flex 4000K 3W Part Number]],"40-","xx-")</f>
        <v>RP-G24Q-126m-1L-8xx-3W-KN-G2</v>
      </c>
      <c r="AF643" s="1" t="str">
        <f>_xlfn.IFNA(VLOOKUP(Master_Reference[[#This Row],[C-Flex 3000K Eco Part Number]],Lutron_CFlex_Lookup[],MATCH("Lutron Kit PN",Lutron_CFlex_Lookup[#Headers],0),FALSE),"")</f>
        <v/>
      </c>
      <c r="AG643" s="1" t="str">
        <f>_xlfn.IFNA(VLOOKUP(Master_Reference[[#This Row],[C-Flex 3500K Eco Part Number]],Lutron_CFlex_Lookup[],MATCH("Lutron Kit PN",Lutron_CFlex_Lookup[#Headers],0),FALSE),"")</f>
        <v/>
      </c>
      <c r="AH643" s="1" t="str">
        <f>_xlfn.IFNA(VLOOKUP(Master_Reference[[#This Row],[C-Flex 4000K Eco Part Number]],Lutron_CFlex_Lookup[],MATCH("Lutron Kit PN",Lutron_CFlex_Lookup[#Headers],0),FALSE),"")</f>
        <v/>
      </c>
      <c r="AI643" s="1" t="str">
        <f>_xlfn.IFNA(VLOOKUP(Master_Reference[[#This Row],[C-Flex 5000K Eco Part Number]],Lutron_CFlex_Lookup[],MATCH("Lutron Kit PN",Lutron_CFlex_Lookup[#Headers],0),FALSE),"")</f>
        <v/>
      </c>
      <c r="AJ643" s="1" t="str">
        <f>_xlfn.IFNA(VLOOKUP(Master_Reference[[#This Row],[C-Flex 3000K 3W Part Number]],Lutron_CFlex_Lookup[],MATCH("Lutron Kit PN",Lutron_CFlex_Lookup[#Headers],0),FALSE),"")</f>
        <v/>
      </c>
      <c r="AK643" s="1" t="str">
        <f>_xlfn.IFNA(VLOOKUP(Master_Reference[[#This Row],[C-Flex 3500K 3W Part Number]],Lutron_CFlex_Lookup[],MATCH("Lutron Kit PN",Lutron_CFlex_Lookup[#Headers],0),FALSE),"")</f>
        <v/>
      </c>
      <c r="AL643" s="1" t="str">
        <f>_xlfn.IFNA(VLOOKUP(Master_Reference[[#This Row],[C-Flex 4000K 3W Part Number]],Lutron_CFlex_Lookup[],MATCH("Lutron Kit PN",Lutron_CFlex_Lookup[#Headers],0),FALSE),"")</f>
        <v/>
      </c>
      <c r="AM643" s="1" t="str">
        <f>_xlfn.IFNA(VLOOKUP(Master_Reference[[#This Row],[C-Flex 5000K 3W Part Number]],Lutron_CFlex_Lookup[],MATCH("Lutron Kit PN",Lutron_CFlex_Lookup[#Headers],0),FALSE),"")</f>
        <v/>
      </c>
      <c r="AN643" s="1" t="b">
        <f>NOT(ISNA(VLOOKUP(Master_Reference[[#This Row],[Model Number]],ObsoleteModels[],1,FALSE)))</f>
        <v>1</v>
      </c>
      <c r="AO643" s="1" t="str">
        <f>IF(LEFT(Master_Reference[[#This Row],[Model Number]],1)="U",LEFT(Master_Reference[[#This Row],[Model Number]],4),LEFT(Master_Reference[[#This Row],[Model Number]],3))</f>
        <v>FDB</v>
      </c>
    </row>
    <row r="644" spans="1:41" x14ac:dyDescent="0.25">
      <c r="A644" s="2" t="s">
        <v>933</v>
      </c>
      <c r="B644" s="1"/>
      <c r="C644" s="1" t="b">
        <v>1</v>
      </c>
      <c r="G644" s="1" t="str">
        <f>IF(OR(LEFT(RIGHT(Master_Reference[[#This Row],[Model Number]],3),1)="C",LEFT(RIGHT(Master_Reference[[#This Row],[Model Number]],4),1)="C"),TRUE,"")</f>
        <v/>
      </c>
      <c r="H644" s="1" t="str">
        <f>IF(LEFT(Master_Reference[[#This Row],[Model Number]],1)="U",TRUE,"")</f>
        <v/>
      </c>
      <c r="I644" s="1" t="str">
        <f>IF(Master_Reference[[#This Row],[Lamp Type]]="T4","",IF(Master_Reference[[#This Row],[Case Type]]="M","",TRUE))</f>
        <v/>
      </c>
      <c r="J644" s="1" t="s">
        <v>87</v>
      </c>
      <c r="K644" s="1">
        <v>18</v>
      </c>
      <c r="L644" s="1" t="s">
        <v>88</v>
      </c>
      <c r="M644" s="1">
        <v>2</v>
      </c>
      <c r="N644" s="1">
        <v>277</v>
      </c>
      <c r="O644" s="1" t="s">
        <v>106</v>
      </c>
      <c r="P644" s="1" t="b">
        <v>1</v>
      </c>
      <c r="R644" t="b">
        <f>IF(COUNTBLANK(Master_Reference[[#This Row],[C-Flex 3000K Eco Part Number]:[C-Flex 4000K Eco Part Number]])=3,FALSE,TRUE)</f>
        <v>0</v>
      </c>
      <c r="S644" t="b">
        <f>IF(COUNTBLANK(Master_Reference[[#This Row],[C-Flex 3000K 3W Part Number]:[C-Flex 4000K 3W Part Number]])=3,FALSE,TRUE)</f>
        <v>1</v>
      </c>
      <c r="T644" s="1" t="b">
        <f>IF(COUNTBLANK(Master_Reference[[#This Row],[Lutron 3000K Eco Part Number]:[Lutron 4000K Eco Part Number]])=3,FALSE,TRUE)</f>
        <v>0</v>
      </c>
      <c r="U644" s="1" t="b">
        <f>IF(COUNTBLANK(Master_Reference[[#This Row],[Lutron 3000K 3W Part Number]:[Lutron 4000K 3W Part Number]])=3,FALSE,TRUE)</f>
        <v>0</v>
      </c>
      <c r="V644" s="13"/>
      <c r="W644" s="13"/>
      <c r="X644" s="12"/>
      <c r="Y644" t="s">
        <v>2125</v>
      </c>
      <c r="Z644" s="12" t="s">
        <v>1573</v>
      </c>
      <c r="AA644" s="12" t="s">
        <v>1574</v>
      </c>
      <c r="AB644" s="12" t="s">
        <v>1575</v>
      </c>
      <c r="AC644" t="s">
        <v>2125</v>
      </c>
      <c r="AD644" t="str">
        <f>SUBSTITUTE(Master_Reference[[#This Row],[C-Flex 4000K Eco Part Number]],"40-","xx-")</f>
        <v/>
      </c>
      <c r="AE644" t="str">
        <f>SUBSTITUTE(Master_Reference[[#This Row],[C-Flex 4000K 3W Part Number]],"40-","xx-")</f>
        <v>RP-G24Q-226m-2L-8xx-3W-K-G2</v>
      </c>
      <c r="AF644" s="1" t="str">
        <f>_xlfn.IFNA(VLOOKUP(Master_Reference[[#This Row],[C-Flex 3000K Eco Part Number]],Lutron_CFlex_Lookup[],MATCH("Lutron Kit PN",Lutron_CFlex_Lookup[#Headers],0),FALSE),"")</f>
        <v/>
      </c>
      <c r="AG644" s="1" t="str">
        <f>_xlfn.IFNA(VLOOKUP(Master_Reference[[#This Row],[C-Flex 3500K Eco Part Number]],Lutron_CFlex_Lookup[],MATCH("Lutron Kit PN",Lutron_CFlex_Lookup[#Headers],0),FALSE),"")</f>
        <v/>
      </c>
      <c r="AH644" s="1" t="str">
        <f>_xlfn.IFNA(VLOOKUP(Master_Reference[[#This Row],[C-Flex 4000K Eco Part Number]],Lutron_CFlex_Lookup[],MATCH("Lutron Kit PN",Lutron_CFlex_Lookup[#Headers],0),FALSE),"")</f>
        <v/>
      </c>
      <c r="AI644" s="1" t="str">
        <f>_xlfn.IFNA(VLOOKUP(Master_Reference[[#This Row],[C-Flex 5000K Eco Part Number]],Lutron_CFlex_Lookup[],MATCH("Lutron Kit PN",Lutron_CFlex_Lookup[#Headers],0),FALSE),"")</f>
        <v/>
      </c>
      <c r="AJ644" s="1" t="str">
        <f>_xlfn.IFNA(VLOOKUP(Master_Reference[[#This Row],[C-Flex 3000K 3W Part Number]],Lutron_CFlex_Lookup[],MATCH("Lutron Kit PN",Lutron_CFlex_Lookup[#Headers],0),FALSE),"")</f>
        <v/>
      </c>
      <c r="AK644" s="1" t="str">
        <f>_xlfn.IFNA(VLOOKUP(Master_Reference[[#This Row],[C-Flex 3500K 3W Part Number]],Lutron_CFlex_Lookup[],MATCH("Lutron Kit PN",Lutron_CFlex_Lookup[#Headers],0),FALSE),"")</f>
        <v/>
      </c>
      <c r="AL644" s="1" t="str">
        <f>_xlfn.IFNA(VLOOKUP(Master_Reference[[#This Row],[C-Flex 4000K 3W Part Number]],Lutron_CFlex_Lookup[],MATCH("Lutron Kit PN",Lutron_CFlex_Lookup[#Headers],0),FALSE),"")</f>
        <v/>
      </c>
      <c r="AM644" s="1" t="str">
        <f>_xlfn.IFNA(VLOOKUP(Master_Reference[[#This Row],[C-Flex 5000K 3W Part Number]],Lutron_CFlex_Lookup[],MATCH("Lutron Kit PN",Lutron_CFlex_Lookup[#Headers],0),FALSE),"")</f>
        <v/>
      </c>
      <c r="AN644" s="1" t="b">
        <f>NOT(ISNA(VLOOKUP(Master_Reference[[#This Row],[Model Number]],ObsoleteModels[],1,FALSE)))</f>
        <v>1</v>
      </c>
      <c r="AO644" s="1" t="str">
        <f>IF(LEFT(Master_Reference[[#This Row],[Model Number]],1)="U",LEFT(Master_Reference[[#This Row],[Model Number]],4),LEFT(Master_Reference[[#This Row],[Model Number]],3))</f>
        <v>FDB</v>
      </c>
    </row>
    <row r="645" spans="1:41" x14ac:dyDescent="0.25">
      <c r="A645" s="2" t="s">
        <v>934</v>
      </c>
      <c r="B645" s="1"/>
      <c r="C645" s="1" t="b">
        <v>1</v>
      </c>
      <c r="G645" s="1" t="str">
        <f>IF(OR(LEFT(RIGHT(Master_Reference[[#This Row],[Model Number]],3),1)="C",LEFT(RIGHT(Master_Reference[[#This Row],[Model Number]],4),1)="C"),TRUE,"")</f>
        <v/>
      </c>
      <c r="H645" s="1" t="str">
        <f>IF(LEFT(Master_Reference[[#This Row],[Model Number]],1)="U",TRUE,"")</f>
        <v/>
      </c>
      <c r="I645" s="1" t="str">
        <f>IF(Master_Reference[[#This Row],[Lamp Type]]="T4","",IF(Master_Reference[[#This Row],[Case Type]]="M","",TRUE))</f>
        <v/>
      </c>
      <c r="J645" s="1" t="s">
        <v>87</v>
      </c>
      <c r="K645" s="1">
        <v>18</v>
      </c>
      <c r="L645" s="1" t="s">
        <v>88</v>
      </c>
      <c r="M645" s="1">
        <v>2</v>
      </c>
      <c r="N645" s="1">
        <v>277</v>
      </c>
      <c r="O645" s="1" t="s">
        <v>106</v>
      </c>
      <c r="R645" t="b">
        <f>IF(COUNTBLANK(Master_Reference[[#This Row],[C-Flex 3000K Eco Part Number]:[C-Flex 4000K Eco Part Number]])=3,FALSE,TRUE)</f>
        <v>0</v>
      </c>
      <c r="S645" t="b">
        <f>IF(COUNTBLANK(Master_Reference[[#This Row],[C-Flex 3000K 3W Part Number]:[C-Flex 4000K 3W Part Number]])=3,FALSE,TRUE)</f>
        <v>1</v>
      </c>
      <c r="T645" s="1" t="b">
        <f>IF(COUNTBLANK(Master_Reference[[#This Row],[Lutron 3000K Eco Part Number]:[Lutron 4000K Eco Part Number]])=3,FALSE,TRUE)</f>
        <v>0</v>
      </c>
      <c r="U645" s="1" t="b">
        <f>IF(COUNTBLANK(Master_Reference[[#This Row],[Lutron 3000K 3W Part Number]:[Lutron 4000K 3W Part Number]])=3,FALSE,TRUE)</f>
        <v>0</v>
      </c>
      <c r="V645" s="13"/>
      <c r="W645" s="13"/>
      <c r="X645" s="12"/>
      <c r="Y645" t="s">
        <v>2125</v>
      </c>
      <c r="Z645" s="12" t="s">
        <v>1567</v>
      </c>
      <c r="AA645" s="12" t="s">
        <v>1568</v>
      </c>
      <c r="AB645" s="12" t="s">
        <v>1569</v>
      </c>
      <c r="AC645" t="s">
        <v>2125</v>
      </c>
      <c r="AD645" t="str">
        <f>SUBSTITUTE(Master_Reference[[#This Row],[C-Flex 4000K Eco Part Number]],"40-","xx-")</f>
        <v/>
      </c>
      <c r="AE645" t="str">
        <f>SUBSTITUTE(Master_Reference[[#This Row],[C-Flex 4000K 3W Part Number]],"40-","xx-")</f>
        <v>RP-G24Q-226m-2L-8xx-3W-KN-G2</v>
      </c>
      <c r="AF645" s="1" t="str">
        <f>_xlfn.IFNA(VLOOKUP(Master_Reference[[#This Row],[C-Flex 3000K Eco Part Number]],Lutron_CFlex_Lookup[],MATCH("Lutron Kit PN",Lutron_CFlex_Lookup[#Headers],0),FALSE),"")</f>
        <v/>
      </c>
      <c r="AG645" s="1" t="str">
        <f>_xlfn.IFNA(VLOOKUP(Master_Reference[[#This Row],[C-Flex 3500K Eco Part Number]],Lutron_CFlex_Lookup[],MATCH("Lutron Kit PN",Lutron_CFlex_Lookup[#Headers],0),FALSE),"")</f>
        <v/>
      </c>
      <c r="AH645" s="1" t="str">
        <f>_xlfn.IFNA(VLOOKUP(Master_Reference[[#This Row],[C-Flex 4000K Eco Part Number]],Lutron_CFlex_Lookup[],MATCH("Lutron Kit PN",Lutron_CFlex_Lookup[#Headers],0),FALSE),"")</f>
        <v/>
      </c>
      <c r="AI645" s="1" t="str">
        <f>_xlfn.IFNA(VLOOKUP(Master_Reference[[#This Row],[C-Flex 5000K Eco Part Number]],Lutron_CFlex_Lookup[],MATCH("Lutron Kit PN",Lutron_CFlex_Lookup[#Headers],0),FALSE),"")</f>
        <v/>
      </c>
      <c r="AJ645" s="1" t="str">
        <f>_xlfn.IFNA(VLOOKUP(Master_Reference[[#This Row],[C-Flex 3000K 3W Part Number]],Lutron_CFlex_Lookup[],MATCH("Lutron Kit PN",Lutron_CFlex_Lookup[#Headers],0),FALSE),"")</f>
        <v/>
      </c>
      <c r="AK645" s="1" t="str">
        <f>_xlfn.IFNA(VLOOKUP(Master_Reference[[#This Row],[C-Flex 3500K 3W Part Number]],Lutron_CFlex_Lookup[],MATCH("Lutron Kit PN",Lutron_CFlex_Lookup[#Headers],0),FALSE),"")</f>
        <v/>
      </c>
      <c r="AL645" s="1" t="str">
        <f>_xlfn.IFNA(VLOOKUP(Master_Reference[[#This Row],[C-Flex 4000K 3W Part Number]],Lutron_CFlex_Lookup[],MATCH("Lutron Kit PN",Lutron_CFlex_Lookup[#Headers],0),FALSE),"")</f>
        <v/>
      </c>
      <c r="AM645" s="1" t="str">
        <f>_xlfn.IFNA(VLOOKUP(Master_Reference[[#This Row],[C-Flex 5000K 3W Part Number]],Lutron_CFlex_Lookup[],MATCH("Lutron Kit PN",Lutron_CFlex_Lookup[#Headers],0),FALSE),"")</f>
        <v/>
      </c>
      <c r="AN645" s="1" t="b">
        <f>NOT(ISNA(VLOOKUP(Master_Reference[[#This Row],[Model Number]],ObsoleteModels[],1,FALSE)))</f>
        <v>1</v>
      </c>
      <c r="AO645" s="1" t="str">
        <f>IF(LEFT(Master_Reference[[#This Row],[Model Number]],1)="U",LEFT(Master_Reference[[#This Row],[Model Number]],4),LEFT(Master_Reference[[#This Row],[Model Number]],3))</f>
        <v>FDB</v>
      </c>
    </row>
    <row r="646" spans="1:41" x14ac:dyDescent="0.25">
      <c r="A646" s="2" t="s">
        <v>935</v>
      </c>
      <c r="B646" s="1"/>
      <c r="C646" s="1" t="b">
        <v>1</v>
      </c>
      <c r="G646" s="1" t="str">
        <f>IF(OR(LEFT(RIGHT(Master_Reference[[#This Row],[Model Number]],3),1)="C",LEFT(RIGHT(Master_Reference[[#This Row],[Model Number]],4),1)="C"),TRUE,"")</f>
        <v/>
      </c>
      <c r="H646" s="1" t="str">
        <f>IF(LEFT(Master_Reference[[#This Row],[Model Number]],1)="U",TRUE,"")</f>
        <v/>
      </c>
      <c r="I646" s="1" t="str">
        <f>IF(Master_Reference[[#This Row],[Lamp Type]]="T4","",IF(Master_Reference[[#This Row],[Case Type]]="M","",TRUE))</f>
        <v/>
      </c>
      <c r="J646" s="1" t="s">
        <v>87</v>
      </c>
      <c r="K646" s="1">
        <v>26</v>
      </c>
      <c r="L646" s="1" t="s">
        <v>88</v>
      </c>
      <c r="M646" s="1">
        <v>1</v>
      </c>
      <c r="N646" s="1">
        <v>120</v>
      </c>
      <c r="O646" s="1" t="s">
        <v>89</v>
      </c>
      <c r="P646" s="1" t="b">
        <v>1</v>
      </c>
      <c r="R646" t="b">
        <f>IF(COUNTBLANK(Master_Reference[[#This Row],[C-Flex 3000K Eco Part Number]:[C-Flex 4000K Eco Part Number]])=3,FALSE,TRUE)</f>
        <v>0</v>
      </c>
      <c r="S646" t="b">
        <f>IF(COUNTBLANK(Master_Reference[[#This Row],[C-Flex 3000K 3W Part Number]:[C-Flex 4000K 3W Part Number]])=3,FALSE,TRUE)</f>
        <v>1</v>
      </c>
      <c r="T646" s="1" t="b">
        <f>IF(COUNTBLANK(Master_Reference[[#This Row],[Lutron 3000K Eco Part Number]:[Lutron 4000K Eco Part Number]])=3,FALSE,TRUE)</f>
        <v>0</v>
      </c>
      <c r="U646" s="1" t="b">
        <f>IF(COUNTBLANK(Master_Reference[[#This Row],[Lutron 3000K 3W Part Number]:[Lutron 4000K 3W Part Number]])=3,FALSE,TRUE)</f>
        <v>0</v>
      </c>
      <c r="V646" s="13"/>
      <c r="W646" s="13"/>
      <c r="X646" s="12"/>
      <c r="Y646" t="s">
        <v>2125</v>
      </c>
      <c r="Z646" s="12" t="s">
        <v>161</v>
      </c>
      <c r="AA646" s="12" t="s">
        <v>162</v>
      </c>
      <c r="AB646" s="12" t="s">
        <v>163</v>
      </c>
      <c r="AC646" t="s">
        <v>2125</v>
      </c>
      <c r="AD646" t="str">
        <f>SUBSTITUTE(Master_Reference[[#This Row],[C-Flex 4000K Eco Part Number]],"40-","xx-")</f>
        <v/>
      </c>
      <c r="AE646" t="str">
        <f>SUBSTITUTE(Master_Reference[[#This Row],[C-Flex 4000K 3W Part Number]],"40-","xx-")</f>
        <v>RP-G24Q-126m-1L-8xx-3W-K-G2</v>
      </c>
      <c r="AF646" s="1" t="str">
        <f>_xlfn.IFNA(VLOOKUP(Master_Reference[[#This Row],[C-Flex 3000K Eco Part Number]],Lutron_CFlex_Lookup[],MATCH("Lutron Kit PN",Lutron_CFlex_Lookup[#Headers],0),FALSE),"")</f>
        <v/>
      </c>
      <c r="AG646" s="1" t="str">
        <f>_xlfn.IFNA(VLOOKUP(Master_Reference[[#This Row],[C-Flex 3500K Eco Part Number]],Lutron_CFlex_Lookup[],MATCH("Lutron Kit PN",Lutron_CFlex_Lookup[#Headers],0),FALSE),"")</f>
        <v/>
      </c>
      <c r="AH646" s="1" t="str">
        <f>_xlfn.IFNA(VLOOKUP(Master_Reference[[#This Row],[C-Flex 4000K Eco Part Number]],Lutron_CFlex_Lookup[],MATCH("Lutron Kit PN",Lutron_CFlex_Lookup[#Headers],0),FALSE),"")</f>
        <v/>
      </c>
      <c r="AI646" s="1" t="str">
        <f>_xlfn.IFNA(VLOOKUP(Master_Reference[[#This Row],[C-Flex 5000K Eco Part Number]],Lutron_CFlex_Lookup[],MATCH("Lutron Kit PN",Lutron_CFlex_Lookup[#Headers],0),FALSE),"")</f>
        <v/>
      </c>
      <c r="AJ646" s="1" t="str">
        <f>_xlfn.IFNA(VLOOKUP(Master_Reference[[#This Row],[C-Flex 3000K 3W Part Number]],Lutron_CFlex_Lookup[],MATCH("Lutron Kit PN",Lutron_CFlex_Lookup[#Headers],0),FALSE),"")</f>
        <v/>
      </c>
      <c r="AK646" s="1" t="str">
        <f>_xlfn.IFNA(VLOOKUP(Master_Reference[[#This Row],[C-Flex 3500K 3W Part Number]],Lutron_CFlex_Lookup[],MATCH("Lutron Kit PN",Lutron_CFlex_Lookup[#Headers],0),FALSE),"")</f>
        <v/>
      </c>
      <c r="AL646" s="1" t="str">
        <f>_xlfn.IFNA(VLOOKUP(Master_Reference[[#This Row],[C-Flex 4000K 3W Part Number]],Lutron_CFlex_Lookup[],MATCH("Lutron Kit PN",Lutron_CFlex_Lookup[#Headers],0),FALSE),"")</f>
        <v/>
      </c>
      <c r="AM646" s="1" t="str">
        <f>_xlfn.IFNA(VLOOKUP(Master_Reference[[#This Row],[C-Flex 5000K 3W Part Number]],Lutron_CFlex_Lookup[],MATCH("Lutron Kit PN",Lutron_CFlex_Lookup[#Headers],0),FALSE),"")</f>
        <v/>
      </c>
      <c r="AN646" s="1" t="b">
        <f>NOT(ISNA(VLOOKUP(Master_Reference[[#This Row],[Model Number]],ObsoleteModels[],1,FALSE)))</f>
        <v>1</v>
      </c>
      <c r="AO646" s="1" t="str">
        <f>IF(LEFT(Master_Reference[[#This Row],[Model Number]],1)="U",LEFT(Master_Reference[[#This Row],[Model Number]],4),LEFT(Master_Reference[[#This Row],[Model Number]],3))</f>
        <v>FDB</v>
      </c>
    </row>
    <row r="647" spans="1:41" x14ac:dyDescent="0.25">
      <c r="A647" s="2" t="s">
        <v>936</v>
      </c>
      <c r="B647" s="1"/>
      <c r="C647" s="1" t="b">
        <v>1</v>
      </c>
      <c r="G647" s="1" t="str">
        <f>IF(OR(LEFT(RIGHT(Master_Reference[[#This Row],[Model Number]],3),1)="C",LEFT(RIGHT(Master_Reference[[#This Row],[Model Number]],4),1)="C"),TRUE,"")</f>
        <v/>
      </c>
      <c r="H647" s="1" t="str">
        <f>IF(LEFT(Master_Reference[[#This Row],[Model Number]],1)="U",TRUE,"")</f>
        <v/>
      </c>
      <c r="I647" s="1" t="str">
        <f>IF(Master_Reference[[#This Row],[Lamp Type]]="T4","",IF(Master_Reference[[#This Row],[Case Type]]="M","",TRUE))</f>
        <v/>
      </c>
      <c r="J647" s="1" t="s">
        <v>87</v>
      </c>
      <c r="K647" s="1">
        <v>26</v>
      </c>
      <c r="L647" s="1" t="s">
        <v>88</v>
      </c>
      <c r="M647" s="1">
        <v>1</v>
      </c>
      <c r="N647" s="1">
        <v>120</v>
      </c>
      <c r="O647" s="1" t="s">
        <v>89</v>
      </c>
      <c r="R647" t="b">
        <f>IF(COUNTBLANK(Master_Reference[[#This Row],[C-Flex 3000K Eco Part Number]:[C-Flex 4000K Eco Part Number]])=3,FALSE,TRUE)</f>
        <v>0</v>
      </c>
      <c r="S647" t="b">
        <f>IF(COUNTBLANK(Master_Reference[[#This Row],[C-Flex 3000K 3W Part Number]:[C-Flex 4000K 3W Part Number]])=3,FALSE,TRUE)</f>
        <v>1</v>
      </c>
      <c r="T647" s="1" t="b">
        <f>IF(COUNTBLANK(Master_Reference[[#This Row],[Lutron 3000K Eco Part Number]:[Lutron 4000K Eco Part Number]])=3,FALSE,TRUE)</f>
        <v>0</v>
      </c>
      <c r="U647" s="1" t="b">
        <f>IF(COUNTBLANK(Master_Reference[[#This Row],[Lutron 3000K 3W Part Number]:[Lutron 4000K 3W Part Number]])=3,FALSE,TRUE)</f>
        <v>0</v>
      </c>
      <c r="V647" s="13"/>
      <c r="W647" s="13"/>
      <c r="X647" s="12"/>
      <c r="Y647" t="s">
        <v>2125</v>
      </c>
      <c r="Z647" s="12" t="s">
        <v>154</v>
      </c>
      <c r="AA647" s="12" t="s">
        <v>155</v>
      </c>
      <c r="AB647" s="12" t="s">
        <v>156</v>
      </c>
      <c r="AC647" t="s">
        <v>2125</v>
      </c>
      <c r="AD647" t="str">
        <f>SUBSTITUTE(Master_Reference[[#This Row],[C-Flex 4000K Eco Part Number]],"40-","xx-")</f>
        <v/>
      </c>
      <c r="AE647" t="str">
        <f>SUBSTITUTE(Master_Reference[[#This Row],[C-Flex 4000K 3W Part Number]],"40-","xx-")</f>
        <v>RP-G24Q-126m-1L-8xx-3W-KN-G2</v>
      </c>
      <c r="AF647" s="1" t="str">
        <f>_xlfn.IFNA(VLOOKUP(Master_Reference[[#This Row],[C-Flex 3000K Eco Part Number]],Lutron_CFlex_Lookup[],MATCH("Lutron Kit PN",Lutron_CFlex_Lookup[#Headers],0),FALSE),"")</f>
        <v/>
      </c>
      <c r="AG647" s="1" t="str">
        <f>_xlfn.IFNA(VLOOKUP(Master_Reference[[#This Row],[C-Flex 3500K Eco Part Number]],Lutron_CFlex_Lookup[],MATCH("Lutron Kit PN",Lutron_CFlex_Lookup[#Headers],0),FALSE),"")</f>
        <v/>
      </c>
      <c r="AH647" s="1" t="str">
        <f>_xlfn.IFNA(VLOOKUP(Master_Reference[[#This Row],[C-Flex 4000K Eco Part Number]],Lutron_CFlex_Lookup[],MATCH("Lutron Kit PN",Lutron_CFlex_Lookup[#Headers],0),FALSE),"")</f>
        <v/>
      </c>
      <c r="AI647" s="1" t="str">
        <f>_xlfn.IFNA(VLOOKUP(Master_Reference[[#This Row],[C-Flex 5000K Eco Part Number]],Lutron_CFlex_Lookup[],MATCH("Lutron Kit PN",Lutron_CFlex_Lookup[#Headers],0),FALSE),"")</f>
        <v/>
      </c>
      <c r="AJ647" s="1" t="str">
        <f>_xlfn.IFNA(VLOOKUP(Master_Reference[[#This Row],[C-Flex 3000K 3W Part Number]],Lutron_CFlex_Lookup[],MATCH("Lutron Kit PN",Lutron_CFlex_Lookup[#Headers],0),FALSE),"")</f>
        <v/>
      </c>
      <c r="AK647" s="1" t="str">
        <f>_xlfn.IFNA(VLOOKUP(Master_Reference[[#This Row],[C-Flex 3500K 3W Part Number]],Lutron_CFlex_Lookup[],MATCH("Lutron Kit PN",Lutron_CFlex_Lookup[#Headers],0),FALSE),"")</f>
        <v/>
      </c>
      <c r="AL647" s="1" t="str">
        <f>_xlfn.IFNA(VLOOKUP(Master_Reference[[#This Row],[C-Flex 4000K 3W Part Number]],Lutron_CFlex_Lookup[],MATCH("Lutron Kit PN",Lutron_CFlex_Lookup[#Headers],0),FALSE),"")</f>
        <v/>
      </c>
      <c r="AM647" s="1" t="str">
        <f>_xlfn.IFNA(VLOOKUP(Master_Reference[[#This Row],[C-Flex 5000K 3W Part Number]],Lutron_CFlex_Lookup[],MATCH("Lutron Kit PN",Lutron_CFlex_Lookup[#Headers],0),FALSE),"")</f>
        <v/>
      </c>
      <c r="AN647" s="1" t="b">
        <f>NOT(ISNA(VLOOKUP(Master_Reference[[#This Row],[Model Number]],ObsoleteModels[],1,FALSE)))</f>
        <v>1</v>
      </c>
      <c r="AO647" s="1" t="str">
        <f>IF(LEFT(Master_Reference[[#This Row],[Model Number]],1)="U",LEFT(Master_Reference[[#This Row],[Model Number]],4),LEFT(Master_Reference[[#This Row],[Model Number]],3))</f>
        <v>FDB</v>
      </c>
    </row>
    <row r="648" spans="1:41" x14ac:dyDescent="0.25">
      <c r="A648" s="2" t="s">
        <v>937</v>
      </c>
      <c r="B648" s="1"/>
      <c r="C648" s="1" t="b">
        <v>1</v>
      </c>
      <c r="G648" s="1" t="str">
        <f>IF(OR(LEFT(RIGHT(Master_Reference[[#This Row],[Model Number]],3),1)="C",LEFT(RIGHT(Master_Reference[[#This Row],[Model Number]],4),1)="C"),TRUE,"")</f>
        <v/>
      </c>
      <c r="H648" s="1" t="str">
        <f>IF(LEFT(Master_Reference[[#This Row],[Model Number]],1)="U",TRUE,"")</f>
        <v/>
      </c>
      <c r="I648" s="1" t="str">
        <f>IF(Master_Reference[[#This Row],[Lamp Type]]="T4","",IF(Master_Reference[[#This Row],[Case Type]]="M","",TRUE))</f>
        <v/>
      </c>
      <c r="J648" s="1" t="s">
        <v>87</v>
      </c>
      <c r="K648" s="1">
        <v>26</v>
      </c>
      <c r="L648" s="1" t="s">
        <v>88</v>
      </c>
      <c r="M648" s="1">
        <v>2</v>
      </c>
      <c r="N648" s="1">
        <v>120</v>
      </c>
      <c r="O648" s="1" t="s">
        <v>106</v>
      </c>
      <c r="P648" s="1" t="b">
        <v>1</v>
      </c>
      <c r="R648" t="b">
        <f>IF(COUNTBLANK(Master_Reference[[#This Row],[C-Flex 3000K Eco Part Number]:[C-Flex 4000K Eco Part Number]])=3,FALSE,TRUE)</f>
        <v>0</v>
      </c>
      <c r="S648" t="b">
        <f>IF(COUNTBLANK(Master_Reference[[#This Row],[C-Flex 3000K 3W Part Number]:[C-Flex 4000K 3W Part Number]])=3,FALSE,TRUE)</f>
        <v>1</v>
      </c>
      <c r="T648" s="1" t="b">
        <f>IF(COUNTBLANK(Master_Reference[[#This Row],[Lutron 3000K Eco Part Number]:[Lutron 4000K Eco Part Number]])=3,FALSE,TRUE)</f>
        <v>0</v>
      </c>
      <c r="U648" s="1" t="b">
        <f>IF(COUNTBLANK(Master_Reference[[#This Row],[Lutron 3000K 3W Part Number]:[Lutron 4000K 3W Part Number]])=3,FALSE,TRUE)</f>
        <v>0</v>
      </c>
      <c r="V648" s="13"/>
      <c r="W648" s="13"/>
      <c r="X648" s="12"/>
      <c r="Y648" t="s">
        <v>2125</v>
      </c>
      <c r="Z648" s="12" t="s">
        <v>1573</v>
      </c>
      <c r="AA648" s="12" t="s">
        <v>1574</v>
      </c>
      <c r="AB648" s="12" t="s">
        <v>1575</v>
      </c>
      <c r="AC648" t="s">
        <v>2125</v>
      </c>
      <c r="AD648" t="str">
        <f>SUBSTITUTE(Master_Reference[[#This Row],[C-Flex 4000K Eco Part Number]],"40-","xx-")</f>
        <v/>
      </c>
      <c r="AE648" t="str">
        <f>SUBSTITUTE(Master_Reference[[#This Row],[C-Flex 4000K 3W Part Number]],"40-","xx-")</f>
        <v>RP-G24Q-226m-2L-8xx-3W-K-G2</v>
      </c>
      <c r="AF648" s="1" t="str">
        <f>_xlfn.IFNA(VLOOKUP(Master_Reference[[#This Row],[C-Flex 3000K Eco Part Number]],Lutron_CFlex_Lookup[],MATCH("Lutron Kit PN",Lutron_CFlex_Lookup[#Headers],0),FALSE),"")</f>
        <v/>
      </c>
      <c r="AG648" s="1" t="str">
        <f>_xlfn.IFNA(VLOOKUP(Master_Reference[[#This Row],[C-Flex 3500K Eco Part Number]],Lutron_CFlex_Lookup[],MATCH("Lutron Kit PN",Lutron_CFlex_Lookup[#Headers],0),FALSE),"")</f>
        <v/>
      </c>
      <c r="AH648" s="1" t="str">
        <f>_xlfn.IFNA(VLOOKUP(Master_Reference[[#This Row],[C-Flex 4000K Eco Part Number]],Lutron_CFlex_Lookup[],MATCH("Lutron Kit PN",Lutron_CFlex_Lookup[#Headers],0),FALSE),"")</f>
        <v/>
      </c>
      <c r="AI648" s="1" t="str">
        <f>_xlfn.IFNA(VLOOKUP(Master_Reference[[#This Row],[C-Flex 5000K Eco Part Number]],Lutron_CFlex_Lookup[],MATCH("Lutron Kit PN",Lutron_CFlex_Lookup[#Headers],0),FALSE),"")</f>
        <v/>
      </c>
      <c r="AJ648" s="1" t="str">
        <f>_xlfn.IFNA(VLOOKUP(Master_Reference[[#This Row],[C-Flex 3000K 3W Part Number]],Lutron_CFlex_Lookup[],MATCH("Lutron Kit PN",Lutron_CFlex_Lookup[#Headers],0),FALSE),"")</f>
        <v/>
      </c>
      <c r="AK648" s="1" t="str">
        <f>_xlfn.IFNA(VLOOKUP(Master_Reference[[#This Row],[C-Flex 3500K 3W Part Number]],Lutron_CFlex_Lookup[],MATCH("Lutron Kit PN",Lutron_CFlex_Lookup[#Headers],0),FALSE),"")</f>
        <v/>
      </c>
      <c r="AL648" s="1" t="str">
        <f>_xlfn.IFNA(VLOOKUP(Master_Reference[[#This Row],[C-Flex 4000K 3W Part Number]],Lutron_CFlex_Lookup[],MATCH("Lutron Kit PN",Lutron_CFlex_Lookup[#Headers],0),FALSE),"")</f>
        <v/>
      </c>
      <c r="AM648" s="1" t="str">
        <f>_xlfn.IFNA(VLOOKUP(Master_Reference[[#This Row],[C-Flex 5000K 3W Part Number]],Lutron_CFlex_Lookup[],MATCH("Lutron Kit PN",Lutron_CFlex_Lookup[#Headers],0),FALSE),"")</f>
        <v/>
      </c>
      <c r="AN648" s="1" t="b">
        <f>NOT(ISNA(VLOOKUP(Master_Reference[[#This Row],[Model Number]],ObsoleteModels[],1,FALSE)))</f>
        <v>1</v>
      </c>
      <c r="AO648" s="1" t="str">
        <f>IF(LEFT(Master_Reference[[#This Row],[Model Number]],1)="U",LEFT(Master_Reference[[#This Row],[Model Number]],4),LEFT(Master_Reference[[#This Row],[Model Number]],3))</f>
        <v>FDB</v>
      </c>
    </row>
    <row r="649" spans="1:41" x14ac:dyDescent="0.25">
      <c r="A649" s="2" t="s">
        <v>938</v>
      </c>
      <c r="B649" s="1"/>
      <c r="C649" s="1" t="b">
        <v>1</v>
      </c>
      <c r="G649" s="1" t="str">
        <f>IF(OR(LEFT(RIGHT(Master_Reference[[#This Row],[Model Number]],3),1)="C",LEFT(RIGHT(Master_Reference[[#This Row],[Model Number]],4),1)="C"),TRUE,"")</f>
        <v/>
      </c>
      <c r="H649" s="1" t="str">
        <f>IF(LEFT(Master_Reference[[#This Row],[Model Number]],1)="U",TRUE,"")</f>
        <v/>
      </c>
      <c r="I649" s="1" t="str">
        <f>IF(Master_Reference[[#This Row],[Lamp Type]]="T4","",IF(Master_Reference[[#This Row],[Case Type]]="M","",TRUE))</f>
        <v/>
      </c>
      <c r="J649" s="1" t="s">
        <v>87</v>
      </c>
      <c r="K649" s="1">
        <v>26</v>
      </c>
      <c r="L649" s="1" t="s">
        <v>88</v>
      </c>
      <c r="M649" s="1">
        <v>2</v>
      </c>
      <c r="N649" s="1">
        <v>120</v>
      </c>
      <c r="O649" s="1" t="s">
        <v>106</v>
      </c>
      <c r="R649" t="b">
        <f>IF(COUNTBLANK(Master_Reference[[#This Row],[C-Flex 3000K Eco Part Number]:[C-Flex 4000K Eco Part Number]])=3,FALSE,TRUE)</f>
        <v>0</v>
      </c>
      <c r="S649" t="b">
        <f>IF(COUNTBLANK(Master_Reference[[#This Row],[C-Flex 3000K 3W Part Number]:[C-Flex 4000K 3W Part Number]])=3,FALSE,TRUE)</f>
        <v>1</v>
      </c>
      <c r="T649" s="1" t="b">
        <f>IF(COUNTBLANK(Master_Reference[[#This Row],[Lutron 3000K Eco Part Number]:[Lutron 4000K Eco Part Number]])=3,FALSE,TRUE)</f>
        <v>0</v>
      </c>
      <c r="U649" s="1" t="b">
        <f>IF(COUNTBLANK(Master_Reference[[#This Row],[Lutron 3000K 3W Part Number]:[Lutron 4000K 3W Part Number]])=3,FALSE,TRUE)</f>
        <v>0</v>
      </c>
      <c r="V649" s="13"/>
      <c r="W649" s="13"/>
      <c r="X649" s="12"/>
      <c r="Y649" t="s">
        <v>2125</v>
      </c>
      <c r="Z649" s="12" t="s">
        <v>1567</v>
      </c>
      <c r="AA649" s="12" t="s">
        <v>1568</v>
      </c>
      <c r="AB649" s="12" t="s">
        <v>1569</v>
      </c>
      <c r="AC649" t="s">
        <v>2125</v>
      </c>
      <c r="AD649" t="str">
        <f>SUBSTITUTE(Master_Reference[[#This Row],[C-Flex 4000K Eco Part Number]],"40-","xx-")</f>
        <v/>
      </c>
      <c r="AE649" t="str">
        <f>SUBSTITUTE(Master_Reference[[#This Row],[C-Flex 4000K 3W Part Number]],"40-","xx-")</f>
        <v>RP-G24Q-226m-2L-8xx-3W-KN-G2</v>
      </c>
      <c r="AF649" s="1" t="str">
        <f>_xlfn.IFNA(VLOOKUP(Master_Reference[[#This Row],[C-Flex 3000K Eco Part Number]],Lutron_CFlex_Lookup[],MATCH("Lutron Kit PN",Lutron_CFlex_Lookup[#Headers],0),FALSE),"")</f>
        <v/>
      </c>
      <c r="AG649" s="1" t="str">
        <f>_xlfn.IFNA(VLOOKUP(Master_Reference[[#This Row],[C-Flex 3500K Eco Part Number]],Lutron_CFlex_Lookup[],MATCH("Lutron Kit PN",Lutron_CFlex_Lookup[#Headers],0),FALSE),"")</f>
        <v/>
      </c>
      <c r="AH649" s="1" t="str">
        <f>_xlfn.IFNA(VLOOKUP(Master_Reference[[#This Row],[C-Flex 4000K Eco Part Number]],Lutron_CFlex_Lookup[],MATCH("Lutron Kit PN",Lutron_CFlex_Lookup[#Headers],0),FALSE),"")</f>
        <v/>
      </c>
      <c r="AI649" s="1" t="str">
        <f>_xlfn.IFNA(VLOOKUP(Master_Reference[[#This Row],[C-Flex 5000K Eco Part Number]],Lutron_CFlex_Lookup[],MATCH("Lutron Kit PN",Lutron_CFlex_Lookup[#Headers],0),FALSE),"")</f>
        <v/>
      </c>
      <c r="AJ649" s="1" t="str">
        <f>_xlfn.IFNA(VLOOKUP(Master_Reference[[#This Row],[C-Flex 3000K 3W Part Number]],Lutron_CFlex_Lookup[],MATCH("Lutron Kit PN",Lutron_CFlex_Lookup[#Headers],0),FALSE),"")</f>
        <v/>
      </c>
      <c r="AK649" s="1" t="str">
        <f>_xlfn.IFNA(VLOOKUP(Master_Reference[[#This Row],[C-Flex 3500K 3W Part Number]],Lutron_CFlex_Lookup[],MATCH("Lutron Kit PN",Lutron_CFlex_Lookup[#Headers],0),FALSE),"")</f>
        <v/>
      </c>
      <c r="AL649" s="1" t="str">
        <f>_xlfn.IFNA(VLOOKUP(Master_Reference[[#This Row],[C-Flex 4000K 3W Part Number]],Lutron_CFlex_Lookup[],MATCH("Lutron Kit PN",Lutron_CFlex_Lookup[#Headers],0),FALSE),"")</f>
        <v/>
      </c>
      <c r="AM649" s="1" t="str">
        <f>_xlfn.IFNA(VLOOKUP(Master_Reference[[#This Row],[C-Flex 5000K 3W Part Number]],Lutron_CFlex_Lookup[],MATCH("Lutron Kit PN",Lutron_CFlex_Lookup[#Headers],0),FALSE),"")</f>
        <v/>
      </c>
      <c r="AN649" s="1" t="b">
        <f>NOT(ISNA(VLOOKUP(Master_Reference[[#This Row],[Model Number]],ObsoleteModels[],1,FALSE)))</f>
        <v>1</v>
      </c>
      <c r="AO649" s="1" t="str">
        <f>IF(LEFT(Master_Reference[[#This Row],[Model Number]],1)="U",LEFT(Master_Reference[[#This Row],[Model Number]],4),LEFT(Master_Reference[[#This Row],[Model Number]],3))</f>
        <v>FDB</v>
      </c>
    </row>
    <row r="650" spans="1:41" x14ac:dyDescent="0.25">
      <c r="A650" s="2" t="s">
        <v>939</v>
      </c>
      <c r="B650" s="1"/>
      <c r="C650" s="1" t="b">
        <v>1</v>
      </c>
      <c r="G650" s="1" t="str">
        <f>IF(OR(LEFT(RIGHT(Master_Reference[[#This Row],[Model Number]],3),1)="C",LEFT(RIGHT(Master_Reference[[#This Row],[Model Number]],4),1)="C"),TRUE,"")</f>
        <v/>
      </c>
      <c r="H650" s="1" t="str">
        <f>IF(LEFT(Master_Reference[[#This Row],[Model Number]],1)="U",TRUE,"")</f>
        <v/>
      </c>
      <c r="I650" s="1" t="str">
        <f>IF(Master_Reference[[#This Row],[Lamp Type]]="T4","",IF(Master_Reference[[#This Row],[Case Type]]="M","",TRUE))</f>
        <v/>
      </c>
      <c r="J650" s="1" t="s">
        <v>87</v>
      </c>
      <c r="K650" s="1">
        <v>26</v>
      </c>
      <c r="L650" s="1" t="s">
        <v>88</v>
      </c>
      <c r="M650" s="1">
        <v>1</v>
      </c>
      <c r="N650" s="1">
        <v>240</v>
      </c>
      <c r="O650" s="1" t="s">
        <v>89</v>
      </c>
      <c r="Q650" s="1" t="s">
        <v>456</v>
      </c>
      <c r="R650" t="b">
        <f>IF(COUNTBLANK(Master_Reference[[#This Row],[C-Flex 3000K Eco Part Number]:[C-Flex 4000K Eco Part Number]])=3,FALSE,TRUE)</f>
        <v>0</v>
      </c>
      <c r="S650" t="b">
        <f>IF(COUNTBLANK(Master_Reference[[#This Row],[C-Flex 3000K 3W Part Number]:[C-Flex 4000K 3W Part Number]])=3,FALSE,TRUE)</f>
        <v>0</v>
      </c>
      <c r="T650" s="1" t="b">
        <f>IF(COUNTBLANK(Master_Reference[[#This Row],[Lutron 3000K Eco Part Number]:[Lutron 4000K Eco Part Number]])=3,FALSE,TRUE)</f>
        <v>0</v>
      </c>
      <c r="U650" s="1" t="b">
        <f>IF(COUNTBLANK(Master_Reference[[#This Row],[Lutron 3000K 3W Part Number]:[Lutron 4000K 3W Part Number]])=3,FALSE,TRUE)</f>
        <v>0</v>
      </c>
      <c r="V650" s="13"/>
      <c r="W650" s="13"/>
      <c r="X650" s="12"/>
      <c r="Y650" t="s">
        <v>2125</v>
      </c>
      <c r="Z650" s="12"/>
      <c r="AA650" s="12"/>
      <c r="AB650" s="12"/>
      <c r="AC650" t="s">
        <v>2125</v>
      </c>
      <c r="AD650" t="str">
        <f>SUBSTITUTE(Master_Reference[[#This Row],[C-Flex 4000K Eco Part Number]],"40-","xx-")</f>
        <v/>
      </c>
      <c r="AE650" t="str">
        <f>SUBSTITUTE(Master_Reference[[#This Row],[C-Flex 4000K 3W Part Number]],"40-","xx-")</f>
        <v/>
      </c>
      <c r="AF650" s="1" t="str">
        <f>_xlfn.IFNA(VLOOKUP(Master_Reference[[#This Row],[C-Flex 3000K Eco Part Number]],Lutron_CFlex_Lookup[],MATCH("Lutron Kit PN",Lutron_CFlex_Lookup[#Headers],0),FALSE),"")</f>
        <v/>
      </c>
      <c r="AG650" s="1" t="str">
        <f>_xlfn.IFNA(VLOOKUP(Master_Reference[[#This Row],[C-Flex 3500K Eco Part Number]],Lutron_CFlex_Lookup[],MATCH("Lutron Kit PN",Lutron_CFlex_Lookup[#Headers],0),FALSE),"")</f>
        <v/>
      </c>
      <c r="AH650" s="1" t="str">
        <f>_xlfn.IFNA(VLOOKUP(Master_Reference[[#This Row],[C-Flex 4000K Eco Part Number]],Lutron_CFlex_Lookup[],MATCH("Lutron Kit PN",Lutron_CFlex_Lookup[#Headers],0),FALSE),"")</f>
        <v/>
      </c>
      <c r="AI650" s="1" t="str">
        <f>_xlfn.IFNA(VLOOKUP(Master_Reference[[#This Row],[C-Flex 5000K Eco Part Number]],Lutron_CFlex_Lookup[],MATCH("Lutron Kit PN",Lutron_CFlex_Lookup[#Headers],0),FALSE),"")</f>
        <v/>
      </c>
      <c r="AJ650" s="1" t="str">
        <f>_xlfn.IFNA(VLOOKUP(Master_Reference[[#This Row],[C-Flex 3000K 3W Part Number]],Lutron_CFlex_Lookup[],MATCH("Lutron Kit PN",Lutron_CFlex_Lookup[#Headers],0),FALSE),"")</f>
        <v/>
      </c>
      <c r="AK650" s="1" t="str">
        <f>_xlfn.IFNA(VLOOKUP(Master_Reference[[#This Row],[C-Flex 3500K 3W Part Number]],Lutron_CFlex_Lookup[],MATCH("Lutron Kit PN",Lutron_CFlex_Lookup[#Headers],0),FALSE),"")</f>
        <v/>
      </c>
      <c r="AL650" s="1" t="str">
        <f>_xlfn.IFNA(VLOOKUP(Master_Reference[[#This Row],[C-Flex 4000K 3W Part Number]],Lutron_CFlex_Lookup[],MATCH("Lutron Kit PN",Lutron_CFlex_Lookup[#Headers],0),FALSE),"")</f>
        <v/>
      </c>
      <c r="AM650" s="1" t="str">
        <f>_xlfn.IFNA(VLOOKUP(Master_Reference[[#This Row],[C-Flex 5000K 3W Part Number]],Lutron_CFlex_Lookup[],MATCH("Lutron Kit PN",Lutron_CFlex_Lookup[#Headers],0),FALSE),"")</f>
        <v/>
      </c>
      <c r="AN650" s="1" t="b">
        <f>NOT(ISNA(VLOOKUP(Master_Reference[[#This Row],[Model Number]],ObsoleteModels[],1,FALSE)))</f>
        <v>1</v>
      </c>
      <c r="AO650" s="1" t="str">
        <f>IF(LEFT(Master_Reference[[#This Row],[Model Number]],1)="U",LEFT(Master_Reference[[#This Row],[Model Number]],4),LEFT(Master_Reference[[#This Row],[Model Number]],3))</f>
        <v>FDB</v>
      </c>
    </row>
    <row r="651" spans="1:41" x14ac:dyDescent="0.25">
      <c r="A651" s="2" t="s">
        <v>940</v>
      </c>
      <c r="B651" s="1"/>
      <c r="C651" s="1" t="b">
        <v>1</v>
      </c>
      <c r="G651" s="1" t="str">
        <f>IF(OR(LEFT(RIGHT(Master_Reference[[#This Row],[Model Number]],3),1)="C",LEFT(RIGHT(Master_Reference[[#This Row],[Model Number]],4),1)="C"),TRUE,"")</f>
        <v/>
      </c>
      <c r="H651" s="1" t="str">
        <f>IF(LEFT(Master_Reference[[#This Row],[Model Number]],1)="U",TRUE,"")</f>
        <v/>
      </c>
      <c r="I651" s="1" t="str">
        <f>IF(Master_Reference[[#This Row],[Lamp Type]]="T4","",IF(Master_Reference[[#This Row],[Case Type]]="M","",TRUE))</f>
        <v/>
      </c>
      <c r="J651" s="1" t="s">
        <v>87</v>
      </c>
      <c r="K651" s="1">
        <v>26</v>
      </c>
      <c r="L651" s="1" t="s">
        <v>88</v>
      </c>
      <c r="M651" s="1">
        <v>2</v>
      </c>
      <c r="N651" s="1">
        <v>240</v>
      </c>
      <c r="O651" s="1" t="s">
        <v>106</v>
      </c>
      <c r="Q651" s="1" t="s">
        <v>456</v>
      </c>
      <c r="R651" t="b">
        <f>IF(COUNTBLANK(Master_Reference[[#This Row],[C-Flex 3000K Eco Part Number]:[C-Flex 4000K Eco Part Number]])=3,FALSE,TRUE)</f>
        <v>0</v>
      </c>
      <c r="S651" t="b">
        <f>IF(COUNTBLANK(Master_Reference[[#This Row],[C-Flex 3000K 3W Part Number]:[C-Flex 4000K 3W Part Number]])=3,FALSE,TRUE)</f>
        <v>0</v>
      </c>
      <c r="T651" s="1" t="b">
        <f>IF(COUNTBLANK(Master_Reference[[#This Row],[Lutron 3000K Eco Part Number]:[Lutron 4000K Eco Part Number]])=3,FALSE,TRUE)</f>
        <v>0</v>
      </c>
      <c r="U651" s="1" t="b">
        <f>IF(COUNTBLANK(Master_Reference[[#This Row],[Lutron 3000K 3W Part Number]:[Lutron 4000K 3W Part Number]])=3,FALSE,TRUE)</f>
        <v>0</v>
      </c>
      <c r="V651" s="13"/>
      <c r="W651" s="13"/>
      <c r="X651" s="12"/>
      <c r="Y651" t="s">
        <v>2125</v>
      </c>
      <c r="Z651" s="12"/>
      <c r="AA651" s="12"/>
      <c r="AB651" s="12"/>
      <c r="AC651" t="s">
        <v>2125</v>
      </c>
      <c r="AD651" t="str">
        <f>SUBSTITUTE(Master_Reference[[#This Row],[C-Flex 4000K Eco Part Number]],"40-","xx-")</f>
        <v/>
      </c>
      <c r="AE651" t="str">
        <f>SUBSTITUTE(Master_Reference[[#This Row],[C-Flex 4000K 3W Part Number]],"40-","xx-")</f>
        <v/>
      </c>
      <c r="AF651" s="1" t="str">
        <f>_xlfn.IFNA(VLOOKUP(Master_Reference[[#This Row],[C-Flex 3000K Eco Part Number]],Lutron_CFlex_Lookup[],MATCH("Lutron Kit PN",Lutron_CFlex_Lookup[#Headers],0),FALSE),"")</f>
        <v/>
      </c>
      <c r="AG651" s="1" t="str">
        <f>_xlfn.IFNA(VLOOKUP(Master_Reference[[#This Row],[C-Flex 3500K Eco Part Number]],Lutron_CFlex_Lookup[],MATCH("Lutron Kit PN",Lutron_CFlex_Lookup[#Headers],0),FALSE),"")</f>
        <v/>
      </c>
      <c r="AH651" s="1" t="str">
        <f>_xlfn.IFNA(VLOOKUP(Master_Reference[[#This Row],[C-Flex 4000K Eco Part Number]],Lutron_CFlex_Lookup[],MATCH("Lutron Kit PN",Lutron_CFlex_Lookup[#Headers],0),FALSE),"")</f>
        <v/>
      </c>
      <c r="AI651" s="1" t="str">
        <f>_xlfn.IFNA(VLOOKUP(Master_Reference[[#This Row],[C-Flex 5000K Eco Part Number]],Lutron_CFlex_Lookup[],MATCH("Lutron Kit PN",Lutron_CFlex_Lookup[#Headers],0),FALSE),"")</f>
        <v/>
      </c>
      <c r="AJ651" s="1" t="str">
        <f>_xlfn.IFNA(VLOOKUP(Master_Reference[[#This Row],[C-Flex 3000K 3W Part Number]],Lutron_CFlex_Lookup[],MATCH("Lutron Kit PN",Lutron_CFlex_Lookup[#Headers],0),FALSE),"")</f>
        <v/>
      </c>
      <c r="AK651" s="1" t="str">
        <f>_xlfn.IFNA(VLOOKUP(Master_Reference[[#This Row],[C-Flex 3500K 3W Part Number]],Lutron_CFlex_Lookup[],MATCH("Lutron Kit PN",Lutron_CFlex_Lookup[#Headers],0),FALSE),"")</f>
        <v/>
      </c>
      <c r="AL651" s="1" t="str">
        <f>_xlfn.IFNA(VLOOKUP(Master_Reference[[#This Row],[C-Flex 4000K 3W Part Number]],Lutron_CFlex_Lookup[],MATCH("Lutron Kit PN",Lutron_CFlex_Lookup[#Headers],0),FALSE),"")</f>
        <v/>
      </c>
      <c r="AM651" s="1" t="str">
        <f>_xlfn.IFNA(VLOOKUP(Master_Reference[[#This Row],[C-Flex 5000K 3W Part Number]],Lutron_CFlex_Lookup[],MATCH("Lutron Kit PN",Lutron_CFlex_Lookup[#Headers],0),FALSE),"")</f>
        <v/>
      </c>
      <c r="AN651" s="1" t="b">
        <f>NOT(ISNA(VLOOKUP(Master_Reference[[#This Row],[Model Number]],ObsoleteModels[],1,FALSE)))</f>
        <v>1</v>
      </c>
      <c r="AO651" s="1" t="str">
        <f>IF(LEFT(Master_Reference[[#This Row],[Model Number]],1)="U",LEFT(Master_Reference[[#This Row],[Model Number]],4),LEFT(Master_Reference[[#This Row],[Model Number]],3))</f>
        <v>FDB</v>
      </c>
    </row>
    <row r="652" spans="1:41" x14ac:dyDescent="0.25">
      <c r="A652" s="2" t="s">
        <v>941</v>
      </c>
      <c r="B652" s="1"/>
      <c r="C652" s="1" t="b">
        <v>1</v>
      </c>
      <c r="G652" s="1" t="str">
        <f>IF(OR(LEFT(RIGHT(Master_Reference[[#This Row],[Model Number]],3),1)="C",LEFT(RIGHT(Master_Reference[[#This Row],[Model Number]],4),1)="C"),TRUE,"")</f>
        <v/>
      </c>
      <c r="H652" s="1" t="str">
        <f>IF(LEFT(Master_Reference[[#This Row],[Model Number]],1)="U",TRUE,"")</f>
        <v/>
      </c>
      <c r="I652" s="1" t="str">
        <f>IF(Master_Reference[[#This Row],[Lamp Type]]="T4","",IF(Master_Reference[[#This Row],[Case Type]]="M","",TRUE))</f>
        <v/>
      </c>
      <c r="J652" s="1" t="s">
        <v>87</v>
      </c>
      <c r="K652" s="1">
        <v>26</v>
      </c>
      <c r="L652" s="1" t="s">
        <v>88</v>
      </c>
      <c r="M652" s="1">
        <v>1</v>
      </c>
      <c r="N652" s="1">
        <v>277</v>
      </c>
      <c r="O652" s="1" t="s">
        <v>89</v>
      </c>
      <c r="P652" s="1" t="b">
        <v>1</v>
      </c>
      <c r="R652" t="b">
        <f>IF(COUNTBLANK(Master_Reference[[#This Row],[C-Flex 3000K Eco Part Number]:[C-Flex 4000K Eco Part Number]])=3,FALSE,TRUE)</f>
        <v>0</v>
      </c>
      <c r="S652" t="b">
        <f>IF(COUNTBLANK(Master_Reference[[#This Row],[C-Flex 3000K 3W Part Number]:[C-Flex 4000K 3W Part Number]])=3,FALSE,TRUE)</f>
        <v>1</v>
      </c>
      <c r="T652" s="1" t="b">
        <f>IF(COUNTBLANK(Master_Reference[[#This Row],[Lutron 3000K Eco Part Number]:[Lutron 4000K Eco Part Number]])=3,FALSE,TRUE)</f>
        <v>0</v>
      </c>
      <c r="U652" s="1" t="b">
        <f>IF(COUNTBLANK(Master_Reference[[#This Row],[Lutron 3000K 3W Part Number]:[Lutron 4000K 3W Part Number]])=3,FALSE,TRUE)</f>
        <v>0</v>
      </c>
      <c r="V652" s="13"/>
      <c r="W652" s="13"/>
      <c r="X652" s="12"/>
      <c r="Y652" t="s">
        <v>2125</v>
      </c>
      <c r="Z652" s="12" t="s">
        <v>161</v>
      </c>
      <c r="AA652" s="12" t="s">
        <v>162</v>
      </c>
      <c r="AB652" s="12" t="s">
        <v>163</v>
      </c>
      <c r="AC652" t="s">
        <v>2125</v>
      </c>
      <c r="AD652" t="str">
        <f>SUBSTITUTE(Master_Reference[[#This Row],[C-Flex 4000K Eco Part Number]],"40-","xx-")</f>
        <v/>
      </c>
      <c r="AE652" t="str">
        <f>SUBSTITUTE(Master_Reference[[#This Row],[C-Flex 4000K 3W Part Number]],"40-","xx-")</f>
        <v>RP-G24Q-126m-1L-8xx-3W-K-G2</v>
      </c>
      <c r="AF652" s="1" t="str">
        <f>_xlfn.IFNA(VLOOKUP(Master_Reference[[#This Row],[C-Flex 3000K Eco Part Number]],Lutron_CFlex_Lookup[],MATCH("Lutron Kit PN",Lutron_CFlex_Lookup[#Headers],0),FALSE),"")</f>
        <v/>
      </c>
      <c r="AG652" s="1" t="str">
        <f>_xlfn.IFNA(VLOOKUP(Master_Reference[[#This Row],[C-Flex 3500K Eco Part Number]],Lutron_CFlex_Lookup[],MATCH("Lutron Kit PN",Lutron_CFlex_Lookup[#Headers],0),FALSE),"")</f>
        <v/>
      </c>
      <c r="AH652" s="1" t="str">
        <f>_xlfn.IFNA(VLOOKUP(Master_Reference[[#This Row],[C-Flex 4000K Eco Part Number]],Lutron_CFlex_Lookup[],MATCH("Lutron Kit PN",Lutron_CFlex_Lookup[#Headers],0),FALSE),"")</f>
        <v/>
      </c>
      <c r="AI652" s="1" t="str">
        <f>_xlfn.IFNA(VLOOKUP(Master_Reference[[#This Row],[C-Flex 5000K Eco Part Number]],Lutron_CFlex_Lookup[],MATCH("Lutron Kit PN",Lutron_CFlex_Lookup[#Headers],0),FALSE),"")</f>
        <v/>
      </c>
      <c r="AJ652" s="1" t="str">
        <f>_xlfn.IFNA(VLOOKUP(Master_Reference[[#This Row],[C-Flex 3000K 3W Part Number]],Lutron_CFlex_Lookup[],MATCH("Lutron Kit PN",Lutron_CFlex_Lookup[#Headers],0),FALSE),"")</f>
        <v/>
      </c>
      <c r="AK652" s="1" t="str">
        <f>_xlfn.IFNA(VLOOKUP(Master_Reference[[#This Row],[C-Flex 3500K 3W Part Number]],Lutron_CFlex_Lookup[],MATCH("Lutron Kit PN",Lutron_CFlex_Lookup[#Headers],0),FALSE),"")</f>
        <v/>
      </c>
      <c r="AL652" s="1" t="str">
        <f>_xlfn.IFNA(VLOOKUP(Master_Reference[[#This Row],[C-Flex 4000K 3W Part Number]],Lutron_CFlex_Lookup[],MATCH("Lutron Kit PN",Lutron_CFlex_Lookup[#Headers],0),FALSE),"")</f>
        <v/>
      </c>
      <c r="AM652" s="1" t="str">
        <f>_xlfn.IFNA(VLOOKUP(Master_Reference[[#This Row],[C-Flex 5000K 3W Part Number]],Lutron_CFlex_Lookup[],MATCH("Lutron Kit PN",Lutron_CFlex_Lookup[#Headers],0),FALSE),"")</f>
        <v/>
      </c>
      <c r="AN652" s="1" t="b">
        <f>NOT(ISNA(VLOOKUP(Master_Reference[[#This Row],[Model Number]],ObsoleteModels[],1,FALSE)))</f>
        <v>1</v>
      </c>
      <c r="AO652" s="1" t="str">
        <f>IF(LEFT(Master_Reference[[#This Row],[Model Number]],1)="U",LEFT(Master_Reference[[#This Row],[Model Number]],4),LEFT(Master_Reference[[#This Row],[Model Number]],3))</f>
        <v>FDB</v>
      </c>
    </row>
    <row r="653" spans="1:41" x14ac:dyDescent="0.25">
      <c r="A653" s="2" t="s">
        <v>942</v>
      </c>
      <c r="B653" s="1"/>
      <c r="C653" s="1" t="b">
        <v>1</v>
      </c>
      <c r="G653" s="1" t="str">
        <f>IF(OR(LEFT(RIGHT(Master_Reference[[#This Row],[Model Number]],3),1)="C",LEFT(RIGHT(Master_Reference[[#This Row],[Model Number]],4),1)="C"),TRUE,"")</f>
        <v/>
      </c>
      <c r="H653" s="1" t="str">
        <f>IF(LEFT(Master_Reference[[#This Row],[Model Number]],1)="U",TRUE,"")</f>
        <v/>
      </c>
      <c r="I653" s="1" t="str">
        <f>IF(Master_Reference[[#This Row],[Lamp Type]]="T4","",IF(Master_Reference[[#This Row],[Case Type]]="M","",TRUE))</f>
        <v/>
      </c>
      <c r="J653" s="1" t="s">
        <v>87</v>
      </c>
      <c r="K653" s="1">
        <v>26</v>
      </c>
      <c r="L653" s="1" t="s">
        <v>88</v>
      </c>
      <c r="M653" s="1">
        <v>1</v>
      </c>
      <c r="N653" s="1">
        <v>277</v>
      </c>
      <c r="O653" s="1" t="s">
        <v>89</v>
      </c>
      <c r="R653" t="b">
        <f>IF(COUNTBLANK(Master_Reference[[#This Row],[C-Flex 3000K Eco Part Number]:[C-Flex 4000K Eco Part Number]])=3,FALSE,TRUE)</f>
        <v>0</v>
      </c>
      <c r="S653" t="b">
        <f>IF(COUNTBLANK(Master_Reference[[#This Row],[C-Flex 3000K 3W Part Number]:[C-Flex 4000K 3W Part Number]])=3,FALSE,TRUE)</f>
        <v>1</v>
      </c>
      <c r="T653" s="1" t="b">
        <f>IF(COUNTBLANK(Master_Reference[[#This Row],[Lutron 3000K Eco Part Number]:[Lutron 4000K Eco Part Number]])=3,FALSE,TRUE)</f>
        <v>0</v>
      </c>
      <c r="U653" s="1" t="b">
        <f>IF(COUNTBLANK(Master_Reference[[#This Row],[Lutron 3000K 3W Part Number]:[Lutron 4000K 3W Part Number]])=3,FALSE,TRUE)</f>
        <v>0</v>
      </c>
      <c r="V653" s="13"/>
      <c r="W653" s="13"/>
      <c r="X653" s="12"/>
      <c r="Y653" t="s">
        <v>2125</v>
      </c>
      <c r="Z653" s="12" t="s">
        <v>154</v>
      </c>
      <c r="AA653" s="12" t="s">
        <v>155</v>
      </c>
      <c r="AB653" s="12" t="s">
        <v>156</v>
      </c>
      <c r="AC653" t="s">
        <v>2125</v>
      </c>
      <c r="AD653" t="str">
        <f>SUBSTITUTE(Master_Reference[[#This Row],[C-Flex 4000K Eco Part Number]],"40-","xx-")</f>
        <v/>
      </c>
      <c r="AE653" t="str">
        <f>SUBSTITUTE(Master_Reference[[#This Row],[C-Flex 4000K 3W Part Number]],"40-","xx-")</f>
        <v>RP-G24Q-126m-1L-8xx-3W-KN-G2</v>
      </c>
      <c r="AF653" s="1" t="str">
        <f>_xlfn.IFNA(VLOOKUP(Master_Reference[[#This Row],[C-Flex 3000K Eco Part Number]],Lutron_CFlex_Lookup[],MATCH("Lutron Kit PN",Lutron_CFlex_Lookup[#Headers],0),FALSE),"")</f>
        <v/>
      </c>
      <c r="AG653" s="1" t="str">
        <f>_xlfn.IFNA(VLOOKUP(Master_Reference[[#This Row],[C-Flex 3500K Eco Part Number]],Lutron_CFlex_Lookup[],MATCH("Lutron Kit PN",Lutron_CFlex_Lookup[#Headers],0),FALSE),"")</f>
        <v/>
      </c>
      <c r="AH653" s="1" t="str">
        <f>_xlfn.IFNA(VLOOKUP(Master_Reference[[#This Row],[C-Flex 4000K Eco Part Number]],Lutron_CFlex_Lookup[],MATCH("Lutron Kit PN",Lutron_CFlex_Lookup[#Headers],0),FALSE),"")</f>
        <v/>
      </c>
      <c r="AI653" s="1" t="str">
        <f>_xlfn.IFNA(VLOOKUP(Master_Reference[[#This Row],[C-Flex 5000K Eco Part Number]],Lutron_CFlex_Lookup[],MATCH("Lutron Kit PN",Lutron_CFlex_Lookup[#Headers],0),FALSE),"")</f>
        <v/>
      </c>
      <c r="AJ653" s="1" t="str">
        <f>_xlfn.IFNA(VLOOKUP(Master_Reference[[#This Row],[C-Flex 3000K 3W Part Number]],Lutron_CFlex_Lookup[],MATCH("Lutron Kit PN",Lutron_CFlex_Lookup[#Headers],0),FALSE),"")</f>
        <v/>
      </c>
      <c r="AK653" s="1" t="str">
        <f>_xlfn.IFNA(VLOOKUP(Master_Reference[[#This Row],[C-Flex 3500K 3W Part Number]],Lutron_CFlex_Lookup[],MATCH("Lutron Kit PN",Lutron_CFlex_Lookup[#Headers],0),FALSE),"")</f>
        <v/>
      </c>
      <c r="AL653" s="1" t="str">
        <f>_xlfn.IFNA(VLOOKUP(Master_Reference[[#This Row],[C-Flex 4000K 3W Part Number]],Lutron_CFlex_Lookup[],MATCH("Lutron Kit PN",Lutron_CFlex_Lookup[#Headers],0),FALSE),"")</f>
        <v/>
      </c>
      <c r="AM653" s="1" t="str">
        <f>_xlfn.IFNA(VLOOKUP(Master_Reference[[#This Row],[C-Flex 5000K 3W Part Number]],Lutron_CFlex_Lookup[],MATCH("Lutron Kit PN",Lutron_CFlex_Lookup[#Headers],0),FALSE),"")</f>
        <v/>
      </c>
      <c r="AN653" s="1" t="b">
        <f>NOT(ISNA(VLOOKUP(Master_Reference[[#This Row],[Model Number]],ObsoleteModels[],1,FALSE)))</f>
        <v>1</v>
      </c>
      <c r="AO653" s="1" t="str">
        <f>IF(LEFT(Master_Reference[[#This Row],[Model Number]],1)="U",LEFT(Master_Reference[[#This Row],[Model Number]],4),LEFT(Master_Reference[[#This Row],[Model Number]],3))</f>
        <v>FDB</v>
      </c>
    </row>
    <row r="654" spans="1:41" x14ac:dyDescent="0.25">
      <c r="A654" s="2" t="s">
        <v>943</v>
      </c>
      <c r="B654" s="1"/>
      <c r="C654" s="1" t="b">
        <v>1</v>
      </c>
      <c r="G654" s="1" t="str">
        <f>IF(OR(LEFT(RIGHT(Master_Reference[[#This Row],[Model Number]],3),1)="C",LEFT(RIGHT(Master_Reference[[#This Row],[Model Number]],4),1)="C"),TRUE,"")</f>
        <v/>
      </c>
      <c r="H654" s="1" t="str">
        <f>IF(LEFT(Master_Reference[[#This Row],[Model Number]],1)="U",TRUE,"")</f>
        <v/>
      </c>
      <c r="I654" s="1" t="str">
        <f>IF(Master_Reference[[#This Row],[Lamp Type]]="T4","",IF(Master_Reference[[#This Row],[Case Type]]="M","",TRUE))</f>
        <v/>
      </c>
      <c r="J654" s="1" t="s">
        <v>87</v>
      </c>
      <c r="K654" s="1">
        <v>26</v>
      </c>
      <c r="L654" s="1" t="s">
        <v>88</v>
      </c>
      <c r="M654" s="1">
        <v>2</v>
      </c>
      <c r="N654" s="1">
        <v>277</v>
      </c>
      <c r="O654" s="1" t="s">
        <v>106</v>
      </c>
      <c r="P654" s="1" t="b">
        <v>1</v>
      </c>
      <c r="R654" t="b">
        <f>IF(COUNTBLANK(Master_Reference[[#This Row],[C-Flex 3000K Eco Part Number]:[C-Flex 4000K Eco Part Number]])=3,FALSE,TRUE)</f>
        <v>0</v>
      </c>
      <c r="S654" t="b">
        <f>IF(COUNTBLANK(Master_Reference[[#This Row],[C-Flex 3000K 3W Part Number]:[C-Flex 4000K 3W Part Number]])=3,FALSE,TRUE)</f>
        <v>1</v>
      </c>
      <c r="T654" s="1" t="b">
        <f>IF(COUNTBLANK(Master_Reference[[#This Row],[Lutron 3000K Eco Part Number]:[Lutron 4000K Eco Part Number]])=3,FALSE,TRUE)</f>
        <v>0</v>
      </c>
      <c r="U654" s="1" t="b">
        <f>IF(COUNTBLANK(Master_Reference[[#This Row],[Lutron 3000K 3W Part Number]:[Lutron 4000K 3W Part Number]])=3,FALSE,TRUE)</f>
        <v>0</v>
      </c>
      <c r="V654" s="13"/>
      <c r="W654" s="13"/>
      <c r="X654" s="12"/>
      <c r="Y654" t="s">
        <v>2125</v>
      </c>
      <c r="Z654" s="12" t="s">
        <v>1573</v>
      </c>
      <c r="AA654" s="12" t="s">
        <v>1574</v>
      </c>
      <c r="AB654" s="12" t="s">
        <v>1575</v>
      </c>
      <c r="AC654" t="s">
        <v>2125</v>
      </c>
      <c r="AD654" t="str">
        <f>SUBSTITUTE(Master_Reference[[#This Row],[C-Flex 4000K Eco Part Number]],"40-","xx-")</f>
        <v/>
      </c>
      <c r="AE654" t="str">
        <f>SUBSTITUTE(Master_Reference[[#This Row],[C-Flex 4000K 3W Part Number]],"40-","xx-")</f>
        <v>RP-G24Q-226m-2L-8xx-3W-K-G2</v>
      </c>
      <c r="AF654" s="1" t="str">
        <f>_xlfn.IFNA(VLOOKUP(Master_Reference[[#This Row],[C-Flex 3000K Eco Part Number]],Lutron_CFlex_Lookup[],MATCH("Lutron Kit PN",Lutron_CFlex_Lookup[#Headers],0),FALSE),"")</f>
        <v/>
      </c>
      <c r="AG654" s="1" t="str">
        <f>_xlfn.IFNA(VLOOKUP(Master_Reference[[#This Row],[C-Flex 3500K Eco Part Number]],Lutron_CFlex_Lookup[],MATCH("Lutron Kit PN",Lutron_CFlex_Lookup[#Headers],0),FALSE),"")</f>
        <v/>
      </c>
      <c r="AH654" s="1" t="str">
        <f>_xlfn.IFNA(VLOOKUP(Master_Reference[[#This Row],[C-Flex 4000K Eco Part Number]],Lutron_CFlex_Lookup[],MATCH("Lutron Kit PN",Lutron_CFlex_Lookup[#Headers],0),FALSE),"")</f>
        <v/>
      </c>
      <c r="AI654" s="1" t="str">
        <f>_xlfn.IFNA(VLOOKUP(Master_Reference[[#This Row],[C-Flex 5000K Eco Part Number]],Lutron_CFlex_Lookup[],MATCH("Lutron Kit PN",Lutron_CFlex_Lookup[#Headers],0),FALSE),"")</f>
        <v/>
      </c>
      <c r="AJ654" s="1" t="str">
        <f>_xlfn.IFNA(VLOOKUP(Master_Reference[[#This Row],[C-Flex 3000K 3W Part Number]],Lutron_CFlex_Lookup[],MATCH("Lutron Kit PN",Lutron_CFlex_Lookup[#Headers],0),FALSE),"")</f>
        <v/>
      </c>
      <c r="AK654" s="1" t="str">
        <f>_xlfn.IFNA(VLOOKUP(Master_Reference[[#This Row],[C-Flex 3500K 3W Part Number]],Lutron_CFlex_Lookup[],MATCH("Lutron Kit PN",Lutron_CFlex_Lookup[#Headers],0),FALSE),"")</f>
        <v/>
      </c>
      <c r="AL654" s="1" t="str">
        <f>_xlfn.IFNA(VLOOKUP(Master_Reference[[#This Row],[C-Flex 4000K 3W Part Number]],Lutron_CFlex_Lookup[],MATCH("Lutron Kit PN",Lutron_CFlex_Lookup[#Headers],0),FALSE),"")</f>
        <v/>
      </c>
      <c r="AM654" s="1" t="str">
        <f>_xlfn.IFNA(VLOOKUP(Master_Reference[[#This Row],[C-Flex 5000K 3W Part Number]],Lutron_CFlex_Lookup[],MATCH("Lutron Kit PN",Lutron_CFlex_Lookup[#Headers],0),FALSE),"")</f>
        <v/>
      </c>
      <c r="AN654" s="1" t="b">
        <f>NOT(ISNA(VLOOKUP(Master_Reference[[#This Row],[Model Number]],ObsoleteModels[],1,FALSE)))</f>
        <v>1</v>
      </c>
      <c r="AO654" s="1" t="str">
        <f>IF(LEFT(Master_Reference[[#This Row],[Model Number]],1)="U",LEFT(Master_Reference[[#This Row],[Model Number]],4),LEFT(Master_Reference[[#This Row],[Model Number]],3))</f>
        <v>FDB</v>
      </c>
    </row>
    <row r="655" spans="1:41" x14ac:dyDescent="0.25">
      <c r="A655" s="2" t="s">
        <v>944</v>
      </c>
      <c r="B655" s="1"/>
      <c r="C655" s="1" t="b">
        <v>1</v>
      </c>
      <c r="G655" s="1" t="str">
        <f>IF(OR(LEFT(RIGHT(Master_Reference[[#This Row],[Model Number]],3),1)="C",LEFT(RIGHT(Master_Reference[[#This Row],[Model Number]],4),1)="C"),TRUE,"")</f>
        <v/>
      </c>
      <c r="H655" s="1" t="str">
        <f>IF(LEFT(Master_Reference[[#This Row],[Model Number]],1)="U",TRUE,"")</f>
        <v/>
      </c>
      <c r="I655" s="1" t="str">
        <f>IF(Master_Reference[[#This Row],[Lamp Type]]="T4","",IF(Master_Reference[[#This Row],[Case Type]]="M","",TRUE))</f>
        <v/>
      </c>
      <c r="J655" s="1" t="s">
        <v>87</v>
      </c>
      <c r="K655" s="1">
        <v>26</v>
      </c>
      <c r="L655" s="1" t="s">
        <v>88</v>
      </c>
      <c r="M655" s="1">
        <v>2</v>
      </c>
      <c r="N655" s="1">
        <v>277</v>
      </c>
      <c r="O655" s="1" t="s">
        <v>106</v>
      </c>
      <c r="R655" t="b">
        <f>IF(COUNTBLANK(Master_Reference[[#This Row],[C-Flex 3000K Eco Part Number]:[C-Flex 4000K Eco Part Number]])=3,FALSE,TRUE)</f>
        <v>0</v>
      </c>
      <c r="S655" t="b">
        <f>IF(COUNTBLANK(Master_Reference[[#This Row],[C-Flex 3000K 3W Part Number]:[C-Flex 4000K 3W Part Number]])=3,FALSE,TRUE)</f>
        <v>1</v>
      </c>
      <c r="T655" s="1" t="b">
        <f>IF(COUNTBLANK(Master_Reference[[#This Row],[Lutron 3000K Eco Part Number]:[Lutron 4000K Eco Part Number]])=3,FALSE,TRUE)</f>
        <v>0</v>
      </c>
      <c r="U655" s="1" t="b">
        <f>IF(COUNTBLANK(Master_Reference[[#This Row],[Lutron 3000K 3W Part Number]:[Lutron 4000K 3W Part Number]])=3,FALSE,TRUE)</f>
        <v>0</v>
      </c>
      <c r="V655" s="13"/>
      <c r="W655" s="13"/>
      <c r="X655" s="12"/>
      <c r="Y655" t="s">
        <v>2125</v>
      </c>
      <c r="Z655" s="12" t="s">
        <v>1567</v>
      </c>
      <c r="AA655" s="12" t="s">
        <v>1568</v>
      </c>
      <c r="AB655" s="12" t="s">
        <v>1569</v>
      </c>
      <c r="AC655" t="s">
        <v>2125</v>
      </c>
      <c r="AD655" t="str">
        <f>SUBSTITUTE(Master_Reference[[#This Row],[C-Flex 4000K Eco Part Number]],"40-","xx-")</f>
        <v/>
      </c>
      <c r="AE655" t="str">
        <f>SUBSTITUTE(Master_Reference[[#This Row],[C-Flex 4000K 3W Part Number]],"40-","xx-")</f>
        <v>RP-G24Q-226m-2L-8xx-3W-KN-G2</v>
      </c>
      <c r="AF655" s="1" t="str">
        <f>_xlfn.IFNA(VLOOKUP(Master_Reference[[#This Row],[C-Flex 3000K Eco Part Number]],Lutron_CFlex_Lookup[],MATCH("Lutron Kit PN",Lutron_CFlex_Lookup[#Headers],0),FALSE),"")</f>
        <v/>
      </c>
      <c r="AG655" s="1" t="str">
        <f>_xlfn.IFNA(VLOOKUP(Master_Reference[[#This Row],[C-Flex 3500K Eco Part Number]],Lutron_CFlex_Lookup[],MATCH("Lutron Kit PN",Lutron_CFlex_Lookup[#Headers],0),FALSE),"")</f>
        <v/>
      </c>
      <c r="AH655" s="1" t="str">
        <f>_xlfn.IFNA(VLOOKUP(Master_Reference[[#This Row],[C-Flex 4000K Eco Part Number]],Lutron_CFlex_Lookup[],MATCH("Lutron Kit PN",Lutron_CFlex_Lookup[#Headers],0),FALSE),"")</f>
        <v/>
      </c>
      <c r="AI655" s="1" t="str">
        <f>_xlfn.IFNA(VLOOKUP(Master_Reference[[#This Row],[C-Flex 5000K Eco Part Number]],Lutron_CFlex_Lookup[],MATCH("Lutron Kit PN",Lutron_CFlex_Lookup[#Headers],0),FALSE),"")</f>
        <v/>
      </c>
      <c r="AJ655" s="1" t="str">
        <f>_xlfn.IFNA(VLOOKUP(Master_Reference[[#This Row],[C-Flex 3000K 3W Part Number]],Lutron_CFlex_Lookup[],MATCH("Lutron Kit PN",Lutron_CFlex_Lookup[#Headers],0),FALSE),"")</f>
        <v/>
      </c>
      <c r="AK655" s="1" t="str">
        <f>_xlfn.IFNA(VLOOKUP(Master_Reference[[#This Row],[C-Flex 3500K 3W Part Number]],Lutron_CFlex_Lookup[],MATCH("Lutron Kit PN",Lutron_CFlex_Lookup[#Headers],0),FALSE),"")</f>
        <v/>
      </c>
      <c r="AL655" s="1" t="str">
        <f>_xlfn.IFNA(VLOOKUP(Master_Reference[[#This Row],[C-Flex 4000K 3W Part Number]],Lutron_CFlex_Lookup[],MATCH("Lutron Kit PN",Lutron_CFlex_Lookup[#Headers],0),FALSE),"")</f>
        <v/>
      </c>
      <c r="AM655" s="1" t="str">
        <f>_xlfn.IFNA(VLOOKUP(Master_Reference[[#This Row],[C-Flex 5000K 3W Part Number]],Lutron_CFlex_Lookup[],MATCH("Lutron Kit PN",Lutron_CFlex_Lookup[#Headers],0),FALSE),"")</f>
        <v/>
      </c>
      <c r="AN655" s="1" t="b">
        <f>NOT(ISNA(VLOOKUP(Master_Reference[[#This Row],[Model Number]],ObsoleteModels[],1,FALSE)))</f>
        <v>1</v>
      </c>
      <c r="AO655" s="1" t="str">
        <f>IF(LEFT(Master_Reference[[#This Row],[Model Number]],1)="U",LEFT(Master_Reference[[#This Row],[Model Number]],4),LEFT(Master_Reference[[#This Row],[Model Number]],3))</f>
        <v>FDB</v>
      </c>
    </row>
    <row r="656" spans="1:41" x14ac:dyDescent="0.25">
      <c r="A656" s="2" t="s">
        <v>945</v>
      </c>
      <c r="B656" s="1"/>
      <c r="C656" s="1" t="b">
        <v>1</v>
      </c>
      <c r="G656" s="1" t="str">
        <f>IF(OR(LEFT(RIGHT(Master_Reference[[#This Row],[Model Number]],3),1)="C",LEFT(RIGHT(Master_Reference[[#This Row],[Model Number]],4),1)="C"),TRUE,"")</f>
        <v/>
      </c>
      <c r="H656" s="1" t="str">
        <f>IF(LEFT(Master_Reference[[#This Row],[Model Number]],1)="U",TRUE,"")</f>
        <v/>
      </c>
      <c r="I656" s="1" t="str">
        <f>IF(Master_Reference[[#This Row],[Lamp Type]]="T4","",IF(Master_Reference[[#This Row],[Case Type]]="M","",TRUE))</f>
        <v/>
      </c>
      <c r="J656" s="1" t="s">
        <v>87</v>
      </c>
      <c r="K656" s="1">
        <v>36</v>
      </c>
      <c r="L656" s="1" t="s">
        <v>88</v>
      </c>
      <c r="M656" s="1">
        <v>1</v>
      </c>
      <c r="N656" s="1">
        <v>240</v>
      </c>
      <c r="O656" s="1" t="s">
        <v>89</v>
      </c>
      <c r="Q656" s="1" t="s">
        <v>456</v>
      </c>
      <c r="R656" t="b">
        <f>IF(COUNTBLANK(Master_Reference[[#This Row],[C-Flex 3000K Eco Part Number]:[C-Flex 4000K Eco Part Number]])=3,FALSE,TRUE)</f>
        <v>0</v>
      </c>
      <c r="S656" t="b">
        <f>IF(COUNTBLANK(Master_Reference[[#This Row],[C-Flex 3000K 3W Part Number]:[C-Flex 4000K 3W Part Number]])=3,FALSE,TRUE)</f>
        <v>0</v>
      </c>
      <c r="T656" s="1" t="b">
        <f>IF(COUNTBLANK(Master_Reference[[#This Row],[Lutron 3000K Eco Part Number]:[Lutron 4000K Eco Part Number]])=3,FALSE,TRUE)</f>
        <v>0</v>
      </c>
      <c r="U656" s="1" t="b">
        <f>IF(COUNTBLANK(Master_Reference[[#This Row],[Lutron 3000K 3W Part Number]:[Lutron 4000K 3W Part Number]])=3,FALSE,TRUE)</f>
        <v>0</v>
      </c>
      <c r="V656" s="13"/>
      <c r="W656" s="13"/>
      <c r="X656" s="12"/>
      <c r="Y656" t="s">
        <v>2125</v>
      </c>
      <c r="Z656" s="12"/>
      <c r="AA656" s="12"/>
      <c r="AB656" s="12"/>
      <c r="AC656" t="s">
        <v>2125</v>
      </c>
      <c r="AD656" t="str">
        <f>SUBSTITUTE(Master_Reference[[#This Row],[C-Flex 4000K Eco Part Number]],"40-","xx-")</f>
        <v/>
      </c>
      <c r="AE656" t="str">
        <f>SUBSTITUTE(Master_Reference[[#This Row],[C-Flex 4000K 3W Part Number]],"40-","xx-")</f>
        <v/>
      </c>
      <c r="AF656" s="1" t="str">
        <f>_xlfn.IFNA(VLOOKUP(Master_Reference[[#This Row],[C-Flex 3000K Eco Part Number]],Lutron_CFlex_Lookup[],MATCH("Lutron Kit PN",Lutron_CFlex_Lookup[#Headers],0),FALSE),"")</f>
        <v/>
      </c>
      <c r="AG656" s="1" t="str">
        <f>_xlfn.IFNA(VLOOKUP(Master_Reference[[#This Row],[C-Flex 3500K Eco Part Number]],Lutron_CFlex_Lookup[],MATCH("Lutron Kit PN",Lutron_CFlex_Lookup[#Headers],0),FALSE),"")</f>
        <v/>
      </c>
      <c r="AH656" s="1" t="str">
        <f>_xlfn.IFNA(VLOOKUP(Master_Reference[[#This Row],[C-Flex 4000K Eco Part Number]],Lutron_CFlex_Lookup[],MATCH("Lutron Kit PN",Lutron_CFlex_Lookup[#Headers],0),FALSE),"")</f>
        <v/>
      </c>
      <c r="AI656" s="1" t="str">
        <f>_xlfn.IFNA(VLOOKUP(Master_Reference[[#This Row],[C-Flex 5000K Eco Part Number]],Lutron_CFlex_Lookup[],MATCH("Lutron Kit PN",Lutron_CFlex_Lookup[#Headers],0),FALSE),"")</f>
        <v/>
      </c>
      <c r="AJ656" s="1" t="str">
        <f>_xlfn.IFNA(VLOOKUP(Master_Reference[[#This Row],[C-Flex 3000K 3W Part Number]],Lutron_CFlex_Lookup[],MATCH("Lutron Kit PN",Lutron_CFlex_Lookup[#Headers],0),FALSE),"")</f>
        <v/>
      </c>
      <c r="AK656" s="1" t="str">
        <f>_xlfn.IFNA(VLOOKUP(Master_Reference[[#This Row],[C-Flex 3500K 3W Part Number]],Lutron_CFlex_Lookup[],MATCH("Lutron Kit PN",Lutron_CFlex_Lookup[#Headers],0),FALSE),"")</f>
        <v/>
      </c>
      <c r="AL656" s="1" t="str">
        <f>_xlfn.IFNA(VLOOKUP(Master_Reference[[#This Row],[C-Flex 4000K 3W Part Number]],Lutron_CFlex_Lookup[],MATCH("Lutron Kit PN",Lutron_CFlex_Lookup[#Headers],0),FALSE),"")</f>
        <v/>
      </c>
      <c r="AM656" s="1" t="str">
        <f>_xlfn.IFNA(VLOOKUP(Master_Reference[[#This Row],[C-Flex 5000K 3W Part Number]],Lutron_CFlex_Lookup[],MATCH("Lutron Kit PN",Lutron_CFlex_Lookup[#Headers],0),FALSE),"")</f>
        <v/>
      </c>
      <c r="AN656" s="1" t="b">
        <f>NOT(ISNA(VLOOKUP(Master_Reference[[#This Row],[Model Number]],ObsoleteModels[],1,FALSE)))</f>
        <v>1</v>
      </c>
      <c r="AO656" s="1" t="str">
        <f>IF(LEFT(Master_Reference[[#This Row],[Model Number]],1)="U",LEFT(Master_Reference[[#This Row],[Model Number]],4),LEFT(Master_Reference[[#This Row],[Model Number]],3))</f>
        <v>FDB</v>
      </c>
    </row>
    <row r="657" spans="1:41" x14ac:dyDescent="0.25">
      <c r="A657" s="2" t="s">
        <v>946</v>
      </c>
      <c r="B657" s="1"/>
      <c r="C657" s="1" t="b">
        <v>1</v>
      </c>
      <c r="G657" s="1" t="str">
        <f>IF(OR(LEFT(RIGHT(Master_Reference[[#This Row],[Model Number]],3),1)="C",LEFT(RIGHT(Master_Reference[[#This Row],[Model Number]],4),1)="C"),TRUE,"")</f>
        <v/>
      </c>
      <c r="H657" s="1" t="str">
        <f>IF(LEFT(Master_Reference[[#This Row],[Model Number]],1)="U",TRUE,"")</f>
        <v/>
      </c>
      <c r="I657" s="1" t="str">
        <f>IF(Master_Reference[[#This Row],[Lamp Type]]="T4","",IF(Master_Reference[[#This Row],[Case Type]]="M","",TRUE))</f>
        <v/>
      </c>
      <c r="J657" s="1" t="s">
        <v>87</v>
      </c>
      <c r="K657" s="1">
        <v>36</v>
      </c>
      <c r="L657" s="1" t="s">
        <v>88</v>
      </c>
      <c r="M657" s="1">
        <v>2</v>
      </c>
      <c r="N657" s="1">
        <v>240</v>
      </c>
      <c r="O657" s="1" t="s">
        <v>106</v>
      </c>
      <c r="Q657" s="1" t="s">
        <v>456</v>
      </c>
      <c r="R657" t="b">
        <f>IF(COUNTBLANK(Master_Reference[[#This Row],[C-Flex 3000K Eco Part Number]:[C-Flex 4000K Eco Part Number]])=3,FALSE,TRUE)</f>
        <v>0</v>
      </c>
      <c r="S657" t="b">
        <f>IF(COUNTBLANK(Master_Reference[[#This Row],[C-Flex 3000K 3W Part Number]:[C-Flex 4000K 3W Part Number]])=3,FALSE,TRUE)</f>
        <v>0</v>
      </c>
      <c r="T657" s="1" t="b">
        <f>IF(COUNTBLANK(Master_Reference[[#This Row],[Lutron 3000K Eco Part Number]:[Lutron 4000K Eco Part Number]])=3,FALSE,TRUE)</f>
        <v>0</v>
      </c>
      <c r="U657" s="1" t="b">
        <f>IF(COUNTBLANK(Master_Reference[[#This Row],[Lutron 3000K 3W Part Number]:[Lutron 4000K 3W Part Number]])=3,FALSE,TRUE)</f>
        <v>0</v>
      </c>
      <c r="V657" s="13"/>
      <c r="W657" s="13"/>
      <c r="X657" s="12"/>
      <c r="Y657" t="s">
        <v>2125</v>
      </c>
      <c r="Z657" s="12"/>
      <c r="AA657" s="12"/>
      <c r="AB657" s="12"/>
      <c r="AC657" t="s">
        <v>2125</v>
      </c>
      <c r="AD657" t="str">
        <f>SUBSTITUTE(Master_Reference[[#This Row],[C-Flex 4000K Eco Part Number]],"40-","xx-")</f>
        <v/>
      </c>
      <c r="AE657" t="str">
        <f>SUBSTITUTE(Master_Reference[[#This Row],[C-Flex 4000K 3W Part Number]],"40-","xx-")</f>
        <v/>
      </c>
      <c r="AF657" s="1" t="str">
        <f>_xlfn.IFNA(VLOOKUP(Master_Reference[[#This Row],[C-Flex 3000K Eco Part Number]],Lutron_CFlex_Lookup[],MATCH("Lutron Kit PN",Lutron_CFlex_Lookup[#Headers],0),FALSE),"")</f>
        <v/>
      </c>
      <c r="AG657" s="1" t="str">
        <f>_xlfn.IFNA(VLOOKUP(Master_Reference[[#This Row],[C-Flex 3500K Eco Part Number]],Lutron_CFlex_Lookup[],MATCH("Lutron Kit PN",Lutron_CFlex_Lookup[#Headers],0),FALSE),"")</f>
        <v/>
      </c>
      <c r="AH657" s="1" t="str">
        <f>_xlfn.IFNA(VLOOKUP(Master_Reference[[#This Row],[C-Flex 4000K Eco Part Number]],Lutron_CFlex_Lookup[],MATCH("Lutron Kit PN",Lutron_CFlex_Lookup[#Headers],0),FALSE),"")</f>
        <v/>
      </c>
      <c r="AI657" s="1" t="str">
        <f>_xlfn.IFNA(VLOOKUP(Master_Reference[[#This Row],[C-Flex 5000K Eco Part Number]],Lutron_CFlex_Lookup[],MATCH("Lutron Kit PN",Lutron_CFlex_Lookup[#Headers],0),FALSE),"")</f>
        <v/>
      </c>
      <c r="AJ657" s="1" t="str">
        <f>_xlfn.IFNA(VLOOKUP(Master_Reference[[#This Row],[C-Flex 3000K 3W Part Number]],Lutron_CFlex_Lookup[],MATCH("Lutron Kit PN",Lutron_CFlex_Lookup[#Headers],0),FALSE),"")</f>
        <v/>
      </c>
      <c r="AK657" s="1" t="str">
        <f>_xlfn.IFNA(VLOOKUP(Master_Reference[[#This Row],[C-Flex 3500K 3W Part Number]],Lutron_CFlex_Lookup[],MATCH("Lutron Kit PN",Lutron_CFlex_Lookup[#Headers],0),FALSE),"")</f>
        <v/>
      </c>
      <c r="AL657" s="1" t="str">
        <f>_xlfn.IFNA(VLOOKUP(Master_Reference[[#This Row],[C-Flex 4000K 3W Part Number]],Lutron_CFlex_Lookup[],MATCH("Lutron Kit PN",Lutron_CFlex_Lookup[#Headers],0),FALSE),"")</f>
        <v/>
      </c>
      <c r="AM657" s="1" t="str">
        <f>_xlfn.IFNA(VLOOKUP(Master_Reference[[#This Row],[C-Flex 5000K 3W Part Number]],Lutron_CFlex_Lookup[],MATCH("Lutron Kit PN",Lutron_CFlex_Lookup[#Headers],0),FALSE),"")</f>
        <v/>
      </c>
      <c r="AN657" s="1" t="b">
        <f>NOT(ISNA(VLOOKUP(Master_Reference[[#This Row],[Model Number]],ObsoleteModels[],1,FALSE)))</f>
        <v>1</v>
      </c>
      <c r="AO657" s="1" t="str">
        <f>IF(LEFT(Master_Reference[[#This Row],[Model Number]],1)="U",LEFT(Master_Reference[[#This Row],[Model Number]],4),LEFT(Master_Reference[[#This Row],[Model Number]],3))</f>
        <v>FDB</v>
      </c>
    </row>
    <row r="658" spans="1:41" x14ac:dyDescent="0.25">
      <c r="A658" s="2" t="s">
        <v>947</v>
      </c>
      <c r="B658" s="1"/>
      <c r="C658" s="1" t="b">
        <v>1</v>
      </c>
      <c r="G658" s="1" t="str">
        <f>IF(OR(LEFT(RIGHT(Master_Reference[[#This Row],[Model Number]],3),1)="C",LEFT(RIGHT(Master_Reference[[#This Row],[Model Number]],4),1)="C"),TRUE,"")</f>
        <v/>
      </c>
      <c r="H658" s="1" t="str">
        <f>IF(LEFT(Master_Reference[[#This Row],[Model Number]],1)="U",TRUE,"")</f>
        <v/>
      </c>
      <c r="I658" s="1" t="str">
        <f>IF(Master_Reference[[#This Row],[Lamp Type]]="T4","",IF(Master_Reference[[#This Row],[Case Type]]="M","",TRUE))</f>
        <v/>
      </c>
      <c r="J658" s="1" t="s">
        <v>87</v>
      </c>
      <c r="K658" s="1">
        <v>32</v>
      </c>
      <c r="L658" s="1" t="s">
        <v>88</v>
      </c>
      <c r="M658" s="1">
        <v>1</v>
      </c>
      <c r="N658" s="1">
        <v>120</v>
      </c>
      <c r="O658" s="1" t="s">
        <v>89</v>
      </c>
      <c r="P658" s="1" t="b">
        <v>1</v>
      </c>
      <c r="R658" t="b">
        <f>IF(COUNTBLANK(Master_Reference[[#This Row],[C-Flex 3000K Eco Part Number]:[C-Flex 4000K Eco Part Number]])=3,FALSE,TRUE)</f>
        <v>0</v>
      </c>
      <c r="S658" t="b">
        <f>IF(COUNTBLANK(Master_Reference[[#This Row],[C-Flex 3000K 3W Part Number]:[C-Flex 4000K 3W Part Number]])=3,FALSE,TRUE)</f>
        <v>1</v>
      </c>
      <c r="T658" s="1" t="b">
        <f>IF(COUNTBLANK(Master_Reference[[#This Row],[Lutron 3000K Eco Part Number]:[Lutron 4000K Eco Part Number]])=3,FALSE,TRUE)</f>
        <v>0</v>
      </c>
      <c r="U658" s="1" t="b">
        <f>IF(COUNTBLANK(Master_Reference[[#This Row],[Lutron 3000K 3W Part Number]:[Lutron 4000K 3W Part Number]])=3,FALSE,TRUE)</f>
        <v>0</v>
      </c>
      <c r="V658" s="13"/>
      <c r="W658" s="13"/>
      <c r="X658" s="12"/>
      <c r="Y658" t="s">
        <v>2125</v>
      </c>
      <c r="Z658" s="12" t="s">
        <v>948</v>
      </c>
      <c r="AA658" s="12" t="s">
        <v>949</v>
      </c>
      <c r="AB658" s="12" t="s">
        <v>950</v>
      </c>
      <c r="AC658" t="s">
        <v>2125</v>
      </c>
      <c r="AD658" t="str">
        <f>SUBSTITUTE(Master_Reference[[#This Row],[C-Flex 4000K Eco Part Number]],"40-","xx-")</f>
        <v/>
      </c>
      <c r="AE658" t="str">
        <f>SUBSTITUTE(Master_Reference[[#This Row],[C-Flex 4000K 3W Part Number]],"40-","xx-")</f>
        <v>RP-G24Q-132m-1L-8xx-3W-K-G2</v>
      </c>
      <c r="AF658" s="1" t="str">
        <f>_xlfn.IFNA(VLOOKUP(Master_Reference[[#This Row],[C-Flex 3000K Eco Part Number]],Lutron_CFlex_Lookup[],MATCH("Lutron Kit PN",Lutron_CFlex_Lookup[#Headers],0),FALSE),"")</f>
        <v/>
      </c>
      <c r="AG658" s="1" t="str">
        <f>_xlfn.IFNA(VLOOKUP(Master_Reference[[#This Row],[C-Flex 3500K Eco Part Number]],Lutron_CFlex_Lookup[],MATCH("Lutron Kit PN",Lutron_CFlex_Lookup[#Headers],0),FALSE),"")</f>
        <v/>
      </c>
      <c r="AH658" s="1" t="str">
        <f>_xlfn.IFNA(VLOOKUP(Master_Reference[[#This Row],[C-Flex 4000K Eco Part Number]],Lutron_CFlex_Lookup[],MATCH("Lutron Kit PN",Lutron_CFlex_Lookup[#Headers],0),FALSE),"")</f>
        <v/>
      </c>
      <c r="AI658" s="1" t="str">
        <f>_xlfn.IFNA(VLOOKUP(Master_Reference[[#This Row],[C-Flex 5000K Eco Part Number]],Lutron_CFlex_Lookup[],MATCH("Lutron Kit PN",Lutron_CFlex_Lookup[#Headers],0),FALSE),"")</f>
        <v/>
      </c>
      <c r="AJ658" s="1" t="str">
        <f>_xlfn.IFNA(VLOOKUP(Master_Reference[[#This Row],[C-Flex 3000K 3W Part Number]],Lutron_CFlex_Lookup[],MATCH("Lutron Kit PN",Lutron_CFlex_Lookup[#Headers],0),FALSE),"")</f>
        <v/>
      </c>
      <c r="AK658" s="1" t="str">
        <f>_xlfn.IFNA(VLOOKUP(Master_Reference[[#This Row],[C-Flex 3500K 3W Part Number]],Lutron_CFlex_Lookup[],MATCH("Lutron Kit PN",Lutron_CFlex_Lookup[#Headers],0),FALSE),"")</f>
        <v/>
      </c>
      <c r="AL658" s="1" t="str">
        <f>_xlfn.IFNA(VLOOKUP(Master_Reference[[#This Row],[C-Flex 4000K 3W Part Number]],Lutron_CFlex_Lookup[],MATCH("Lutron Kit PN",Lutron_CFlex_Lookup[#Headers],0),FALSE),"")</f>
        <v/>
      </c>
      <c r="AM658" s="1" t="str">
        <f>_xlfn.IFNA(VLOOKUP(Master_Reference[[#This Row],[C-Flex 5000K 3W Part Number]],Lutron_CFlex_Lookup[],MATCH("Lutron Kit PN",Lutron_CFlex_Lookup[#Headers],0),FALSE),"")</f>
        <v/>
      </c>
      <c r="AN658" s="1" t="b">
        <f>NOT(ISNA(VLOOKUP(Master_Reference[[#This Row],[Model Number]],ObsoleteModels[],1,FALSE)))</f>
        <v>1</v>
      </c>
      <c r="AO658" s="1" t="str">
        <f>IF(LEFT(Master_Reference[[#This Row],[Model Number]],1)="U",LEFT(Master_Reference[[#This Row],[Model Number]],4),LEFT(Master_Reference[[#This Row],[Model Number]],3))</f>
        <v>FDB</v>
      </c>
    </row>
    <row r="659" spans="1:41" x14ac:dyDescent="0.25">
      <c r="A659" s="2" t="s">
        <v>951</v>
      </c>
      <c r="B659" s="1"/>
      <c r="C659" s="1" t="b">
        <v>1</v>
      </c>
      <c r="G659" s="1" t="str">
        <f>IF(OR(LEFT(RIGHT(Master_Reference[[#This Row],[Model Number]],3),1)="C",LEFT(RIGHT(Master_Reference[[#This Row],[Model Number]],4),1)="C"),TRUE,"")</f>
        <v/>
      </c>
      <c r="H659" s="1" t="str">
        <f>IF(LEFT(Master_Reference[[#This Row],[Model Number]],1)="U",TRUE,"")</f>
        <v/>
      </c>
      <c r="I659" s="1" t="str">
        <f>IF(Master_Reference[[#This Row],[Lamp Type]]="T4","",IF(Master_Reference[[#This Row],[Case Type]]="M","",TRUE))</f>
        <v/>
      </c>
      <c r="J659" s="1" t="s">
        <v>87</v>
      </c>
      <c r="K659" s="1">
        <v>32</v>
      </c>
      <c r="L659" s="1" t="s">
        <v>88</v>
      </c>
      <c r="M659" s="1">
        <v>1</v>
      </c>
      <c r="N659" s="1">
        <v>120</v>
      </c>
      <c r="O659" s="1" t="s">
        <v>89</v>
      </c>
      <c r="R659" t="b">
        <f>IF(COUNTBLANK(Master_Reference[[#This Row],[C-Flex 3000K Eco Part Number]:[C-Flex 4000K Eco Part Number]])=3,FALSE,TRUE)</f>
        <v>0</v>
      </c>
      <c r="S659" t="b">
        <f>IF(COUNTBLANK(Master_Reference[[#This Row],[C-Flex 3000K 3W Part Number]:[C-Flex 4000K 3W Part Number]])=3,FALSE,TRUE)</f>
        <v>1</v>
      </c>
      <c r="T659" s="1" t="b">
        <f>IF(COUNTBLANK(Master_Reference[[#This Row],[Lutron 3000K Eco Part Number]:[Lutron 4000K Eco Part Number]])=3,FALSE,TRUE)</f>
        <v>0</v>
      </c>
      <c r="U659" s="1" t="b">
        <f>IF(COUNTBLANK(Master_Reference[[#This Row],[Lutron 3000K 3W Part Number]:[Lutron 4000K 3W Part Number]])=3,FALSE,TRUE)</f>
        <v>0</v>
      </c>
      <c r="V659" s="13"/>
      <c r="W659" s="13"/>
      <c r="X659" s="12"/>
      <c r="Y659" t="s">
        <v>2125</v>
      </c>
      <c r="Z659" s="12" t="s">
        <v>952</v>
      </c>
      <c r="AA659" s="12" t="s">
        <v>953</v>
      </c>
      <c r="AB659" s="12" t="s">
        <v>954</v>
      </c>
      <c r="AC659" t="s">
        <v>2125</v>
      </c>
      <c r="AD659" t="str">
        <f>SUBSTITUTE(Master_Reference[[#This Row],[C-Flex 4000K Eco Part Number]],"40-","xx-")</f>
        <v/>
      </c>
      <c r="AE659" t="str">
        <f>SUBSTITUTE(Master_Reference[[#This Row],[C-Flex 4000K 3W Part Number]],"40-","xx-")</f>
        <v>RP-G24Q-132m-1L-8xx-3W-KN-G2</v>
      </c>
      <c r="AF659" s="1" t="str">
        <f>_xlfn.IFNA(VLOOKUP(Master_Reference[[#This Row],[C-Flex 3000K Eco Part Number]],Lutron_CFlex_Lookup[],MATCH("Lutron Kit PN",Lutron_CFlex_Lookup[#Headers],0),FALSE),"")</f>
        <v/>
      </c>
      <c r="AG659" s="1" t="str">
        <f>_xlfn.IFNA(VLOOKUP(Master_Reference[[#This Row],[C-Flex 3500K Eco Part Number]],Lutron_CFlex_Lookup[],MATCH("Lutron Kit PN",Lutron_CFlex_Lookup[#Headers],0),FALSE),"")</f>
        <v/>
      </c>
      <c r="AH659" s="1" t="str">
        <f>_xlfn.IFNA(VLOOKUP(Master_Reference[[#This Row],[C-Flex 4000K Eco Part Number]],Lutron_CFlex_Lookup[],MATCH("Lutron Kit PN",Lutron_CFlex_Lookup[#Headers],0),FALSE),"")</f>
        <v/>
      </c>
      <c r="AI659" s="1" t="str">
        <f>_xlfn.IFNA(VLOOKUP(Master_Reference[[#This Row],[C-Flex 5000K Eco Part Number]],Lutron_CFlex_Lookup[],MATCH("Lutron Kit PN",Lutron_CFlex_Lookup[#Headers],0),FALSE),"")</f>
        <v/>
      </c>
      <c r="AJ659" s="1" t="str">
        <f>_xlfn.IFNA(VLOOKUP(Master_Reference[[#This Row],[C-Flex 3000K 3W Part Number]],Lutron_CFlex_Lookup[],MATCH("Lutron Kit PN",Lutron_CFlex_Lookup[#Headers],0),FALSE),"")</f>
        <v/>
      </c>
      <c r="AK659" s="1" t="str">
        <f>_xlfn.IFNA(VLOOKUP(Master_Reference[[#This Row],[C-Flex 3500K 3W Part Number]],Lutron_CFlex_Lookup[],MATCH("Lutron Kit PN",Lutron_CFlex_Lookup[#Headers],0),FALSE),"")</f>
        <v/>
      </c>
      <c r="AL659" s="1" t="str">
        <f>_xlfn.IFNA(VLOOKUP(Master_Reference[[#This Row],[C-Flex 4000K 3W Part Number]],Lutron_CFlex_Lookup[],MATCH("Lutron Kit PN",Lutron_CFlex_Lookup[#Headers],0),FALSE),"")</f>
        <v/>
      </c>
      <c r="AM659" s="1" t="str">
        <f>_xlfn.IFNA(VLOOKUP(Master_Reference[[#This Row],[C-Flex 5000K 3W Part Number]],Lutron_CFlex_Lookup[],MATCH("Lutron Kit PN",Lutron_CFlex_Lookup[#Headers],0),FALSE),"")</f>
        <v/>
      </c>
      <c r="AN659" s="1" t="b">
        <f>NOT(ISNA(VLOOKUP(Master_Reference[[#This Row],[Model Number]],ObsoleteModels[],1,FALSE)))</f>
        <v>1</v>
      </c>
      <c r="AO659" s="1" t="str">
        <f>IF(LEFT(Master_Reference[[#This Row],[Model Number]],1)="U",LEFT(Master_Reference[[#This Row],[Model Number]],4),LEFT(Master_Reference[[#This Row],[Model Number]],3))</f>
        <v>FDB</v>
      </c>
    </row>
    <row r="660" spans="1:41" x14ac:dyDescent="0.25">
      <c r="A660" s="2" t="s">
        <v>955</v>
      </c>
      <c r="B660" s="1"/>
      <c r="C660" s="1" t="b">
        <v>1</v>
      </c>
      <c r="G660" s="1" t="str">
        <f>IF(OR(LEFT(RIGHT(Master_Reference[[#This Row],[Model Number]],3),1)="C",LEFT(RIGHT(Master_Reference[[#This Row],[Model Number]],4),1)="C"),TRUE,"")</f>
        <v/>
      </c>
      <c r="H660" s="1" t="str">
        <f>IF(LEFT(Master_Reference[[#This Row],[Model Number]],1)="U",TRUE,"")</f>
        <v/>
      </c>
      <c r="I660" s="1" t="str">
        <f>IF(Master_Reference[[#This Row],[Lamp Type]]="T4","",IF(Master_Reference[[#This Row],[Case Type]]="M","",TRUE))</f>
        <v/>
      </c>
      <c r="J660" s="1" t="s">
        <v>87</v>
      </c>
      <c r="K660" s="1">
        <v>32</v>
      </c>
      <c r="L660" s="1" t="s">
        <v>88</v>
      </c>
      <c r="M660" s="1">
        <v>1</v>
      </c>
      <c r="N660" s="1">
        <v>277</v>
      </c>
      <c r="O660" s="1" t="s">
        <v>89</v>
      </c>
      <c r="P660" s="1" t="b">
        <v>1</v>
      </c>
      <c r="R660" t="b">
        <f>IF(COUNTBLANK(Master_Reference[[#This Row],[C-Flex 3000K Eco Part Number]:[C-Flex 4000K Eco Part Number]])=3,FALSE,TRUE)</f>
        <v>0</v>
      </c>
      <c r="S660" t="b">
        <f>IF(COUNTBLANK(Master_Reference[[#This Row],[C-Flex 3000K 3W Part Number]:[C-Flex 4000K 3W Part Number]])=3,FALSE,TRUE)</f>
        <v>1</v>
      </c>
      <c r="T660" s="1" t="b">
        <f>IF(COUNTBLANK(Master_Reference[[#This Row],[Lutron 3000K Eco Part Number]:[Lutron 4000K Eco Part Number]])=3,FALSE,TRUE)</f>
        <v>0</v>
      </c>
      <c r="U660" s="1" t="b">
        <f>IF(COUNTBLANK(Master_Reference[[#This Row],[Lutron 3000K 3W Part Number]:[Lutron 4000K 3W Part Number]])=3,FALSE,TRUE)</f>
        <v>0</v>
      </c>
      <c r="V660" s="13"/>
      <c r="W660" s="13"/>
      <c r="X660" s="12"/>
      <c r="Y660" t="s">
        <v>2125</v>
      </c>
      <c r="Z660" s="12" t="s">
        <v>948</v>
      </c>
      <c r="AA660" s="12" t="s">
        <v>949</v>
      </c>
      <c r="AB660" s="12" t="s">
        <v>950</v>
      </c>
      <c r="AC660" t="s">
        <v>2125</v>
      </c>
      <c r="AD660" t="str">
        <f>SUBSTITUTE(Master_Reference[[#This Row],[C-Flex 4000K Eco Part Number]],"40-","xx-")</f>
        <v/>
      </c>
      <c r="AE660" t="str">
        <f>SUBSTITUTE(Master_Reference[[#This Row],[C-Flex 4000K 3W Part Number]],"40-","xx-")</f>
        <v>RP-G24Q-132m-1L-8xx-3W-K-G2</v>
      </c>
      <c r="AF660" s="1" t="str">
        <f>_xlfn.IFNA(VLOOKUP(Master_Reference[[#This Row],[C-Flex 3000K Eco Part Number]],Lutron_CFlex_Lookup[],MATCH("Lutron Kit PN",Lutron_CFlex_Lookup[#Headers],0),FALSE),"")</f>
        <v/>
      </c>
      <c r="AG660" s="1" t="str">
        <f>_xlfn.IFNA(VLOOKUP(Master_Reference[[#This Row],[C-Flex 3500K Eco Part Number]],Lutron_CFlex_Lookup[],MATCH("Lutron Kit PN",Lutron_CFlex_Lookup[#Headers],0),FALSE),"")</f>
        <v/>
      </c>
      <c r="AH660" s="1" t="str">
        <f>_xlfn.IFNA(VLOOKUP(Master_Reference[[#This Row],[C-Flex 4000K Eco Part Number]],Lutron_CFlex_Lookup[],MATCH("Lutron Kit PN",Lutron_CFlex_Lookup[#Headers],0),FALSE),"")</f>
        <v/>
      </c>
      <c r="AI660" s="1" t="str">
        <f>_xlfn.IFNA(VLOOKUP(Master_Reference[[#This Row],[C-Flex 5000K Eco Part Number]],Lutron_CFlex_Lookup[],MATCH("Lutron Kit PN",Lutron_CFlex_Lookup[#Headers],0),FALSE),"")</f>
        <v/>
      </c>
      <c r="AJ660" s="1" t="str">
        <f>_xlfn.IFNA(VLOOKUP(Master_Reference[[#This Row],[C-Flex 3000K 3W Part Number]],Lutron_CFlex_Lookup[],MATCH("Lutron Kit PN",Lutron_CFlex_Lookup[#Headers],0),FALSE),"")</f>
        <v/>
      </c>
      <c r="AK660" s="1" t="str">
        <f>_xlfn.IFNA(VLOOKUP(Master_Reference[[#This Row],[C-Flex 3500K 3W Part Number]],Lutron_CFlex_Lookup[],MATCH("Lutron Kit PN",Lutron_CFlex_Lookup[#Headers],0),FALSE),"")</f>
        <v/>
      </c>
      <c r="AL660" s="1" t="str">
        <f>_xlfn.IFNA(VLOOKUP(Master_Reference[[#This Row],[C-Flex 4000K 3W Part Number]],Lutron_CFlex_Lookup[],MATCH("Lutron Kit PN",Lutron_CFlex_Lookup[#Headers],0),FALSE),"")</f>
        <v/>
      </c>
      <c r="AM660" s="1" t="str">
        <f>_xlfn.IFNA(VLOOKUP(Master_Reference[[#This Row],[C-Flex 5000K 3W Part Number]],Lutron_CFlex_Lookup[],MATCH("Lutron Kit PN",Lutron_CFlex_Lookup[#Headers],0),FALSE),"")</f>
        <v/>
      </c>
      <c r="AN660" s="1" t="b">
        <f>NOT(ISNA(VLOOKUP(Master_Reference[[#This Row],[Model Number]],ObsoleteModels[],1,FALSE)))</f>
        <v>1</v>
      </c>
      <c r="AO660" s="1" t="str">
        <f>IF(LEFT(Master_Reference[[#This Row],[Model Number]],1)="U",LEFT(Master_Reference[[#This Row],[Model Number]],4),LEFT(Master_Reference[[#This Row],[Model Number]],3))</f>
        <v>FDB</v>
      </c>
    </row>
    <row r="661" spans="1:41" x14ac:dyDescent="0.25">
      <c r="A661" s="2" t="s">
        <v>956</v>
      </c>
      <c r="B661" s="1"/>
      <c r="C661" s="1" t="b">
        <v>1</v>
      </c>
      <c r="G661" s="1" t="str">
        <f>IF(OR(LEFT(RIGHT(Master_Reference[[#This Row],[Model Number]],3),1)="C",LEFT(RIGHT(Master_Reference[[#This Row],[Model Number]],4),1)="C"),TRUE,"")</f>
        <v/>
      </c>
      <c r="H661" s="1" t="str">
        <f>IF(LEFT(Master_Reference[[#This Row],[Model Number]],1)="U",TRUE,"")</f>
        <v/>
      </c>
      <c r="I661" s="1" t="str">
        <f>IF(Master_Reference[[#This Row],[Lamp Type]]="T4","",IF(Master_Reference[[#This Row],[Case Type]]="M","",TRUE))</f>
        <v/>
      </c>
      <c r="J661" s="1" t="s">
        <v>87</v>
      </c>
      <c r="K661" s="1">
        <v>32</v>
      </c>
      <c r="L661" s="1" t="s">
        <v>88</v>
      </c>
      <c r="M661" s="1">
        <v>1</v>
      </c>
      <c r="N661" s="1">
        <v>277</v>
      </c>
      <c r="O661" s="1" t="s">
        <v>89</v>
      </c>
      <c r="R661" t="b">
        <f>IF(COUNTBLANK(Master_Reference[[#This Row],[C-Flex 3000K Eco Part Number]:[C-Flex 4000K Eco Part Number]])=3,FALSE,TRUE)</f>
        <v>0</v>
      </c>
      <c r="S661" t="b">
        <f>IF(COUNTBLANK(Master_Reference[[#This Row],[C-Flex 3000K 3W Part Number]:[C-Flex 4000K 3W Part Number]])=3,FALSE,TRUE)</f>
        <v>1</v>
      </c>
      <c r="T661" s="1" t="b">
        <f>IF(COUNTBLANK(Master_Reference[[#This Row],[Lutron 3000K Eco Part Number]:[Lutron 4000K Eco Part Number]])=3,FALSE,TRUE)</f>
        <v>0</v>
      </c>
      <c r="U661" s="1" t="b">
        <f>IF(COUNTBLANK(Master_Reference[[#This Row],[Lutron 3000K 3W Part Number]:[Lutron 4000K 3W Part Number]])=3,FALSE,TRUE)</f>
        <v>0</v>
      </c>
      <c r="V661" s="13"/>
      <c r="W661" s="13"/>
      <c r="X661" s="12"/>
      <c r="Y661" t="s">
        <v>2125</v>
      </c>
      <c r="Z661" s="12" t="s">
        <v>952</v>
      </c>
      <c r="AA661" s="12" t="s">
        <v>953</v>
      </c>
      <c r="AB661" s="12" t="s">
        <v>954</v>
      </c>
      <c r="AC661" t="s">
        <v>2125</v>
      </c>
      <c r="AD661" t="str">
        <f>SUBSTITUTE(Master_Reference[[#This Row],[C-Flex 4000K Eco Part Number]],"40-","xx-")</f>
        <v/>
      </c>
      <c r="AE661" t="str">
        <f>SUBSTITUTE(Master_Reference[[#This Row],[C-Flex 4000K 3W Part Number]],"40-","xx-")</f>
        <v>RP-G24Q-132m-1L-8xx-3W-KN-G2</v>
      </c>
      <c r="AF661" s="1" t="str">
        <f>_xlfn.IFNA(VLOOKUP(Master_Reference[[#This Row],[C-Flex 3000K Eco Part Number]],Lutron_CFlex_Lookup[],MATCH("Lutron Kit PN",Lutron_CFlex_Lookup[#Headers],0),FALSE),"")</f>
        <v/>
      </c>
      <c r="AG661" s="1" t="str">
        <f>_xlfn.IFNA(VLOOKUP(Master_Reference[[#This Row],[C-Flex 3500K Eco Part Number]],Lutron_CFlex_Lookup[],MATCH("Lutron Kit PN",Lutron_CFlex_Lookup[#Headers],0),FALSE),"")</f>
        <v/>
      </c>
      <c r="AH661" s="1" t="str">
        <f>_xlfn.IFNA(VLOOKUP(Master_Reference[[#This Row],[C-Flex 4000K Eco Part Number]],Lutron_CFlex_Lookup[],MATCH("Lutron Kit PN",Lutron_CFlex_Lookup[#Headers],0),FALSE),"")</f>
        <v/>
      </c>
      <c r="AI661" s="1" t="str">
        <f>_xlfn.IFNA(VLOOKUP(Master_Reference[[#This Row],[C-Flex 5000K Eco Part Number]],Lutron_CFlex_Lookup[],MATCH("Lutron Kit PN",Lutron_CFlex_Lookup[#Headers],0),FALSE),"")</f>
        <v/>
      </c>
      <c r="AJ661" s="1" t="str">
        <f>_xlfn.IFNA(VLOOKUP(Master_Reference[[#This Row],[C-Flex 3000K 3W Part Number]],Lutron_CFlex_Lookup[],MATCH("Lutron Kit PN",Lutron_CFlex_Lookup[#Headers],0),FALSE),"")</f>
        <v/>
      </c>
      <c r="AK661" s="1" t="str">
        <f>_xlfn.IFNA(VLOOKUP(Master_Reference[[#This Row],[C-Flex 3500K 3W Part Number]],Lutron_CFlex_Lookup[],MATCH("Lutron Kit PN",Lutron_CFlex_Lookup[#Headers],0),FALSE),"")</f>
        <v/>
      </c>
      <c r="AL661" s="1" t="str">
        <f>_xlfn.IFNA(VLOOKUP(Master_Reference[[#This Row],[C-Flex 4000K 3W Part Number]],Lutron_CFlex_Lookup[],MATCH("Lutron Kit PN",Lutron_CFlex_Lookup[#Headers],0),FALSE),"")</f>
        <v/>
      </c>
      <c r="AM661" s="1" t="str">
        <f>_xlfn.IFNA(VLOOKUP(Master_Reference[[#This Row],[C-Flex 5000K 3W Part Number]],Lutron_CFlex_Lookup[],MATCH("Lutron Kit PN",Lutron_CFlex_Lookup[#Headers],0),FALSE),"")</f>
        <v/>
      </c>
      <c r="AN661" s="1" t="b">
        <f>NOT(ISNA(VLOOKUP(Master_Reference[[#This Row],[Model Number]],ObsoleteModels[],1,FALSE)))</f>
        <v>1</v>
      </c>
      <c r="AO661" s="1" t="str">
        <f>IF(LEFT(Master_Reference[[#This Row],[Model Number]],1)="U",LEFT(Master_Reference[[#This Row],[Model Number]],4),LEFT(Master_Reference[[#This Row],[Model Number]],3))</f>
        <v>FDB</v>
      </c>
    </row>
    <row r="662" spans="1:41" x14ac:dyDescent="0.25">
      <c r="A662" s="2" t="s">
        <v>957</v>
      </c>
      <c r="B662" s="1"/>
      <c r="C662" s="1" t="b">
        <v>1</v>
      </c>
      <c r="G662" s="1" t="str">
        <f>IF(OR(LEFT(RIGHT(Master_Reference[[#This Row],[Model Number]],3),1)="C",LEFT(RIGHT(Master_Reference[[#This Row],[Model Number]],4),1)="C"),TRUE,"")</f>
        <v/>
      </c>
      <c r="H662" s="1" t="str">
        <f>IF(LEFT(Master_Reference[[#This Row],[Model Number]],1)="U",TRUE,"")</f>
        <v/>
      </c>
      <c r="I662" s="1" t="str">
        <f>IF(Master_Reference[[#This Row],[Lamp Type]]="T4","",IF(Master_Reference[[#This Row],[Case Type]]="M","",TRUE))</f>
        <v/>
      </c>
      <c r="J662" s="1" t="s">
        <v>87</v>
      </c>
      <c r="K662" s="1">
        <v>42</v>
      </c>
      <c r="L662" s="1" t="s">
        <v>88</v>
      </c>
      <c r="M662" s="1">
        <v>1</v>
      </c>
      <c r="N662" s="1">
        <v>120</v>
      </c>
      <c r="O662" s="1" t="s">
        <v>89</v>
      </c>
      <c r="P662" s="1" t="b">
        <v>1</v>
      </c>
      <c r="R662" t="b">
        <f>IF(COUNTBLANK(Master_Reference[[#This Row],[C-Flex 3000K Eco Part Number]:[C-Flex 4000K Eco Part Number]])=3,FALSE,TRUE)</f>
        <v>0</v>
      </c>
      <c r="S662" t="b">
        <f>IF(COUNTBLANK(Master_Reference[[#This Row],[C-Flex 3000K 3W Part Number]:[C-Flex 4000K 3W Part Number]])=3,FALSE,TRUE)</f>
        <v>1</v>
      </c>
      <c r="T662" s="1" t="b">
        <f>IF(COUNTBLANK(Master_Reference[[#This Row],[Lutron 3000K Eco Part Number]:[Lutron 4000K Eco Part Number]])=3,FALSE,TRUE)</f>
        <v>0</v>
      </c>
      <c r="U662" s="1" t="b">
        <f>IF(COUNTBLANK(Master_Reference[[#This Row],[Lutron 3000K 3W Part Number]:[Lutron 4000K 3W Part Number]])=3,FALSE,TRUE)</f>
        <v>0</v>
      </c>
      <c r="V662" s="13"/>
      <c r="W662" s="13"/>
      <c r="X662" s="12"/>
      <c r="Y662" t="s">
        <v>2125</v>
      </c>
      <c r="Z662" s="12" t="s">
        <v>179</v>
      </c>
      <c r="AA662" s="12" t="s">
        <v>180</v>
      </c>
      <c r="AB662" s="12" t="s">
        <v>181</v>
      </c>
      <c r="AC662" t="s">
        <v>2125</v>
      </c>
      <c r="AD662" t="str">
        <f>SUBSTITUTE(Master_Reference[[#This Row],[C-Flex 4000K Eco Part Number]],"40-","xx-")</f>
        <v/>
      </c>
      <c r="AE662" t="str">
        <f>SUBSTITUTE(Master_Reference[[#This Row],[C-Flex 4000K 3W Part Number]],"40-","xx-")</f>
        <v>RP-G24Q-142m-1L-8xx-3W-K-G2</v>
      </c>
      <c r="AF662" s="1" t="str">
        <f>_xlfn.IFNA(VLOOKUP(Master_Reference[[#This Row],[C-Flex 3000K Eco Part Number]],Lutron_CFlex_Lookup[],MATCH("Lutron Kit PN",Lutron_CFlex_Lookup[#Headers],0),FALSE),"")</f>
        <v/>
      </c>
      <c r="AG662" s="1" t="str">
        <f>_xlfn.IFNA(VLOOKUP(Master_Reference[[#This Row],[C-Flex 3500K Eco Part Number]],Lutron_CFlex_Lookup[],MATCH("Lutron Kit PN",Lutron_CFlex_Lookup[#Headers],0),FALSE),"")</f>
        <v/>
      </c>
      <c r="AH662" s="1" t="str">
        <f>_xlfn.IFNA(VLOOKUP(Master_Reference[[#This Row],[C-Flex 4000K Eco Part Number]],Lutron_CFlex_Lookup[],MATCH("Lutron Kit PN",Lutron_CFlex_Lookup[#Headers],0),FALSE),"")</f>
        <v/>
      </c>
      <c r="AI662" s="1" t="str">
        <f>_xlfn.IFNA(VLOOKUP(Master_Reference[[#This Row],[C-Flex 5000K Eco Part Number]],Lutron_CFlex_Lookup[],MATCH("Lutron Kit PN",Lutron_CFlex_Lookup[#Headers],0),FALSE),"")</f>
        <v/>
      </c>
      <c r="AJ662" s="1" t="str">
        <f>_xlfn.IFNA(VLOOKUP(Master_Reference[[#This Row],[C-Flex 3000K 3W Part Number]],Lutron_CFlex_Lookup[],MATCH("Lutron Kit PN",Lutron_CFlex_Lookup[#Headers],0),FALSE),"")</f>
        <v/>
      </c>
      <c r="AK662" s="1" t="str">
        <f>_xlfn.IFNA(VLOOKUP(Master_Reference[[#This Row],[C-Flex 3500K 3W Part Number]],Lutron_CFlex_Lookup[],MATCH("Lutron Kit PN",Lutron_CFlex_Lookup[#Headers],0),FALSE),"")</f>
        <v/>
      </c>
      <c r="AL662" s="1" t="str">
        <f>_xlfn.IFNA(VLOOKUP(Master_Reference[[#This Row],[C-Flex 4000K 3W Part Number]],Lutron_CFlex_Lookup[],MATCH("Lutron Kit PN",Lutron_CFlex_Lookup[#Headers],0),FALSE),"")</f>
        <v/>
      </c>
      <c r="AM662" s="1" t="str">
        <f>_xlfn.IFNA(VLOOKUP(Master_Reference[[#This Row],[C-Flex 5000K 3W Part Number]],Lutron_CFlex_Lookup[],MATCH("Lutron Kit PN",Lutron_CFlex_Lookup[#Headers],0),FALSE),"")</f>
        <v/>
      </c>
      <c r="AN662" s="1" t="b">
        <f>NOT(ISNA(VLOOKUP(Master_Reference[[#This Row],[Model Number]],ObsoleteModels[],1,FALSE)))</f>
        <v>1</v>
      </c>
      <c r="AO662" s="1" t="str">
        <f>IF(LEFT(Master_Reference[[#This Row],[Model Number]],1)="U",LEFT(Master_Reference[[#This Row],[Model Number]],4),LEFT(Master_Reference[[#This Row],[Model Number]],3))</f>
        <v>FDB</v>
      </c>
    </row>
    <row r="663" spans="1:41" x14ac:dyDescent="0.25">
      <c r="A663" s="2" t="s">
        <v>958</v>
      </c>
      <c r="B663" s="1"/>
      <c r="C663" s="1" t="b">
        <v>1</v>
      </c>
      <c r="G663" s="1" t="str">
        <f>IF(OR(LEFT(RIGHT(Master_Reference[[#This Row],[Model Number]],3),1)="C",LEFT(RIGHT(Master_Reference[[#This Row],[Model Number]],4),1)="C"),TRUE,"")</f>
        <v/>
      </c>
      <c r="H663" s="1" t="str">
        <f>IF(LEFT(Master_Reference[[#This Row],[Model Number]],1)="U",TRUE,"")</f>
        <v/>
      </c>
      <c r="I663" s="1" t="str">
        <f>IF(Master_Reference[[#This Row],[Lamp Type]]="T4","",IF(Master_Reference[[#This Row],[Case Type]]="M","",TRUE))</f>
        <v/>
      </c>
      <c r="J663" s="1" t="s">
        <v>87</v>
      </c>
      <c r="K663" s="1">
        <v>42</v>
      </c>
      <c r="L663" s="1" t="s">
        <v>88</v>
      </c>
      <c r="M663" s="1">
        <v>1</v>
      </c>
      <c r="N663" s="1">
        <v>120</v>
      </c>
      <c r="O663" s="1" t="s">
        <v>89</v>
      </c>
      <c r="R663" t="b">
        <f>IF(COUNTBLANK(Master_Reference[[#This Row],[C-Flex 3000K Eco Part Number]:[C-Flex 4000K Eco Part Number]])=3,FALSE,TRUE)</f>
        <v>0</v>
      </c>
      <c r="S663" t="b">
        <f>IF(COUNTBLANK(Master_Reference[[#This Row],[C-Flex 3000K 3W Part Number]:[C-Flex 4000K 3W Part Number]])=3,FALSE,TRUE)</f>
        <v>1</v>
      </c>
      <c r="T663" s="1" t="b">
        <f>IF(COUNTBLANK(Master_Reference[[#This Row],[Lutron 3000K Eco Part Number]:[Lutron 4000K Eco Part Number]])=3,FALSE,TRUE)</f>
        <v>0</v>
      </c>
      <c r="U663" s="1" t="b">
        <f>IF(COUNTBLANK(Master_Reference[[#This Row],[Lutron 3000K 3W Part Number]:[Lutron 4000K 3W Part Number]])=3,FALSE,TRUE)</f>
        <v>0</v>
      </c>
      <c r="V663" s="13"/>
      <c r="W663" s="13"/>
      <c r="X663" s="12"/>
      <c r="Y663" t="s">
        <v>2125</v>
      </c>
      <c r="Z663" s="12" t="s">
        <v>171</v>
      </c>
      <c r="AA663" s="12" t="s">
        <v>172</v>
      </c>
      <c r="AB663" s="12" t="s">
        <v>173</v>
      </c>
      <c r="AC663" t="s">
        <v>2125</v>
      </c>
      <c r="AD663" t="str">
        <f>SUBSTITUTE(Master_Reference[[#This Row],[C-Flex 4000K Eco Part Number]],"40-","xx-")</f>
        <v/>
      </c>
      <c r="AE663" t="str">
        <f>SUBSTITUTE(Master_Reference[[#This Row],[C-Flex 4000K 3W Part Number]],"40-","xx-")</f>
        <v>RP-G24Q-142m-1L-8xx-3W-KN-G2</v>
      </c>
      <c r="AF663" s="1" t="str">
        <f>_xlfn.IFNA(VLOOKUP(Master_Reference[[#This Row],[C-Flex 3000K Eco Part Number]],Lutron_CFlex_Lookup[],MATCH("Lutron Kit PN",Lutron_CFlex_Lookup[#Headers],0),FALSE),"")</f>
        <v/>
      </c>
      <c r="AG663" s="1" t="str">
        <f>_xlfn.IFNA(VLOOKUP(Master_Reference[[#This Row],[C-Flex 3500K Eco Part Number]],Lutron_CFlex_Lookup[],MATCH("Lutron Kit PN",Lutron_CFlex_Lookup[#Headers],0),FALSE),"")</f>
        <v/>
      </c>
      <c r="AH663" s="1" t="str">
        <f>_xlfn.IFNA(VLOOKUP(Master_Reference[[#This Row],[C-Flex 4000K Eco Part Number]],Lutron_CFlex_Lookup[],MATCH("Lutron Kit PN",Lutron_CFlex_Lookup[#Headers],0),FALSE),"")</f>
        <v/>
      </c>
      <c r="AI663" s="1" t="str">
        <f>_xlfn.IFNA(VLOOKUP(Master_Reference[[#This Row],[C-Flex 5000K Eco Part Number]],Lutron_CFlex_Lookup[],MATCH("Lutron Kit PN",Lutron_CFlex_Lookup[#Headers],0),FALSE),"")</f>
        <v/>
      </c>
      <c r="AJ663" s="1" t="str">
        <f>_xlfn.IFNA(VLOOKUP(Master_Reference[[#This Row],[C-Flex 3000K 3W Part Number]],Lutron_CFlex_Lookup[],MATCH("Lutron Kit PN",Lutron_CFlex_Lookup[#Headers],0),FALSE),"")</f>
        <v/>
      </c>
      <c r="AK663" s="1" t="str">
        <f>_xlfn.IFNA(VLOOKUP(Master_Reference[[#This Row],[C-Flex 3500K 3W Part Number]],Lutron_CFlex_Lookup[],MATCH("Lutron Kit PN",Lutron_CFlex_Lookup[#Headers],0),FALSE),"")</f>
        <v/>
      </c>
      <c r="AL663" s="1" t="str">
        <f>_xlfn.IFNA(VLOOKUP(Master_Reference[[#This Row],[C-Flex 4000K 3W Part Number]],Lutron_CFlex_Lookup[],MATCH("Lutron Kit PN",Lutron_CFlex_Lookup[#Headers],0),FALSE),"")</f>
        <v/>
      </c>
      <c r="AM663" s="1" t="str">
        <f>_xlfn.IFNA(VLOOKUP(Master_Reference[[#This Row],[C-Flex 5000K 3W Part Number]],Lutron_CFlex_Lookup[],MATCH("Lutron Kit PN",Lutron_CFlex_Lookup[#Headers],0),FALSE),"")</f>
        <v/>
      </c>
      <c r="AN663" s="1" t="b">
        <f>NOT(ISNA(VLOOKUP(Master_Reference[[#This Row],[Model Number]],ObsoleteModels[],1,FALSE)))</f>
        <v>1</v>
      </c>
      <c r="AO663" s="1" t="str">
        <f>IF(LEFT(Master_Reference[[#This Row],[Model Number]],1)="U",LEFT(Master_Reference[[#This Row],[Model Number]],4),LEFT(Master_Reference[[#This Row],[Model Number]],3))</f>
        <v>FDB</v>
      </c>
    </row>
    <row r="664" spans="1:41" x14ac:dyDescent="0.25">
      <c r="A664" s="2" t="s">
        <v>959</v>
      </c>
      <c r="B664" s="1"/>
      <c r="C664" s="1" t="b">
        <v>1</v>
      </c>
      <c r="G664" s="1" t="str">
        <f>IF(OR(LEFT(RIGHT(Master_Reference[[#This Row],[Model Number]],3),1)="C",LEFT(RIGHT(Master_Reference[[#This Row],[Model Number]],4),1)="C"),TRUE,"")</f>
        <v/>
      </c>
      <c r="H664" s="1" t="str">
        <f>IF(LEFT(Master_Reference[[#This Row],[Model Number]],1)="U",TRUE,"")</f>
        <v/>
      </c>
      <c r="I664" s="1" t="str">
        <f>IF(Master_Reference[[#This Row],[Lamp Type]]="T4","",IF(Master_Reference[[#This Row],[Case Type]]="M","",TRUE))</f>
        <v/>
      </c>
      <c r="J664" s="1" t="s">
        <v>87</v>
      </c>
      <c r="K664" s="1">
        <v>42</v>
      </c>
      <c r="L664" s="1" t="s">
        <v>88</v>
      </c>
      <c r="M664" s="1">
        <v>1</v>
      </c>
      <c r="N664" s="1">
        <v>277</v>
      </c>
      <c r="O664" s="1" t="s">
        <v>89</v>
      </c>
      <c r="P664" s="1" t="b">
        <v>1</v>
      </c>
      <c r="R664" t="b">
        <f>IF(COUNTBLANK(Master_Reference[[#This Row],[C-Flex 3000K Eco Part Number]:[C-Flex 4000K Eco Part Number]])=3,FALSE,TRUE)</f>
        <v>0</v>
      </c>
      <c r="S664" t="b">
        <f>IF(COUNTBLANK(Master_Reference[[#This Row],[C-Flex 3000K 3W Part Number]:[C-Flex 4000K 3W Part Number]])=3,FALSE,TRUE)</f>
        <v>1</v>
      </c>
      <c r="T664" s="1" t="b">
        <f>IF(COUNTBLANK(Master_Reference[[#This Row],[Lutron 3000K Eco Part Number]:[Lutron 4000K Eco Part Number]])=3,FALSE,TRUE)</f>
        <v>0</v>
      </c>
      <c r="U664" s="1" t="b">
        <f>IF(COUNTBLANK(Master_Reference[[#This Row],[Lutron 3000K 3W Part Number]:[Lutron 4000K 3W Part Number]])=3,FALSE,TRUE)</f>
        <v>0</v>
      </c>
      <c r="V664" s="13"/>
      <c r="W664" s="13"/>
      <c r="X664" s="12"/>
      <c r="Y664" t="s">
        <v>2125</v>
      </c>
      <c r="Z664" s="12" t="s">
        <v>179</v>
      </c>
      <c r="AA664" s="12" t="s">
        <v>180</v>
      </c>
      <c r="AB664" s="12" t="s">
        <v>181</v>
      </c>
      <c r="AC664" t="s">
        <v>2125</v>
      </c>
      <c r="AD664" t="str">
        <f>SUBSTITUTE(Master_Reference[[#This Row],[C-Flex 4000K Eco Part Number]],"40-","xx-")</f>
        <v/>
      </c>
      <c r="AE664" t="str">
        <f>SUBSTITUTE(Master_Reference[[#This Row],[C-Flex 4000K 3W Part Number]],"40-","xx-")</f>
        <v>RP-G24Q-142m-1L-8xx-3W-K-G2</v>
      </c>
      <c r="AF664" s="1" t="str">
        <f>_xlfn.IFNA(VLOOKUP(Master_Reference[[#This Row],[C-Flex 3000K Eco Part Number]],Lutron_CFlex_Lookup[],MATCH("Lutron Kit PN",Lutron_CFlex_Lookup[#Headers],0),FALSE),"")</f>
        <v/>
      </c>
      <c r="AG664" s="1" t="str">
        <f>_xlfn.IFNA(VLOOKUP(Master_Reference[[#This Row],[C-Flex 3500K Eco Part Number]],Lutron_CFlex_Lookup[],MATCH("Lutron Kit PN",Lutron_CFlex_Lookup[#Headers],0),FALSE),"")</f>
        <v/>
      </c>
      <c r="AH664" s="1" t="str">
        <f>_xlfn.IFNA(VLOOKUP(Master_Reference[[#This Row],[C-Flex 4000K Eco Part Number]],Lutron_CFlex_Lookup[],MATCH("Lutron Kit PN",Lutron_CFlex_Lookup[#Headers],0),FALSE),"")</f>
        <v/>
      </c>
      <c r="AI664" s="1" t="str">
        <f>_xlfn.IFNA(VLOOKUP(Master_Reference[[#This Row],[C-Flex 5000K Eco Part Number]],Lutron_CFlex_Lookup[],MATCH("Lutron Kit PN",Lutron_CFlex_Lookup[#Headers],0),FALSE),"")</f>
        <v/>
      </c>
      <c r="AJ664" s="1" t="str">
        <f>_xlfn.IFNA(VLOOKUP(Master_Reference[[#This Row],[C-Flex 3000K 3W Part Number]],Lutron_CFlex_Lookup[],MATCH("Lutron Kit PN",Lutron_CFlex_Lookup[#Headers],0),FALSE),"")</f>
        <v/>
      </c>
      <c r="AK664" s="1" t="str">
        <f>_xlfn.IFNA(VLOOKUP(Master_Reference[[#This Row],[C-Flex 3500K 3W Part Number]],Lutron_CFlex_Lookup[],MATCH("Lutron Kit PN",Lutron_CFlex_Lookup[#Headers],0),FALSE),"")</f>
        <v/>
      </c>
      <c r="AL664" s="1" t="str">
        <f>_xlfn.IFNA(VLOOKUP(Master_Reference[[#This Row],[C-Flex 4000K 3W Part Number]],Lutron_CFlex_Lookup[],MATCH("Lutron Kit PN",Lutron_CFlex_Lookup[#Headers],0),FALSE),"")</f>
        <v/>
      </c>
      <c r="AM664" s="1" t="str">
        <f>_xlfn.IFNA(VLOOKUP(Master_Reference[[#This Row],[C-Flex 5000K 3W Part Number]],Lutron_CFlex_Lookup[],MATCH("Lutron Kit PN",Lutron_CFlex_Lookup[#Headers],0),FALSE),"")</f>
        <v/>
      </c>
      <c r="AN664" s="1" t="b">
        <f>NOT(ISNA(VLOOKUP(Master_Reference[[#This Row],[Model Number]],ObsoleteModels[],1,FALSE)))</f>
        <v>1</v>
      </c>
      <c r="AO664" s="1" t="str">
        <f>IF(LEFT(Master_Reference[[#This Row],[Model Number]],1)="U",LEFT(Master_Reference[[#This Row],[Model Number]],4),LEFT(Master_Reference[[#This Row],[Model Number]],3))</f>
        <v>FDB</v>
      </c>
    </row>
    <row r="665" spans="1:41" x14ac:dyDescent="0.25">
      <c r="A665" s="2" t="s">
        <v>960</v>
      </c>
      <c r="B665" s="1"/>
      <c r="C665" s="1" t="b">
        <v>1</v>
      </c>
      <c r="G665" s="1" t="str">
        <f>IF(OR(LEFT(RIGHT(Master_Reference[[#This Row],[Model Number]],3),1)="C",LEFT(RIGHT(Master_Reference[[#This Row],[Model Number]],4),1)="C"),TRUE,"")</f>
        <v/>
      </c>
      <c r="H665" s="1" t="str">
        <f>IF(LEFT(Master_Reference[[#This Row],[Model Number]],1)="U",TRUE,"")</f>
        <v/>
      </c>
      <c r="I665" s="1" t="str">
        <f>IF(Master_Reference[[#This Row],[Lamp Type]]="T4","",IF(Master_Reference[[#This Row],[Case Type]]="M","",TRUE))</f>
        <v/>
      </c>
      <c r="J665" s="1" t="s">
        <v>87</v>
      </c>
      <c r="K665" s="1">
        <v>42</v>
      </c>
      <c r="L665" s="1" t="s">
        <v>88</v>
      </c>
      <c r="M665" s="1">
        <v>1</v>
      </c>
      <c r="N665" s="1">
        <v>277</v>
      </c>
      <c r="O665" s="1" t="s">
        <v>89</v>
      </c>
      <c r="R665" t="b">
        <f>IF(COUNTBLANK(Master_Reference[[#This Row],[C-Flex 3000K Eco Part Number]:[C-Flex 4000K Eco Part Number]])=3,FALSE,TRUE)</f>
        <v>0</v>
      </c>
      <c r="S665" t="b">
        <f>IF(COUNTBLANK(Master_Reference[[#This Row],[C-Flex 3000K 3W Part Number]:[C-Flex 4000K 3W Part Number]])=3,FALSE,TRUE)</f>
        <v>1</v>
      </c>
      <c r="T665" s="1" t="b">
        <f>IF(COUNTBLANK(Master_Reference[[#This Row],[Lutron 3000K Eco Part Number]:[Lutron 4000K Eco Part Number]])=3,FALSE,TRUE)</f>
        <v>0</v>
      </c>
      <c r="U665" s="1" t="b">
        <f>IF(COUNTBLANK(Master_Reference[[#This Row],[Lutron 3000K 3W Part Number]:[Lutron 4000K 3W Part Number]])=3,FALSE,TRUE)</f>
        <v>0</v>
      </c>
      <c r="V665" s="13"/>
      <c r="W665" s="13"/>
      <c r="X665" s="12"/>
      <c r="Y665" t="s">
        <v>2125</v>
      </c>
      <c r="Z665" s="12" t="s">
        <v>171</v>
      </c>
      <c r="AA665" s="12" t="s">
        <v>172</v>
      </c>
      <c r="AB665" s="12" t="s">
        <v>173</v>
      </c>
      <c r="AC665" t="s">
        <v>2125</v>
      </c>
      <c r="AD665" t="str">
        <f>SUBSTITUTE(Master_Reference[[#This Row],[C-Flex 4000K Eco Part Number]],"40-","xx-")</f>
        <v/>
      </c>
      <c r="AE665" t="str">
        <f>SUBSTITUTE(Master_Reference[[#This Row],[C-Flex 4000K 3W Part Number]],"40-","xx-")</f>
        <v>RP-G24Q-142m-1L-8xx-3W-KN-G2</v>
      </c>
      <c r="AF665" s="1" t="str">
        <f>_xlfn.IFNA(VLOOKUP(Master_Reference[[#This Row],[C-Flex 3000K Eco Part Number]],Lutron_CFlex_Lookup[],MATCH("Lutron Kit PN",Lutron_CFlex_Lookup[#Headers],0),FALSE),"")</f>
        <v/>
      </c>
      <c r="AG665" s="1" t="str">
        <f>_xlfn.IFNA(VLOOKUP(Master_Reference[[#This Row],[C-Flex 3500K Eco Part Number]],Lutron_CFlex_Lookup[],MATCH("Lutron Kit PN",Lutron_CFlex_Lookup[#Headers],0),FALSE),"")</f>
        <v/>
      </c>
      <c r="AH665" s="1" t="str">
        <f>_xlfn.IFNA(VLOOKUP(Master_Reference[[#This Row],[C-Flex 4000K Eco Part Number]],Lutron_CFlex_Lookup[],MATCH("Lutron Kit PN",Lutron_CFlex_Lookup[#Headers],0),FALSE),"")</f>
        <v/>
      </c>
      <c r="AI665" s="1" t="str">
        <f>_xlfn.IFNA(VLOOKUP(Master_Reference[[#This Row],[C-Flex 5000K Eco Part Number]],Lutron_CFlex_Lookup[],MATCH("Lutron Kit PN",Lutron_CFlex_Lookup[#Headers],0),FALSE),"")</f>
        <v/>
      </c>
      <c r="AJ665" s="1" t="str">
        <f>_xlfn.IFNA(VLOOKUP(Master_Reference[[#This Row],[C-Flex 3000K 3W Part Number]],Lutron_CFlex_Lookup[],MATCH("Lutron Kit PN",Lutron_CFlex_Lookup[#Headers],0),FALSE),"")</f>
        <v/>
      </c>
      <c r="AK665" s="1" t="str">
        <f>_xlfn.IFNA(VLOOKUP(Master_Reference[[#This Row],[C-Flex 3500K 3W Part Number]],Lutron_CFlex_Lookup[],MATCH("Lutron Kit PN",Lutron_CFlex_Lookup[#Headers],0),FALSE),"")</f>
        <v/>
      </c>
      <c r="AL665" s="1" t="str">
        <f>_xlfn.IFNA(VLOOKUP(Master_Reference[[#This Row],[C-Flex 4000K 3W Part Number]],Lutron_CFlex_Lookup[],MATCH("Lutron Kit PN",Lutron_CFlex_Lookup[#Headers],0),FALSE),"")</f>
        <v/>
      </c>
      <c r="AM665" s="1" t="str">
        <f>_xlfn.IFNA(VLOOKUP(Master_Reference[[#This Row],[C-Flex 5000K 3W Part Number]],Lutron_CFlex_Lookup[],MATCH("Lutron Kit PN",Lutron_CFlex_Lookup[#Headers],0),FALSE),"")</f>
        <v/>
      </c>
      <c r="AN665" s="1" t="b">
        <f>NOT(ISNA(VLOOKUP(Master_Reference[[#This Row],[Model Number]],ObsoleteModels[],1,FALSE)))</f>
        <v>1</v>
      </c>
      <c r="AO665" s="1" t="str">
        <f>IF(LEFT(Master_Reference[[#This Row],[Model Number]],1)="U",LEFT(Master_Reference[[#This Row],[Model Number]],4),LEFT(Master_Reference[[#This Row],[Model Number]],3))</f>
        <v>FDB</v>
      </c>
    </row>
    <row r="666" spans="1:41" x14ac:dyDescent="0.25">
      <c r="A666" s="2" t="s">
        <v>961</v>
      </c>
      <c r="B666" s="1"/>
      <c r="C666" s="1" t="b">
        <v>1</v>
      </c>
      <c r="G666" s="1" t="str">
        <f>IF(OR(LEFT(RIGHT(Master_Reference[[#This Row],[Model Number]],3),1)="C",LEFT(RIGHT(Master_Reference[[#This Row],[Model Number]],4),1)="C"),TRUE,"")</f>
        <v/>
      </c>
      <c r="H666" s="1" t="str">
        <f>IF(LEFT(Master_Reference[[#This Row],[Model Number]],1)="U",TRUE,"")</f>
        <v/>
      </c>
      <c r="I666" s="1" t="str">
        <f>IF(Master_Reference[[#This Row],[Lamp Type]]="T4","",IF(Master_Reference[[#This Row],[Case Type]]="M","",TRUE))</f>
        <v/>
      </c>
      <c r="J666" s="1" t="s">
        <v>87</v>
      </c>
      <c r="K666" s="1">
        <v>18</v>
      </c>
      <c r="L666" s="1" t="s">
        <v>88</v>
      </c>
      <c r="M666" s="1">
        <v>1</v>
      </c>
      <c r="N666" s="1">
        <v>120</v>
      </c>
      <c r="O666" s="1" t="s">
        <v>89</v>
      </c>
      <c r="R666" t="b">
        <f>IF(COUNTBLANK(Master_Reference[[#This Row],[C-Flex 3000K Eco Part Number]:[C-Flex 4000K Eco Part Number]])=3,FALSE,TRUE)</f>
        <v>0</v>
      </c>
      <c r="S666" t="b">
        <f>IF(COUNTBLANK(Master_Reference[[#This Row],[C-Flex 3000K 3W Part Number]:[C-Flex 4000K 3W Part Number]])=3,FALSE,TRUE)</f>
        <v>1</v>
      </c>
      <c r="T666" t="b">
        <f>IF(COUNTBLANK(Master_Reference[[#This Row],[Lutron 3000K Eco Part Number]:[Lutron 4000K Eco Part Number]])=3,FALSE,TRUE)</f>
        <v>0</v>
      </c>
      <c r="U666" t="b">
        <f>IF(COUNTBLANK(Master_Reference[[#This Row],[Lutron 3000K 3W Part Number]:[Lutron 4000K 3W Part Number]])=3,FALSE,TRUE)</f>
        <v>0</v>
      </c>
      <c r="V666" s="12"/>
      <c r="W666" s="12"/>
      <c r="X666" s="12"/>
      <c r="Y666" t="s">
        <v>2125</v>
      </c>
      <c r="Z666" s="12" t="s">
        <v>154</v>
      </c>
      <c r="AA666" s="12" t="s">
        <v>155</v>
      </c>
      <c r="AB666" s="12" t="s">
        <v>156</v>
      </c>
      <c r="AC666" t="s">
        <v>2125</v>
      </c>
      <c r="AD666" t="str">
        <f>SUBSTITUTE(Master_Reference[[#This Row],[C-Flex 4000K Eco Part Number]],"40-","xx-")</f>
        <v/>
      </c>
      <c r="AE666" t="str">
        <f>SUBSTITUTE(Master_Reference[[#This Row],[C-Flex 4000K 3W Part Number]],"40-","xx-")</f>
        <v>RP-G24Q-126m-1L-8xx-3W-KN-G2</v>
      </c>
      <c r="AF666" s="1" t="str">
        <f>_xlfn.IFNA(VLOOKUP(Master_Reference[[#This Row],[C-Flex 3000K Eco Part Number]],Lutron_CFlex_Lookup[],MATCH("Lutron Kit PN",Lutron_CFlex_Lookup[#Headers],0),FALSE),"")</f>
        <v/>
      </c>
      <c r="AG666" s="1" t="str">
        <f>_xlfn.IFNA(VLOOKUP(Master_Reference[[#This Row],[C-Flex 3500K Eco Part Number]],Lutron_CFlex_Lookup[],MATCH("Lutron Kit PN",Lutron_CFlex_Lookup[#Headers],0),FALSE),"")</f>
        <v/>
      </c>
      <c r="AH666" s="1" t="str">
        <f>_xlfn.IFNA(VLOOKUP(Master_Reference[[#This Row],[C-Flex 4000K Eco Part Number]],Lutron_CFlex_Lookup[],MATCH("Lutron Kit PN",Lutron_CFlex_Lookup[#Headers],0),FALSE),"")</f>
        <v/>
      </c>
      <c r="AI666" s="1" t="str">
        <f>_xlfn.IFNA(VLOOKUP(Master_Reference[[#This Row],[C-Flex 5000K Eco Part Number]],Lutron_CFlex_Lookup[],MATCH("Lutron Kit PN",Lutron_CFlex_Lookup[#Headers],0),FALSE),"")</f>
        <v/>
      </c>
      <c r="AJ666" s="1" t="str">
        <f>_xlfn.IFNA(VLOOKUP(Master_Reference[[#This Row],[C-Flex 3000K 3W Part Number]],Lutron_CFlex_Lookup[],MATCH("Lutron Kit PN",Lutron_CFlex_Lookup[#Headers],0),FALSE),"")</f>
        <v/>
      </c>
      <c r="AK666" s="1" t="str">
        <f>_xlfn.IFNA(VLOOKUP(Master_Reference[[#This Row],[C-Flex 3500K 3W Part Number]],Lutron_CFlex_Lookup[],MATCH("Lutron Kit PN",Lutron_CFlex_Lookup[#Headers],0),FALSE),"")</f>
        <v/>
      </c>
      <c r="AL666" s="1" t="str">
        <f>_xlfn.IFNA(VLOOKUP(Master_Reference[[#This Row],[C-Flex 4000K 3W Part Number]],Lutron_CFlex_Lookup[],MATCH("Lutron Kit PN",Lutron_CFlex_Lookup[#Headers],0),FALSE),"")</f>
        <v/>
      </c>
      <c r="AM666" s="1" t="str">
        <f>_xlfn.IFNA(VLOOKUP(Master_Reference[[#This Row],[C-Flex 5000K 3W Part Number]],Lutron_CFlex_Lookup[],MATCH("Lutron Kit PN",Lutron_CFlex_Lookup[#Headers],0),FALSE),"")</f>
        <v/>
      </c>
      <c r="AN666" s="1" t="b">
        <f>NOT(ISNA(VLOOKUP(Master_Reference[[#This Row],[Model Number]],ObsoleteModels[],1,FALSE)))</f>
        <v>1</v>
      </c>
      <c r="AO666" s="1" t="str">
        <f>IF(LEFT(Master_Reference[[#This Row],[Model Number]],1)="U",LEFT(Master_Reference[[#This Row],[Model Number]],4),LEFT(Master_Reference[[#This Row],[Model Number]],3))</f>
        <v>FDB</v>
      </c>
    </row>
    <row r="667" spans="1:41" x14ac:dyDescent="0.25">
      <c r="A667" s="2" t="s">
        <v>962</v>
      </c>
      <c r="B667" s="1"/>
      <c r="C667" s="1" t="b">
        <v>1</v>
      </c>
      <c r="G667" s="1" t="str">
        <f>IF(OR(LEFT(RIGHT(Master_Reference[[#This Row],[Model Number]],3),1)="C",LEFT(RIGHT(Master_Reference[[#This Row],[Model Number]],4),1)="C"),TRUE,"")</f>
        <v/>
      </c>
      <c r="H667" s="1" t="str">
        <f>IF(LEFT(Master_Reference[[#This Row],[Model Number]],1)="U",TRUE,"")</f>
        <v/>
      </c>
      <c r="I667" s="1" t="str">
        <f>IF(Master_Reference[[#This Row],[Lamp Type]]="T4","",IF(Master_Reference[[#This Row],[Case Type]]="M","",TRUE))</f>
        <v/>
      </c>
      <c r="J667" s="1" t="s">
        <v>87</v>
      </c>
      <c r="K667" s="1">
        <v>18</v>
      </c>
      <c r="L667" s="1" t="s">
        <v>88</v>
      </c>
      <c r="M667" s="1">
        <v>1</v>
      </c>
      <c r="N667" s="1">
        <v>120</v>
      </c>
      <c r="O667" s="1" t="s">
        <v>89</v>
      </c>
      <c r="P667" s="1" t="b">
        <v>1</v>
      </c>
      <c r="R667" t="b">
        <f>IF(COUNTBLANK(Master_Reference[[#This Row],[C-Flex 3000K Eco Part Number]:[C-Flex 4000K Eco Part Number]])=3,FALSE,TRUE)</f>
        <v>0</v>
      </c>
      <c r="S667" t="b">
        <f>IF(COUNTBLANK(Master_Reference[[#This Row],[C-Flex 3000K 3W Part Number]:[C-Flex 4000K 3W Part Number]])=3,FALSE,TRUE)</f>
        <v>1</v>
      </c>
      <c r="T667" t="b">
        <f>IF(COUNTBLANK(Master_Reference[[#This Row],[Lutron 3000K Eco Part Number]:[Lutron 4000K Eco Part Number]])=3,FALSE,TRUE)</f>
        <v>0</v>
      </c>
      <c r="U667" t="b">
        <f>IF(COUNTBLANK(Master_Reference[[#This Row],[Lutron 3000K 3W Part Number]:[Lutron 4000K 3W Part Number]])=3,FALSE,TRUE)</f>
        <v>0</v>
      </c>
      <c r="V667" s="12"/>
      <c r="W667" s="12"/>
      <c r="X667" s="12"/>
      <c r="Y667" t="s">
        <v>2125</v>
      </c>
      <c r="Z667" s="12" t="s">
        <v>161</v>
      </c>
      <c r="AA667" s="12" t="s">
        <v>162</v>
      </c>
      <c r="AB667" s="12" t="s">
        <v>163</v>
      </c>
      <c r="AC667" t="s">
        <v>2125</v>
      </c>
      <c r="AD667" t="str">
        <f>SUBSTITUTE(Master_Reference[[#This Row],[C-Flex 4000K Eco Part Number]],"40-","xx-")</f>
        <v/>
      </c>
      <c r="AE667" t="str">
        <f>SUBSTITUTE(Master_Reference[[#This Row],[C-Flex 4000K 3W Part Number]],"40-","xx-")</f>
        <v>RP-G24Q-126m-1L-8xx-3W-K-G2</v>
      </c>
      <c r="AF667" s="1" t="str">
        <f>_xlfn.IFNA(VLOOKUP(Master_Reference[[#This Row],[C-Flex 3000K Eco Part Number]],Lutron_CFlex_Lookup[],MATCH("Lutron Kit PN",Lutron_CFlex_Lookup[#Headers],0),FALSE),"")</f>
        <v/>
      </c>
      <c r="AG667" s="1" t="str">
        <f>_xlfn.IFNA(VLOOKUP(Master_Reference[[#This Row],[C-Flex 3500K Eco Part Number]],Lutron_CFlex_Lookup[],MATCH("Lutron Kit PN",Lutron_CFlex_Lookup[#Headers],0),FALSE),"")</f>
        <v/>
      </c>
      <c r="AH667" s="1" t="str">
        <f>_xlfn.IFNA(VLOOKUP(Master_Reference[[#This Row],[C-Flex 4000K Eco Part Number]],Lutron_CFlex_Lookup[],MATCH("Lutron Kit PN",Lutron_CFlex_Lookup[#Headers],0),FALSE),"")</f>
        <v/>
      </c>
      <c r="AI667" s="1" t="str">
        <f>_xlfn.IFNA(VLOOKUP(Master_Reference[[#This Row],[C-Flex 5000K Eco Part Number]],Lutron_CFlex_Lookup[],MATCH("Lutron Kit PN",Lutron_CFlex_Lookup[#Headers],0),FALSE),"")</f>
        <v/>
      </c>
      <c r="AJ667" s="1" t="str">
        <f>_xlfn.IFNA(VLOOKUP(Master_Reference[[#This Row],[C-Flex 3000K 3W Part Number]],Lutron_CFlex_Lookup[],MATCH("Lutron Kit PN",Lutron_CFlex_Lookup[#Headers],0),FALSE),"")</f>
        <v/>
      </c>
      <c r="AK667" s="1" t="str">
        <f>_xlfn.IFNA(VLOOKUP(Master_Reference[[#This Row],[C-Flex 3500K 3W Part Number]],Lutron_CFlex_Lookup[],MATCH("Lutron Kit PN",Lutron_CFlex_Lookup[#Headers],0),FALSE),"")</f>
        <v/>
      </c>
      <c r="AL667" s="1" t="str">
        <f>_xlfn.IFNA(VLOOKUP(Master_Reference[[#This Row],[C-Flex 4000K 3W Part Number]],Lutron_CFlex_Lookup[],MATCH("Lutron Kit PN",Lutron_CFlex_Lookup[#Headers],0),FALSE),"")</f>
        <v/>
      </c>
      <c r="AM667" s="1" t="str">
        <f>_xlfn.IFNA(VLOOKUP(Master_Reference[[#This Row],[C-Flex 5000K 3W Part Number]],Lutron_CFlex_Lookup[],MATCH("Lutron Kit PN",Lutron_CFlex_Lookup[#Headers],0),FALSE),"")</f>
        <v/>
      </c>
      <c r="AN667" s="1" t="b">
        <f>NOT(ISNA(VLOOKUP(Master_Reference[[#This Row],[Model Number]],ObsoleteModels[],1,FALSE)))</f>
        <v>1</v>
      </c>
      <c r="AO667" s="1" t="str">
        <f>IF(LEFT(Master_Reference[[#This Row],[Model Number]],1)="U",LEFT(Master_Reference[[#This Row],[Model Number]],4),LEFT(Master_Reference[[#This Row],[Model Number]],3))</f>
        <v>FDB</v>
      </c>
    </row>
    <row r="668" spans="1:41" x14ac:dyDescent="0.25">
      <c r="A668" s="2" t="s">
        <v>963</v>
      </c>
      <c r="B668" s="1"/>
      <c r="C668" s="1" t="b">
        <v>1</v>
      </c>
      <c r="G668" s="1" t="str">
        <f>IF(OR(LEFT(RIGHT(Master_Reference[[#This Row],[Model Number]],3),1)="C",LEFT(RIGHT(Master_Reference[[#This Row],[Model Number]],4),1)="C"),TRUE,"")</f>
        <v/>
      </c>
      <c r="H668" s="1" t="str">
        <f>IF(LEFT(Master_Reference[[#This Row],[Model Number]],1)="U",TRUE,"")</f>
        <v/>
      </c>
      <c r="I668" s="1" t="str">
        <f>IF(Master_Reference[[#This Row],[Lamp Type]]="T4","",IF(Master_Reference[[#This Row],[Case Type]]="M","",TRUE))</f>
        <v/>
      </c>
      <c r="J668" s="1" t="s">
        <v>87</v>
      </c>
      <c r="K668" s="1">
        <v>18</v>
      </c>
      <c r="L668" s="1" t="s">
        <v>88</v>
      </c>
      <c r="M668" s="1">
        <v>1</v>
      </c>
      <c r="N668" s="1">
        <v>120</v>
      </c>
      <c r="O668" s="1" t="s">
        <v>89</v>
      </c>
      <c r="Q668" s="1" t="s">
        <v>91</v>
      </c>
      <c r="R668" t="b">
        <f>IF(COUNTBLANK(Master_Reference[[#This Row],[C-Flex 3000K Eco Part Number]:[C-Flex 4000K Eco Part Number]])=3,FALSE,TRUE)</f>
        <v>0</v>
      </c>
      <c r="S668" t="b">
        <f>IF(COUNTBLANK(Master_Reference[[#This Row],[C-Flex 3000K 3W Part Number]:[C-Flex 4000K 3W Part Number]])=3,FALSE,TRUE)</f>
        <v>0</v>
      </c>
      <c r="T668" s="1" t="b">
        <f>IF(COUNTBLANK(Master_Reference[[#This Row],[Lutron 3000K Eco Part Number]:[Lutron 4000K Eco Part Number]])=3,FALSE,TRUE)</f>
        <v>0</v>
      </c>
      <c r="U668" s="1" t="b">
        <f>IF(COUNTBLANK(Master_Reference[[#This Row],[Lutron 3000K 3W Part Number]:[Lutron 4000K 3W Part Number]])=3,FALSE,TRUE)</f>
        <v>0</v>
      </c>
      <c r="V668" s="13"/>
      <c r="W668" s="13"/>
      <c r="X668" s="12"/>
      <c r="Y668" t="s">
        <v>2125</v>
      </c>
      <c r="Z668" s="12"/>
      <c r="AA668" s="12"/>
      <c r="AB668" s="12"/>
      <c r="AC668" t="s">
        <v>2125</v>
      </c>
      <c r="AD668" t="str">
        <f>SUBSTITUTE(Master_Reference[[#This Row],[C-Flex 4000K Eco Part Number]],"40-","xx-")</f>
        <v/>
      </c>
      <c r="AE668" t="str">
        <f>SUBSTITUTE(Master_Reference[[#This Row],[C-Flex 4000K 3W Part Number]],"40-","xx-")</f>
        <v/>
      </c>
      <c r="AF668" s="1" t="str">
        <f>_xlfn.IFNA(VLOOKUP(Master_Reference[[#This Row],[C-Flex 3000K Eco Part Number]],Lutron_CFlex_Lookup[],MATCH("Lutron Kit PN",Lutron_CFlex_Lookup[#Headers],0),FALSE),"")</f>
        <v/>
      </c>
      <c r="AG668" s="1" t="str">
        <f>_xlfn.IFNA(VLOOKUP(Master_Reference[[#This Row],[C-Flex 3500K Eco Part Number]],Lutron_CFlex_Lookup[],MATCH("Lutron Kit PN",Lutron_CFlex_Lookup[#Headers],0),FALSE),"")</f>
        <v/>
      </c>
      <c r="AH668" s="1" t="str">
        <f>_xlfn.IFNA(VLOOKUP(Master_Reference[[#This Row],[C-Flex 4000K Eco Part Number]],Lutron_CFlex_Lookup[],MATCH("Lutron Kit PN",Lutron_CFlex_Lookup[#Headers],0),FALSE),"")</f>
        <v/>
      </c>
      <c r="AI668" s="1" t="str">
        <f>_xlfn.IFNA(VLOOKUP(Master_Reference[[#This Row],[C-Flex 5000K Eco Part Number]],Lutron_CFlex_Lookup[],MATCH("Lutron Kit PN",Lutron_CFlex_Lookup[#Headers],0),FALSE),"")</f>
        <v/>
      </c>
      <c r="AJ668" s="1" t="str">
        <f>_xlfn.IFNA(VLOOKUP(Master_Reference[[#This Row],[C-Flex 3000K 3W Part Number]],Lutron_CFlex_Lookup[],MATCH("Lutron Kit PN",Lutron_CFlex_Lookup[#Headers],0),FALSE),"")</f>
        <v/>
      </c>
      <c r="AK668" s="1" t="str">
        <f>_xlfn.IFNA(VLOOKUP(Master_Reference[[#This Row],[C-Flex 3500K 3W Part Number]],Lutron_CFlex_Lookup[],MATCH("Lutron Kit PN",Lutron_CFlex_Lookup[#Headers],0),FALSE),"")</f>
        <v/>
      </c>
      <c r="AL668" s="1" t="str">
        <f>_xlfn.IFNA(VLOOKUP(Master_Reference[[#This Row],[C-Flex 4000K 3W Part Number]],Lutron_CFlex_Lookup[],MATCH("Lutron Kit PN",Lutron_CFlex_Lookup[#Headers],0),FALSE),"")</f>
        <v/>
      </c>
      <c r="AM668" s="1" t="str">
        <f>_xlfn.IFNA(VLOOKUP(Master_Reference[[#This Row],[C-Flex 5000K 3W Part Number]],Lutron_CFlex_Lookup[],MATCH("Lutron Kit PN",Lutron_CFlex_Lookup[#Headers],0),FALSE),"")</f>
        <v/>
      </c>
      <c r="AN668" s="1" t="b">
        <f>NOT(ISNA(VLOOKUP(Master_Reference[[#This Row],[Model Number]],ObsoleteModels[],1,FALSE)))</f>
        <v>1</v>
      </c>
      <c r="AO668" s="1" t="str">
        <f>IF(LEFT(Master_Reference[[#This Row],[Model Number]],1)="U",LEFT(Master_Reference[[#This Row],[Model Number]],4),LEFT(Master_Reference[[#This Row],[Model Number]],3))</f>
        <v>FDB</v>
      </c>
    </row>
    <row r="669" spans="1:41" x14ac:dyDescent="0.25">
      <c r="A669" s="2" t="s">
        <v>964</v>
      </c>
      <c r="B669" s="1"/>
      <c r="C669" s="1" t="b">
        <v>1</v>
      </c>
      <c r="G669" s="1" t="str">
        <f>IF(OR(LEFT(RIGHT(Master_Reference[[#This Row],[Model Number]],3),1)="C",LEFT(RIGHT(Master_Reference[[#This Row],[Model Number]],4),1)="C"),TRUE,"")</f>
        <v/>
      </c>
      <c r="H669" s="1" t="str">
        <f>IF(LEFT(Master_Reference[[#This Row],[Model Number]],1)="U",TRUE,"")</f>
        <v/>
      </c>
      <c r="I669" s="1" t="str">
        <f>IF(Master_Reference[[#This Row],[Lamp Type]]="T4","",IF(Master_Reference[[#This Row],[Case Type]]="M","",TRUE))</f>
        <v/>
      </c>
      <c r="J669" s="1" t="s">
        <v>87</v>
      </c>
      <c r="K669" s="1">
        <v>18</v>
      </c>
      <c r="L669" s="1" t="s">
        <v>88</v>
      </c>
      <c r="M669" s="1">
        <v>2</v>
      </c>
      <c r="N669" s="1">
        <v>120</v>
      </c>
      <c r="O669" s="1" t="s">
        <v>106</v>
      </c>
      <c r="R669" t="b">
        <f>IF(COUNTBLANK(Master_Reference[[#This Row],[C-Flex 3000K Eco Part Number]:[C-Flex 4000K Eco Part Number]])=3,FALSE,TRUE)</f>
        <v>0</v>
      </c>
      <c r="S669" t="b">
        <f>IF(COUNTBLANK(Master_Reference[[#This Row],[C-Flex 3000K 3W Part Number]:[C-Flex 4000K 3W Part Number]])=3,FALSE,TRUE)</f>
        <v>1</v>
      </c>
      <c r="T669" t="b">
        <f>IF(COUNTBLANK(Master_Reference[[#This Row],[Lutron 3000K Eco Part Number]:[Lutron 4000K Eco Part Number]])=3,FALSE,TRUE)</f>
        <v>0</v>
      </c>
      <c r="U669" t="b">
        <f>IF(COUNTBLANK(Master_Reference[[#This Row],[Lutron 3000K 3W Part Number]:[Lutron 4000K 3W Part Number]])=3,FALSE,TRUE)</f>
        <v>0</v>
      </c>
      <c r="V669" s="12"/>
      <c r="W669" s="12"/>
      <c r="X669" s="12"/>
      <c r="Y669" t="s">
        <v>2125</v>
      </c>
      <c r="Z669" s="12" t="s">
        <v>1567</v>
      </c>
      <c r="AA669" s="12" t="s">
        <v>1568</v>
      </c>
      <c r="AB669" s="12" t="s">
        <v>1569</v>
      </c>
      <c r="AC669" t="s">
        <v>2125</v>
      </c>
      <c r="AD669" t="str">
        <f>SUBSTITUTE(Master_Reference[[#This Row],[C-Flex 4000K Eco Part Number]],"40-","xx-")</f>
        <v/>
      </c>
      <c r="AE669" t="str">
        <f>SUBSTITUTE(Master_Reference[[#This Row],[C-Flex 4000K 3W Part Number]],"40-","xx-")</f>
        <v>RP-G24Q-226m-2L-8xx-3W-KN-G2</v>
      </c>
      <c r="AF669" s="1" t="str">
        <f>_xlfn.IFNA(VLOOKUP(Master_Reference[[#This Row],[C-Flex 3000K Eco Part Number]],Lutron_CFlex_Lookup[],MATCH("Lutron Kit PN",Lutron_CFlex_Lookup[#Headers],0),FALSE),"")</f>
        <v/>
      </c>
      <c r="AG669" s="1" t="str">
        <f>_xlfn.IFNA(VLOOKUP(Master_Reference[[#This Row],[C-Flex 3500K Eco Part Number]],Lutron_CFlex_Lookup[],MATCH("Lutron Kit PN",Lutron_CFlex_Lookup[#Headers],0),FALSE),"")</f>
        <v/>
      </c>
      <c r="AH669" s="1" t="str">
        <f>_xlfn.IFNA(VLOOKUP(Master_Reference[[#This Row],[C-Flex 4000K Eco Part Number]],Lutron_CFlex_Lookup[],MATCH("Lutron Kit PN",Lutron_CFlex_Lookup[#Headers],0),FALSE),"")</f>
        <v/>
      </c>
      <c r="AI669" s="1" t="str">
        <f>_xlfn.IFNA(VLOOKUP(Master_Reference[[#This Row],[C-Flex 5000K Eco Part Number]],Lutron_CFlex_Lookup[],MATCH("Lutron Kit PN",Lutron_CFlex_Lookup[#Headers],0),FALSE),"")</f>
        <v/>
      </c>
      <c r="AJ669" s="1" t="str">
        <f>_xlfn.IFNA(VLOOKUP(Master_Reference[[#This Row],[C-Flex 3000K 3W Part Number]],Lutron_CFlex_Lookup[],MATCH("Lutron Kit PN",Lutron_CFlex_Lookup[#Headers],0),FALSE),"")</f>
        <v/>
      </c>
      <c r="AK669" s="1" t="str">
        <f>_xlfn.IFNA(VLOOKUP(Master_Reference[[#This Row],[C-Flex 3500K 3W Part Number]],Lutron_CFlex_Lookup[],MATCH("Lutron Kit PN",Lutron_CFlex_Lookup[#Headers],0),FALSE),"")</f>
        <v/>
      </c>
      <c r="AL669" s="1" t="str">
        <f>_xlfn.IFNA(VLOOKUP(Master_Reference[[#This Row],[C-Flex 4000K 3W Part Number]],Lutron_CFlex_Lookup[],MATCH("Lutron Kit PN",Lutron_CFlex_Lookup[#Headers],0),FALSE),"")</f>
        <v/>
      </c>
      <c r="AM669" s="1" t="str">
        <f>_xlfn.IFNA(VLOOKUP(Master_Reference[[#This Row],[C-Flex 5000K 3W Part Number]],Lutron_CFlex_Lookup[],MATCH("Lutron Kit PN",Lutron_CFlex_Lookup[#Headers],0),FALSE),"")</f>
        <v/>
      </c>
      <c r="AN669" s="1" t="b">
        <f>NOT(ISNA(VLOOKUP(Master_Reference[[#This Row],[Model Number]],ObsoleteModels[],1,FALSE)))</f>
        <v>1</v>
      </c>
      <c r="AO669" s="1" t="str">
        <f>IF(LEFT(Master_Reference[[#This Row],[Model Number]],1)="U",LEFT(Master_Reference[[#This Row],[Model Number]],4),LEFT(Master_Reference[[#This Row],[Model Number]],3))</f>
        <v>FDB</v>
      </c>
    </row>
    <row r="670" spans="1:41" x14ac:dyDescent="0.25">
      <c r="A670" s="2" t="s">
        <v>965</v>
      </c>
      <c r="B670" s="1"/>
      <c r="C670" s="1" t="b">
        <v>1</v>
      </c>
      <c r="G670" s="1" t="str">
        <f>IF(OR(LEFT(RIGHT(Master_Reference[[#This Row],[Model Number]],3),1)="C",LEFT(RIGHT(Master_Reference[[#This Row],[Model Number]],4),1)="C"),TRUE,"")</f>
        <v/>
      </c>
      <c r="H670" s="1" t="str">
        <f>IF(LEFT(Master_Reference[[#This Row],[Model Number]],1)="U",TRUE,"")</f>
        <v/>
      </c>
      <c r="I670" s="1" t="str">
        <f>IF(Master_Reference[[#This Row],[Lamp Type]]="T4","",IF(Master_Reference[[#This Row],[Case Type]]="M","",TRUE))</f>
        <v/>
      </c>
      <c r="J670" s="1" t="s">
        <v>87</v>
      </c>
      <c r="K670" s="1">
        <v>18</v>
      </c>
      <c r="L670" s="1" t="s">
        <v>88</v>
      </c>
      <c r="M670" s="1">
        <v>2</v>
      </c>
      <c r="N670" s="1">
        <v>120</v>
      </c>
      <c r="O670" s="1" t="s">
        <v>106</v>
      </c>
      <c r="Q670" s="1" t="s">
        <v>91</v>
      </c>
      <c r="R670" t="b">
        <f>IF(COUNTBLANK(Master_Reference[[#This Row],[C-Flex 3000K Eco Part Number]:[C-Flex 4000K Eco Part Number]])=3,FALSE,TRUE)</f>
        <v>0</v>
      </c>
      <c r="S670" t="b">
        <f>IF(COUNTBLANK(Master_Reference[[#This Row],[C-Flex 3000K 3W Part Number]:[C-Flex 4000K 3W Part Number]])=3,FALSE,TRUE)</f>
        <v>0</v>
      </c>
      <c r="T670" s="1" t="b">
        <f>IF(COUNTBLANK(Master_Reference[[#This Row],[Lutron 3000K Eco Part Number]:[Lutron 4000K Eco Part Number]])=3,FALSE,TRUE)</f>
        <v>0</v>
      </c>
      <c r="U670" s="1" t="b">
        <f>IF(COUNTBLANK(Master_Reference[[#This Row],[Lutron 3000K 3W Part Number]:[Lutron 4000K 3W Part Number]])=3,FALSE,TRUE)</f>
        <v>0</v>
      </c>
      <c r="V670" s="13"/>
      <c r="W670" s="13"/>
      <c r="X670" s="12"/>
      <c r="Y670" t="s">
        <v>2125</v>
      </c>
      <c r="Z670" s="12"/>
      <c r="AA670" s="12"/>
      <c r="AB670" s="12"/>
      <c r="AC670" t="s">
        <v>2125</v>
      </c>
      <c r="AD670" t="str">
        <f>SUBSTITUTE(Master_Reference[[#This Row],[C-Flex 4000K Eco Part Number]],"40-","xx-")</f>
        <v/>
      </c>
      <c r="AE670" t="str">
        <f>SUBSTITUTE(Master_Reference[[#This Row],[C-Flex 4000K 3W Part Number]],"40-","xx-")</f>
        <v/>
      </c>
      <c r="AF670" s="1" t="str">
        <f>_xlfn.IFNA(VLOOKUP(Master_Reference[[#This Row],[C-Flex 3000K Eco Part Number]],Lutron_CFlex_Lookup[],MATCH("Lutron Kit PN",Lutron_CFlex_Lookup[#Headers],0),FALSE),"")</f>
        <v/>
      </c>
      <c r="AG670" s="1" t="str">
        <f>_xlfn.IFNA(VLOOKUP(Master_Reference[[#This Row],[C-Flex 3500K Eco Part Number]],Lutron_CFlex_Lookup[],MATCH("Lutron Kit PN",Lutron_CFlex_Lookup[#Headers],0),FALSE),"")</f>
        <v/>
      </c>
      <c r="AH670" s="1" t="str">
        <f>_xlfn.IFNA(VLOOKUP(Master_Reference[[#This Row],[C-Flex 4000K Eco Part Number]],Lutron_CFlex_Lookup[],MATCH("Lutron Kit PN",Lutron_CFlex_Lookup[#Headers],0),FALSE),"")</f>
        <v/>
      </c>
      <c r="AI670" s="1" t="str">
        <f>_xlfn.IFNA(VLOOKUP(Master_Reference[[#This Row],[C-Flex 5000K Eco Part Number]],Lutron_CFlex_Lookup[],MATCH("Lutron Kit PN",Lutron_CFlex_Lookup[#Headers],0),FALSE),"")</f>
        <v/>
      </c>
      <c r="AJ670" s="1" t="str">
        <f>_xlfn.IFNA(VLOOKUP(Master_Reference[[#This Row],[C-Flex 3000K 3W Part Number]],Lutron_CFlex_Lookup[],MATCH("Lutron Kit PN",Lutron_CFlex_Lookup[#Headers],0),FALSE),"")</f>
        <v/>
      </c>
      <c r="AK670" s="1" t="str">
        <f>_xlfn.IFNA(VLOOKUP(Master_Reference[[#This Row],[C-Flex 3500K 3W Part Number]],Lutron_CFlex_Lookup[],MATCH("Lutron Kit PN",Lutron_CFlex_Lookup[#Headers],0),FALSE),"")</f>
        <v/>
      </c>
      <c r="AL670" s="1" t="str">
        <f>_xlfn.IFNA(VLOOKUP(Master_Reference[[#This Row],[C-Flex 4000K 3W Part Number]],Lutron_CFlex_Lookup[],MATCH("Lutron Kit PN",Lutron_CFlex_Lookup[#Headers],0),FALSE),"")</f>
        <v/>
      </c>
      <c r="AM670" s="1" t="str">
        <f>_xlfn.IFNA(VLOOKUP(Master_Reference[[#This Row],[C-Flex 5000K 3W Part Number]],Lutron_CFlex_Lookup[],MATCH("Lutron Kit PN",Lutron_CFlex_Lookup[#Headers],0),FALSE),"")</f>
        <v/>
      </c>
      <c r="AN670" s="1" t="b">
        <f>NOT(ISNA(VLOOKUP(Master_Reference[[#This Row],[Model Number]],ObsoleteModels[],1,FALSE)))</f>
        <v>1</v>
      </c>
      <c r="AO670" s="1" t="str">
        <f>IF(LEFT(Master_Reference[[#This Row],[Model Number]],1)="U",LEFT(Master_Reference[[#This Row],[Model Number]],4),LEFT(Master_Reference[[#This Row],[Model Number]],3))</f>
        <v>FDB</v>
      </c>
    </row>
    <row r="671" spans="1:41" x14ac:dyDescent="0.25">
      <c r="A671" s="2" t="s">
        <v>966</v>
      </c>
      <c r="B671" s="1"/>
      <c r="C671" s="1" t="b">
        <v>1</v>
      </c>
      <c r="G671" s="1" t="str">
        <f>IF(OR(LEFT(RIGHT(Master_Reference[[#This Row],[Model Number]],3),1)="C",LEFT(RIGHT(Master_Reference[[#This Row],[Model Number]],4),1)="C"),TRUE,"")</f>
        <v/>
      </c>
      <c r="H671" s="1" t="str">
        <f>IF(LEFT(Master_Reference[[#This Row],[Model Number]],1)="U",TRUE,"")</f>
        <v/>
      </c>
      <c r="I671" s="1" t="str">
        <f>IF(Master_Reference[[#This Row],[Lamp Type]]="T4","",IF(Master_Reference[[#This Row],[Case Type]]="M","",TRUE))</f>
        <v/>
      </c>
      <c r="J671" s="1" t="s">
        <v>87</v>
      </c>
      <c r="K671" s="1">
        <v>18</v>
      </c>
      <c r="L671" s="1" t="s">
        <v>88</v>
      </c>
      <c r="M671" s="1">
        <v>2</v>
      </c>
      <c r="N671" s="1">
        <v>120</v>
      </c>
      <c r="O671" s="1" t="s">
        <v>106</v>
      </c>
      <c r="P671" s="1" t="b">
        <v>1</v>
      </c>
      <c r="R671" t="b">
        <f>IF(COUNTBLANK(Master_Reference[[#This Row],[C-Flex 3000K Eco Part Number]:[C-Flex 4000K Eco Part Number]])=3,FALSE,TRUE)</f>
        <v>0</v>
      </c>
      <c r="S671" t="b">
        <f>IF(COUNTBLANK(Master_Reference[[#This Row],[C-Flex 3000K 3W Part Number]:[C-Flex 4000K 3W Part Number]])=3,FALSE,TRUE)</f>
        <v>1</v>
      </c>
      <c r="T671" t="b">
        <f>IF(COUNTBLANK(Master_Reference[[#This Row],[Lutron 3000K Eco Part Number]:[Lutron 4000K Eco Part Number]])=3,FALSE,TRUE)</f>
        <v>0</v>
      </c>
      <c r="U671" t="b">
        <f>IF(COUNTBLANK(Master_Reference[[#This Row],[Lutron 3000K 3W Part Number]:[Lutron 4000K 3W Part Number]])=3,FALSE,TRUE)</f>
        <v>0</v>
      </c>
      <c r="V671" s="12"/>
      <c r="W671" s="12"/>
      <c r="X671" s="12"/>
      <c r="Y671" t="s">
        <v>2125</v>
      </c>
      <c r="Z671" s="12" t="s">
        <v>1573</v>
      </c>
      <c r="AA671" s="12" t="s">
        <v>1574</v>
      </c>
      <c r="AB671" s="12" t="s">
        <v>1575</v>
      </c>
      <c r="AC671" t="s">
        <v>2125</v>
      </c>
      <c r="AD671" t="str">
        <f>SUBSTITUTE(Master_Reference[[#This Row],[C-Flex 4000K Eco Part Number]],"40-","xx-")</f>
        <v/>
      </c>
      <c r="AE671" t="str">
        <f>SUBSTITUTE(Master_Reference[[#This Row],[C-Flex 4000K 3W Part Number]],"40-","xx-")</f>
        <v>RP-G24Q-226m-2L-8xx-3W-K-G2</v>
      </c>
      <c r="AF671" s="1" t="str">
        <f>_xlfn.IFNA(VLOOKUP(Master_Reference[[#This Row],[C-Flex 3000K Eco Part Number]],Lutron_CFlex_Lookup[],MATCH("Lutron Kit PN",Lutron_CFlex_Lookup[#Headers],0),FALSE),"")</f>
        <v/>
      </c>
      <c r="AG671" s="1" t="str">
        <f>_xlfn.IFNA(VLOOKUP(Master_Reference[[#This Row],[C-Flex 3500K Eco Part Number]],Lutron_CFlex_Lookup[],MATCH("Lutron Kit PN",Lutron_CFlex_Lookup[#Headers],0),FALSE),"")</f>
        <v/>
      </c>
      <c r="AH671" s="1" t="str">
        <f>_xlfn.IFNA(VLOOKUP(Master_Reference[[#This Row],[C-Flex 4000K Eco Part Number]],Lutron_CFlex_Lookup[],MATCH("Lutron Kit PN",Lutron_CFlex_Lookup[#Headers],0),FALSE),"")</f>
        <v/>
      </c>
      <c r="AI671" s="1" t="str">
        <f>_xlfn.IFNA(VLOOKUP(Master_Reference[[#This Row],[C-Flex 5000K Eco Part Number]],Lutron_CFlex_Lookup[],MATCH("Lutron Kit PN",Lutron_CFlex_Lookup[#Headers],0),FALSE),"")</f>
        <v/>
      </c>
      <c r="AJ671" s="1" t="str">
        <f>_xlfn.IFNA(VLOOKUP(Master_Reference[[#This Row],[C-Flex 3000K 3W Part Number]],Lutron_CFlex_Lookup[],MATCH("Lutron Kit PN",Lutron_CFlex_Lookup[#Headers],0),FALSE),"")</f>
        <v/>
      </c>
      <c r="AK671" s="1" t="str">
        <f>_xlfn.IFNA(VLOOKUP(Master_Reference[[#This Row],[C-Flex 3500K 3W Part Number]],Lutron_CFlex_Lookup[],MATCH("Lutron Kit PN",Lutron_CFlex_Lookup[#Headers],0),FALSE),"")</f>
        <v/>
      </c>
      <c r="AL671" s="1" t="str">
        <f>_xlfn.IFNA(VLOOKUP(Master_Reference[[#This Row],[C-Flex 4000K 3W Part Number]],Lutron_CFlex_Lookup[],MATCH("Lutron Kit PN",Lutron_CFlex_Lookup[#Headers],0),FALSE),"")</f>
        <v/>
      </c>
      <c r="AM671" s="1" t="str">
        <f>_xlfn.IFNA(VLOOKUP(Master_Reference[[#This Row],[C-Flex 5000K 3W Part Number]],Lutron_CFlex_Lookup[],MATCH("Lutron Kit PN",Lutron_CFlex_Lookup[#Headers],0),FALSE),"")</f>
        <v/>
      </c>
      <c r="AN671" s="1" t="b">
        <f>NOT(ISNA(VLOOKUP(Master_Reference[[#This Row],[Model Number]],ObsoleteModels[],1,FALSE)))</f>
        <v>1</v>
      </c>
      <c r="AO671" s="1" t="str">
        <f>IF(LEFT(Master_Reference[[#This Row],[Model Number]],1)="U",LEFT(Master_Reference[[#This Row],[Model Number]],4),LEFT(Master_Reference[[#This Row],[Model Number]],3))</f>
        <v>FDB</v>
      </c>
    </row>
    <row r="672" spans="1:41" x14ac:dyDescent="0.25">
      <c r="A672" s="2" t="s">
        <v>967</v>
      </c>
      <c r="B672" s="1"/>
      <c r="C672" s="1" t="b">
        <v>1</v>
      </c>
      <c r="G672" s="1" t="str">
        <f>IF(OR(LEFT(RIGHT(Master_Reference[[#This Row],[Model Number]],3),1)="C",LEFT(RIGHT(Master_Reference[[#This Row],[Model Number]],4),1)="C"),TRUE,"")</f>
        <v/>
      </c>
      <c r="H672" s="1" t="str">
        <f>IF(LEFT(Master_Reference[[#This Row],[Model Number]],1)="U",TRUE,"")</f>
        <v/>
      </c>
      <c r="I672" s="1" t="str">
        <f>IF(Master_Reference[[#This Row],[Lamp Type]]="T4","",IF(Master_Reference[[#This Row],[Case Type]]="M","",TRUE))</f>
        <v/>
      </c>
      <c r="J672" s="1" t="s">
        <v>87</v>
      </c>
      <c r="K672" s="1">
        <v>18</v>
      </c>
      <c r="L672" s="1" t="s">
        <v>88</v>
      </c>
      <c r="M672" s="1">
        <v>2</v>
      </c>
      <c r="N672" s="1">
        <v>120</v>
      </c>
      <c r="O672" s="1" t="s">
        <v>106</v>
      </c>
      <c r="P672" s="1" t="b">
        <v>1</v>
      </c>
      <c r="Q672" s="1" t="s">
        <v>91</v>
      </c>
      <c r="R672" t="b">
        <f>IF(COUNTBLANK(Master_Reference[[#This Row],[C-Flex 3000K Eco Part Number]:[C-Flex 4000K Eco Part Number]])=3,FALSE,TRUE)</f>
        <v>0</v>
      </c>
      <c r="S672" t="b">
        <f>IF(COUNTBLANK(Master_Reference[[#This Row],[C-Flex 3000K 3W Part Number]:[C-Flex 4000K 3W Part Number]])=3,FALSE,TRUE)</f>
        <v>0</v>
      </c>
      <c r="T672" t="b">
        <f>IF(COUNTBLANK(Master_Reference[[#This Row],[Lutron 3000K Eco Part Number]:[Lutron 4000K Eco Part Number]])=3,FALSE,TRUE)</f>
        <v>0</v>
      </c>
      <c r="U672" t="b">
        <f>IF(COUNTBLANK(Master_Reference[[#This Row],[Lutron 3000K 3W Part Number]:[Lutron 4000K 3W Part Number]])=3,FALSE,TRUE)</f>
        <v>0</v>
      </c>
      <c r="V672" s="12"/>
      <c r="W672" s="12"/>
      <c r="X672" s="12"/>
      <c r="Y672" t="s">
        <v>2125</v>
      </c>
      <c r="Z672" s="12"/>
      <c r="AA672" s="12"/>
      <c r="AB672" s="12"/>
      <c r="AC672" t="s">
        <v>2125</v>
      </c>
      <c r="AD672" t="str">
        <f>SUBSTITUTE(Master_Reference[[#This Row],[C-Flex 4000K Eco Part Number]],"40-","xx-")</f>
        <v/>
      </c>
      <c r="AE672" t="str">
        <f>SUBSTITUTE(Master_Reference[[#This Row],[C-Flex 4000K 3W Part Number]],"40-","xx-")</f>
        <v/>
      </c>
      <c r="AF672" s="1" t="str">
        <f>_xlfn.IFNA(VLOOKUP(Master_Reference[[#This Row],[C-Flex 3000K Eco Part Number]],Lutron_CFlex_Lookup[],MATCH("Lutron Kit PN",Lutron_CFlex_Lookup[#Headers],0),FALSE),"")</f>
        <v/>
      </c>
      <c r="AG672" s="1" t="str">
        <f>_xlfn.IFNA(VLOOKUP(Master_Reference[[#This Row],[C-Flex 3500K Eco Part Number]],Lutron_CFlex_Lookup[],MATCH("Lutron Kit PN",Lutron_CFlex_Lookup[#Headers],0),FALSE),"")</f>
        <v/>
      </c>
      <c r="AH672" s="1" t="str">
        <f>_xlfn.IFNA(VLOOKUP(Master_Reference[[#This Row],[C-Flex 4000K Eco Part Number]],Lutron_CFlex_Lookup[],MATCH("Lutron Kit PN",Lutron_CFlex_Lookup[#Headers],0),FALSE),"")</f>
        <v/>
      </c>
      <c r="AI672" s="1" t="str">
        <f>_xlfn.IFNA(VLOOKUP(Master_Reference[[#This Row],[C-Flex 5000K Eco Part Number]],Lutron_CFlex_Lookup[],MATCH("Lutron Kit PN",Lutron_CFlex_Lookup[#Headers],0),FALSE),"")</f>
        <v/>
      </c>
      <c r="AJ672" s="1" t="str">
        <f>_xlfn.IFNA(VLOOKUP(Master_Reference[[#This Row],[C-Flex 3000K 3W Part Number]],Lutron_CFlex_Lookup[],MATCH("Lutron Kit PN",Lutron_CFlex_Lookup[#Headers],0),FALSE),"")</f>
        <v/>
      </c>
      <c r="AK672" s="1" t="str">
        <f>_xlfn.IFNA(VLOOKUP(Master_Reference[[#This Row],[C-Flex 3500K 3W Part Number]],Lutron_CFlex_Lookup[],MATCH("Lutron Kit PN",Lutron_CFlex_Lookup[#Headers],0),FALSE),"")</f>
        <v/>
      </c>
      <c r="AL672" s="1" t="str">
        <f>_xlfn.IFNA(VLOOKUP(Master_Reference[[#This Row],[C-Flex 4000K 3W Part Number]],Lutron_CFlex_Lookup[],MATCH("Lutron Kit PN",Lutron_CFlex_Lookup[#Headers],0),FALSE),"")</f>
        <v/>
      </c>
      <c r="AM672" s="1" t="str">
        <f>_xlfn.IFNA(VLOOKUP(Master_Reference[[#This Row],[C-Flex 5000K 3W Part Number]],Lutron_CFlex_Lookup[],MATCH("Lutron Kit PN",Lutron_CFlex_Lookup[#Headers],0),FALSE),"")</f>
        <v/>
      </c>
      <c r="AN672" s="1" t="b">
        <f>NOT(ISNA(VLOOKUP(Master_Reference[[#This Row],[Model Number]],ObsoleteModels[],1,FALSE)))</f>
        <v>1</v>
      </c>
      <c r="AO672" s="1" t="str">
        <f>IF(LEFT(Master_Reference[[#This Row],[Model Number]],1)="U",LEFT(Master_Reference[[#This Row],[Model Number]],4),LEFT(Master_Reference[[#This Row],[Model Number]],3))</f>
        <v>FDB</v>
      </c>
    </row>
    <row r="673" spans="1:41" x14ac:dyDescent="0.25">
      <c r="A673" s="2" t="s">
        <v>968</v>
      </c>
      <c r="B673" s="1"/>
      <c r="C673" s="1" t="b">
        <v>1</v>
      </c>
      <c r="G673" s="1" t="str">
        <f>IF(OR(LEFT(RIGHT(Master_Reference[[#This Row],[Model Number]],3),1)="C",LEFT(RIGHT(Master_Reference[[#This Row],[Model Number]],4),1)="C"),TRUE,"")</f>
        <v/>
      </c>
      <c r="H673" s="1" t="str">
        <f>IF(LEFT(Master_Reference[[#This Row],[Model Number]],1)="U",TRUE,"")</f>
        <v/>
      </c>
      <c r="I673" s="1" t="str">
        <f>IF(Master_Reference[[#This Row],[Lamp Type]]="T4","",IF(Master_Reference[[#This Row],[Case Type]]="M","",TRUE))</f>
        <v/>
      </c>
      <c r="J673" s="1" t="s">
        <v>87</v>
      </c>
      <c r="K673" s="1">
        <v>18</v>
      </c>
      <c r="L673" s="1" t="s">
        <v>88</v>
      </c>
      <c r="M673" s="1">
        <v>1</v>
      </c>
      <c r="N673" s="1">
        <v>240</v>
      </c>
      <c r="O673" s="1" t="s">
        <v>89</v>
      </c>
      <c r="P673" s="1" t="b">
        <v>1</v>
      </c>
      <c r="Q673" s="1" t="s">
        <v>456</v>
      </c>
      <c r="R673" t="b">
        <f>IF(COUNTBLANK(Master_Reference[[#This Row],[C-Flex 3000K Eco Part Number]:[C-Flex 4000K Eco Part Number]])=3,FALSE,TRUE)</f>
        <v>0</v>
      </c>
      <c r="S673" t="b">
        <f>IF(COUNTBLANK(Master_Reference[[#This Row],[C-Flex 3000K 3W Part Number]:[C-Flex 4000K 3W Part Number]])=3,FALSE,TRUE)</f>
        <v>0</v>
      </c>
      <c r="T673" t="b">
        <f>IF(COUNTBLANK(Master_Reference[[#This Row],[Lutron 3000K Eco Part Number]:[Lutron 4000K Eco Part Number]])=3,FALSE,TRUE)</f>
        <v>0</v>
      </c>
      <c r="U673" t="b">
        <f>IF(COUNTBLANK(Master_Reference[[#This Row],[Lutron 3000K 3W Part Number]:[Lutron 4000K 3W Part Number]])=3,FALSE,TRUE)</f>
        <v>0</v>
      </c>
      <c r="V673" s="12"/>
      <c r="W673" s="12"/>
      <c r="X673" s="12"/>
      <c r="Y673" t="s">
        <v>2125</v>
      </c>
      <c r="Z673" s="12"/>
      <c r="AA673" s="12"/>
      <c r="AB673" s="12"/>
      <c r="AC673" t="s">
        <v>2125</v>
      </c>
      <c r="AD673" t="str">
        <f>SUBSTITUTE(Master_Reference[[#This Row],[C-Flex 4000K Eco Part Number]],"40-","xx-")</f>
        <v/>
      </c>
      <c r="AE673" t="str">
        <f>SUBSTITUTE(Master_Reference[[#This Row],[C-Flex 4000K 3W Part Number]],"40-","xx-")</f>
        <v/>
      </c>
      <c r="AF673" s="1" t="str">
        <f>_xlfn.IFNA(VLOOKUP(Master_Reference[[#This Row],[C-Flex 3000K Eco Part Number]],Lutron_CFlex_Lookup[],MATCH("Lutron Kit PN",Lutron_CFlex_Lookup[#Headers],0),FALSE),"")</f>
        <v/>
      </c>
      <c r="AG673" s="1" t="str">
        <f>_xlfn.IFNA(VLOOKUP(Master_Reference[[#This Row],[C-Flex 3500K Eco Part Number]],Lutron_CFlex_Lookup[],MATCH("Lutron Kit PN",Lutron_CFlex_Lookup[#Headers],0),FALSE),"")</f>
        <v/>
      </c>
      <c r="AH673" s="1" t="str">
        <f>_xlfn.IFNA(VLOOKUP(Master_Reference[[#This Row],[C-Flex 4000K Eco Part Number]],Lutron_CFlex_Lookup[],MATCH("Lutron Kit PN",Lutron_CFlex_Lookup[#Headers],0),FALSE),"")</f>
        <v/>
      </c>
      <c r="AI673" s="1" t="str">
        <f>_xlfn.IFNA(VLOOKUP(Master_Reference[[#This Row],[C-Flex 5000K Eco Part Number]],Lutron_CFlex_Lookup[],MATCH("Lutron Kit PN",Lutron_CFlex_Lookup[#Headers],0),FALSE),"")</f>
        <v/>
      </c>
      <c r="AJ673" s="1" t="str">
        <f>_xlfn.IFNA(VLOOKUP(Master_Reference[[#This Row],[C-Flex 3000K 3W Part Number]],Lutron_CFlex_Lookup[],MATCH("Lutron Kit PN",Lutron_CFlex_Lookup[#Headers],0),FALSE),"")</f>
        <v/>
      </c>
      <c r="AK673" s="1" t="str">
        <f>_xlfn.IFNA(VLOOKUP(Master_Reference[[#This Row],[C-Flex 3500K 3W Part Number]],Lutron_CFlex_Lookup[],MATCH("Lutron Kit PN",Lutron_CFlex_Lookup[#Headers],0),FALSE),"")</f>
        <v/>
      </c>
      <c r="AL673" s="1" t="str">
        <f>_xlfn.IFNA(VLOOKUP(Master_Reference[[#This Row],[C-Flex 4000K 3W Part Number]],Lutron_CFlex_Lookup[],MATCH("Lutron Kit PN",Lutron_CFlex_Lookup[#Headers],0),FALSE),"")</f>
        <v/>
      </c>
      <c r="AM673" s="1" t="str">
        <f>_xlfn.IFNA(VLOOKUP(Master_Reference[[#This Row],[C-Flex 5000K 3W Part Number]],Lutron_CFlex_Lookup[],MATCH("Lutron Kit PN",Lutron_CFlex_Lookup[#Headers],0),FALSE),"")</f>
        <v/>
      </c>
      <c r="AN673" s="1" t="b">
        <f>NOT(ISNA(VLOOKUP(Master_Reference[[#This Row],[Model Number]],ObsoleteModels[],1,FALSE)))</f>
        <v>1</v>
      </c>
      <c r="AO673" s="1" t="str">
        <f>IF(LEFT(Master_Reference[[#This Row],[Model Number]],1)="U",LEFT(Master_Reference[[#This Row],[Model Number]],4),LEFT(Master_Reference[[#This Row],[Model Number]],3))</f>
        <v>FDB</v>
      </c>
    </row>
    <row r="674" spans="1:41" x14ac:dyDescent="0.25">
      <c r="A674" s="2" t="s">
        <v>969</v>
      </c>
      <c r="B674" s="1"/>
      <c r="C674" s="1" t="b">
        <v>1</v>
      </c>
      <c r="G674" s="1" t="str">
        <f>IF(OR(LEFT(RIGHT(Master_Reference[[#This Row],[Model Number]],3),1)="C",LEFT(RIGHT(Master_Reference[[#This Row],[Model Number]],4),1)="C"),TRUE,"")</f>
        <v/>
      </c>
      <c r="H674" s="1" t="str">
        <f>IF(LEFT(Master_Reference[[#This Row],[Model Number]],1)="U",TRUE,"")</f>
        <v/>
      </c>
      <c r="I674" s="1" t="str">
        <f>IF(Master_Reference[[#This Row],[Lamp Type]]="T4","",IF(Master_Reference[[#This Row],[Case Type]]="M","",TRUE))</f>
        <v/>
      </c>
      <c r="J674" s="1" t="s">
        <v>87</v>
      </c>
      <c r="K674" s="1">
        <v>18</v>
      </c>
      <c r="L674" s="1" t="s">
        <v>88</v>
      </c>
      <c r="M674" s="1">
        <v>1</v>
      </c>
      <c r="N674" s="1">
        <v>240</v>
      </c>
      <c r="O674" s="1" t="s">
        <v>89</v>
      </c>
      <c r="P674" s="1" t="b">
        <v>1</v>
      </c>
      <c r="Q674" s="1" t="s">
        <v>456</v>
      </c>
      <c r="R674" t="b">
        <f>IF(COUNTBLANK(Master_Reference[[#This Row],[C-Flex 3000K Eco Part Number]:[C-Flex 4000K Eco Part Number]])=3,FALSE,TRUE)</f>
        <v>0</v>
      </c>
      <c r="S674" t="b">
        <f>IF(COUNTBLANK(Master_Reference[[#This Row],[C-Flex 3000K 3W Part Number]:[C-Flex 4000K 3W Part Number]])=3,FALSE,TRUE)</f>
        <v>0</v>
      </c>
      <c r="T674" t="b">
        <f>IF(COUNTBLANK(Master_Reference[[#This Row],[Lutron 3000K Eco Part Number]:[Lutron 4000K Eco Part Number]])=3,FALSE,TRUE)</f>
        <v>0</v>
      </c>
      <c r="U674" t="b">
        <f>IF(COUNTBLANK(Master_Reference[[#This Row],[Lutron 3000K 3W Part Number]:[Lutron 4000K 3W Part Number]])=3,FALSE,TRUE)</f>
        <v>0</v>
      </c>
      <c r="V674" s="12"/>
      <c r="W674" s="12"/>
      <c r="X674" s="12"/>
      <c r="Y674" t="s">
        <v>2125</v>
      </c>
      <c r="Z674" s="12"/>
      <c r="AA674" s="12"/>
      <c r="AB674" s="12"/>
      <c r="AC674" t="s">
        <v>2125</v>
      </c>
      <c r="AD674" t="str">
        <f>SUBSTITUTE(Master_Reference[[#This Row],[C-Flex 4000K Eco Part Number]],"40-","xx-")</f>
        <v/>
      </c>
      <c r="AE674" t="str">
        <f>SUBSTITUTE(Master_Reference[[#This Row],[C-Flex 4000K 3W Part Number]],"40-","xx-")</f>
        <v/>
      </c>
      <c r="AF674" s="1" t="str">
        <f>_xlfn.IFNA(VLOOKUP(Master_Reference[[#This Row],[C-Flex 3000K Eco Part Number]],Lutron_CFlex_Lookup[],MATCH("Lutron Kit PN",Lutron_CFlex_Lookup[#Headers],0),FALSE),"")</f>
        <v/>
      </c>
      <c r="AG674" s="1" t="str">
        <f>_xlfn.IFNA(VLOOKUP(Master_Reference[[#This Row],[C-Flex 3500K Eco Part Number]],Lutron_CFlex_Lookup[],MATCH("Lutron Kit PN",Lutron_CFlex_Lookup[#Headers],0),FALSE),"")</f>
        <v/>
      </c>
      <c r="AH674" s="1" t="str">
        <f>_xlfn.IFNA(VLOOKUP(Master_Reference[[#This Row],[C-Flex 4000K Eco Part Number]],Lutron_CFlex_Lookup[],MATCH("Lutron Kit PN",Lutron_CFlex_Lookup[#Headers],0),FALSE),"")</f>
        <v/>
      </c>
      <c r="AI674" s="1" t="str">
        <f>_xlfn.IFNA(VLOOKUP(Master_Reference[[#This Row],[C-Flex 5000K Eco Part Number]],Lutron_CFlex_Lookup[],MATCH("Lutron Kit PN",Lutron_CFlex_Lookup[#Headers],0),FALSE),"")</f>
        <v/>
      </c>
      <c r="AJ674" s="1" t="str">
        <f>_xlfn.IFNA(VLOOKUP(Master_Reference[[#This Row],[C-Flex 3000K 3W Part Number]],Lutron_CFlex_Lookup[],MATCH("Lutron Kit PN",Lutron_CFlex_Lookup[#Headers],0),FALSE),"")</f>
        <v/>
      </c>
      <c r="AK674" s="1" t="str">
        <f>_xlfn.IFNA(VLOOKUP(Master_Reference[[#This Row],[C-Flex 3500K 3W Part Number]],Lutron_CFlex_Lookup[],MATCH("Lutron Kit PN",Lutron_CFlex_Lookup[#Headers],0),FALSE),"")</f>
        <v/>
      </c>
      <c r="AL674" s="1" t="str">
        <f>_xlfn.IFNA(VLOOKUP(Master_Reference[[#This Row],[C-Flex 4000K 3W Part Number]],Lutron_CFlex_Lookup[],MATCH("Lutron Kit PN",Lutron_CFlex_Lookup[#Headers],0),FALSE),"")</f>
        <v/>
      </c>
      <c r="AM674" s="1" t="str">
        <f>_xlfn.IFNA(VLOOKUP(Master_Reference[[#This Row],[C-Flex 5000K 3W Part Number]],Lutron_CFlex_Lookup[],MATCH("Lutron Kit PN",Lutron_CFlex_Lookup[#Headers],0),FALSE),"")</f>
        <v/>
      </c>
      <c r="AN674" s="1" t="b">
        <f>NOT(ISNA(VLOOKUP(Master_Reference[[#This Row],[Model Number]],ObsoleteModels[],1,FALSE)))</f>
        <v>1</v>
      </c>
      <c r="AO674" s="1" t="str">
        <f>IF(LEFT(Master_Reference[[#This Row],[Model Number]],1)="U",LEFT(Master_Reference[[#This Row],[Model Number]],4),LEFT(Master_Reference[[#This Row],[Model Number]],3))</f>
        <v>FDB</v>
      </c>
    </row>
    <row r="675" spans="1:41" x14ac:dyDescent="0.25">
      <c r="A675" s="2" t="s">
        <v>970</v>
      </c>
      <c r="B675" s="1"/>
      <c r="C675" s="1" t="b">
        <v>1</v>
      </c>
      <c r="G675" s="1" t="str">
        <f>IF(OR(LEFT(RIGHT(Master_Reference[[#This Row],[Model Number]],3),1)="C",LEFT(RIGHT(Master_Reference[[#This Row],[Model Number]],4),1)="C"),TRUE,"")</f>
        <v/>
      </c>
      <c r="H675" s="1" t="str">
        <f>IF(LEFT(Master_Reference[[#This Row],[Model Number]],1)="U",TRUE,"")</f>
        <v/>
      </c>
      <c r="I675" s="1" t="str">
        <f>IF(Master_Reference[[#This Row],[Lamp Type]]="T4","",IF(Master_Reference[[#This Row],[Case Type]]="M","",TRUE))</f>
        <v/>
      </c>
      <c r="J675" s="1" t="s">
        <v>87</v>
      </c>
      <c r="K675" s="1">
        <v>18</v>
      </c>
      <c r="L675" s="1" t="s">
        <v>88</v>
      </c>
      <c r="M675" s="1">
        <v>1</v>
      </c>
      <c r="N675" s="1">
        <v>277</v>
      </c>
      <c r="O675" s="1" t="s">
        <v>89</v>
      </c>
      <c r="R675" t="b">
        <f>IF(COUNTBLANK(Master_Reference[[#This Row],[C-Flex 3000K Eco Part Number]:[C-Flex 4000K Eco Part Number]])=3,FALSE,TRUE)</f>
        <v>0</v>
      </c>
      <c r="S675" t="b">
        <f>IF(COUNTBLANK(Master_Reference[[#This Row],[C-Flex 3000K 3W Part Number]:[C-Flex 4000K 3W Part Number]])=3,FALSE,TRUE)</f>
        <v>1</v>
      </c>
      <c r="T675" t="b">
        <f>IF(COUNTBLANK(Master_Reference[[#This Row],[Lutron 3000K Eco Part Number]:[Lutron 4000K Eco Part Number]])=3,FALSE,TRUE)</f>
        <v>0</v>
      </c>
      <c r="U675" t="b">
        <f>IF(COUNTBLANK(Master_Reference[[#This Row],[Lutron 3000K 3W Part Number]:[Lutron 4000K 3W Part Number]])=3,FALSE,TRUE)</f>
        <v>0</v>
      </c>
      <c r="V675" s="12"/>
      <c r="W675" s="12"/>
      <c r="X675" s="12"/>
      <c r="Y675" t="s">
        <v>2125</v>
      </c>
      <c r="Z675" s="12" t="s">
        <v>154</v>
      </c>
      <c r="AA675" s="12" t="s">
        <v>155</v>
      </c>
      <c r="AB675" s="12" t="s">
        <v>156</v>
      </c>
      <c r="AC675" t="s">
        <v>2125</v>
      </c>
      <c r="AD675" t="str">
        <f>SUBSTITUTE(Master_Reference[[#This Row],[C-Flex 4000K Eco Part Number]],"40-","xx-")</f>
        <v/>
      </c>
      <c r="AE675" t="str">
        <f>SUBSTITUTE(Master_Reference[[#This Row],[C-Flex 4000K 3W Part Number]],"40-","xx-")</f>
        <v>RP-G24Q-126m-1L-8xx-3W-KN-G2</v>
      </c>
      <c r="AF675" s="1" t="str">
        <f>_xlfn.IFNA(VLOOKUP(Master_Reference[[#This Row],[C-Flex 3000K Eco Part Number]],Lutron_CFlex_Lookup[],MATCH("Lutron Kit PN",Lutron_CFlex_Lookup[#Headers],0),FALSE),"")</f>
        <v/>
      </c>
      <c r="AG675" s="1" t="str">
        <f>_xlfn.IFNA(VLOOKUP(Master_Reference[[#This Row],[C-Flex 3500K Eco Part Number]],Lutron_CFlex_Lookup[],MATCH("Lutron Kit PN",Lutron_CFlex_Lookup[#Headers],0),FALSE),"")</f>
        <v/>
      </c>
      <c r="AH675" s="1" t="str">
        <f>_xlfn.IFNA(VLOOKUP(Master_Reference[[#This Row],[C-Flex 4000K Eco Part Number]],Lutron_CFlex_Lookup[],MATCH("Lutron Kit PN",Lutron_CFlex_Lookup[#Headers],0),FALSE),"")</f>
        <v/>
      </c>
      <c r="AI675" s="1" t="str">
        <f>_xlfn.IFNA(VLOOKUP(Master_Reference[[#This Row],[C-Flex 5000K Eco Part Number]],Lutron_CFlex_Lookup[],MATCH("Lutron Kit PN",Lutron_CFlex_Lookup[#Headers],0),FALSE),"")</f>
        <v/>
      </c>
      <c r="AJ675" s="1" t="str">
        <f>_xlfn.IFNA(VLOOKUP(Master_Reference[[#This Row],[C-Flex 3000K 3W Part Number]],Lutron_CFlex_Lookup[],MATCH("Lutron Kit PN",Lutron_CFlex_Lookup[#Headers],0),FALSE),"")</f>
        <v/>
      </c>
      <c r="AK675" s="1" t="str">
        <f>_xlfn.IFNA(VLOOKUP(Master_Reference[[#This Row],[C-Flex 3500K 3W Part Number]],Lutron_CFlex_Lookup[],MATCH("Lutron Kit PN",Lutron_CFlex_Lookup[#Headers],0),FALSE),"")</f>
        <v/>
      </c>
      <c r="AL675" s="1" t="str">
        <f>_xlfn.IFNA(VLOOKUP(Master_Reference[[#This Row],[C-Flex 4000K 3W Part Number]],Lutron_CFlex_Lookup[],MATCH("Lutron Kit PN",Lutron_CFlex_Lookup[#Headers],0),FALSE),"")</f>
        <v/>
      </c>
      <c r="AM675" s="1" t="str">
        <f>_xlfn.IFNA(VLOOKUP(Master_Reference[[#This Row],[C-Flex 5000K 3W Part Number]],Lutron_CFlex_Lookup[],MATCH("Lutron Kit PN",Lutron_CFlex_Lookup[#Headers],0),FALSE),"")</f>
        <v/>
      </c>
      <c r="AN675" s="1" t="b">
        <f>NOT(ISNA(VLOOKUP(Master_Reference[[#This Row],[Model Number]],ObsoleteModels[],1,FALSE)))</f>
        <v>1</v>
      </c>
      <c r="AO675" s="1" t="str">
        <f>IF(LEFT(Master_Reference[[#This Row],[Model Number]],1)="U",LEFT(Master_Reference[[#This Row],[Model Number]],4),LEFT(Master_Reference[[#This Row],[Model Number]],3))</f>
        <v>FDB</v>
      </c>
    </row>
    <row r="676" spans="1:41" x14ac:dyDescent="0.25">
      <c r="A676" s="2" t="s">
        <v>971</v>
      </c>
      <c r="B676" s="1"/>
      <c r="C676" s="1" t="b">
        <v>1</v>
      </c>
      <c r="G676" s="1" t="str">
        <f>IF(OR(LEFT(RIGHT(Master_Reference[[#This Row],[Model Number]],3),1)="C",LEFT(RIGHT(Master_Reference[[#This Row],[Model Number]],4),1)="C"),TRUE,"")</f>
        <v/>
      </c>
      <c r="H676" s="1" t="str">
        <f>IF(LEFT(Master_Reference[[#This Row],[Model Number]],1)="U",TRUE,"")</f>
        <v/>
      </c>
      <c r="I676" s="1" t="str">
        <f>IF(Master_Reference[[#This Row],[Lamp Type]]="T4","",IF(Master_Reference[[#This Row],[Case Type]]="M","",TRUE))</f>
        <v/>
      </c>
      <c r="J676" s="1" t="s">
        <v>87</v>
      </c>
      <c r="K676" s="1">
        <v>18</v>
      </c>
      <c r="L676" s="1" t="s">
        <v>88</v>
      </c>
      <c r="M676" s="1">
        <v>1</v>
      </c>
      <c r="N676" s="1">
        <v>277</v>
      </c>
      <c r="O676" s="1" t="s">
        <v>89</v>
      </c>
      <c r="P676" s="1" t="b">
        <v>1</v>
      </c>
      <c r="R676" t="b">
        <f>IF(COUNTBLANK(Master_Reference[[#This Row],[C-Flex 3000K Eco Part Number]:[C-Flex 4000K Eco Part Number]])=3,FALSE,TRUE)</f>
        <v>0</v>
      </c>
      <c r="S676" t="b">
        <f>IF(COUNTBLANK(Master_Reference[[#This Row],[C-Flex 3000K 3W Part Number]:[C-Flex 4000K 3W Part Number]])=3,FALSE,TRUE)</f>
        <v>1</v>
      </c>
      <c r="T676" t="b">
        <f>IF(COUNTBLANK(Master_Reference[[#This Row],[Lutron 3000K Eco Part Number]:[Lutron 4000K Eco Part Number]])=3,FALSE,TRUE)</f>
        <v>0</v>
      </c>
      <c r="U676" t="b">
        <f>IF(COUNTBLANK(Master_Reference[[#This Row],[Lutron 3000K 3W Part Number]:[Lutron 4000K 3W Part Number]])=3,FALSE,TRUE)</f>
        <v>0</v>
      </c>
      <c r="V676" s="12"/>
      <c r="W676" s="12"/>
      <c r="X676" s="12"/>
      <c r="Y676" t="s">
        <v>2125</v>
      </c>
      <c r="Z676" s="12" t="s">
        <v>161</v>
      </c>
      <c r="AA676" s="12" t="s">
        <v>162</v>
      </c>
      <c r="AB676" s="12" t="s">
        <v>163</v>
      </c>
      <c r="AC676" t="s">
        <v>2125</v>
      </c>
      <c r="AD676" t="str">
        <f>SUBSTITUTE(Master_Reference[[#This Row],[C-Flex 4000K Eco Part Number]],"40-","xx-")</f>
        <v/>
      </c>
      <c r="AE676" t="str">
        <f>SUBSTITUTE(Master_Reference[[#This Row],[C-Flex 4000K 3W Part Number]],"40-","xx-")</f>
        <v>RP-G24Q-126m-1L-8xx-3W-K-G2</v>
      </c>
      <c r="AF676" s="1" t="str">
        <f>_xlfn.IFNA(VLOOKUP(Master_Reference[[#This Row],[C-Flex 3000K Eco Part Number]],Lutron_CFlex_Lookup[],MATCH("Lutron Kit PN",Lutron_CFlex_Lookup[#Headers],0),FALSE),"")</f>
        <v/>
      </c>
      <c r="AG676" s="1" t="str">
        <f>_xlfn.IFNA(VLOOKUP(Master_Reference[[#This Row],[C-Flex 3500K Eco Part Number]],Lutron_CFlex_Lookup[],MATCH("Lutron Kit PN",Lutron_CFlex_Lookup[#Headers],0),FALSE),"")</f>
        <v/>
      </c>
      <c r="AH676" s="1" t="str">
        <f>_xlfn.IFNA(VLOOKUP(Master_Reference[[#This Row],[C-Flex 4000K Eco Part Number]],Lutron_CFlex_Lookup[],MATCH("Lutron Kit PN",Lutron_CFlex_Lookup[#Headers],0),FALSE),"")</f>
        <v/>
      </c>
      <c r="AI676" s="1" t="str">
        <f>_xlfn.IFNA(VLOOKUP(Master_Reference[[#This Row],[C-Flex 5000K Eco Part Number]],Lutron_CFlex_Lookup[],MATCH("Lutron Kit PN",Lutron_CFlex_Lookup[#Headers],0),FALSE),"")</f>
        <v/>
      </c>
      <c r="AJ676" s="1" t="str">
        <f>_xlfn.IFNA(VLOOKUP(Master_Reference[[#This Row],[C-Flex 3000K 3W Part Number]],Lutron_CFlex_Lookup[],MATCH("Lutron Kit PN",Lutron_CFlex_Lookup[#Headers],0),FALSE),"")</f>
        <v/>
      </c>
      <c r="AK676" s="1" t="str">
        <f>_xlfn.IFNA(VLOOKUP(Master_Reference[[#This Row],[C-Flex 3500K 3W Part Number]],Lutron_CFlex_Lookup[],MATCH("Lutron Kit PN",Lutron_CFlex_Lookup[#Headers],0),FALSE),"")</f>
        <v/>
      </c>
      <c r="AL676" s="1" t="str">
        <f>_xlfn.IFNA(VLOOKUP(Master_Reference[[#This Row],[C-Flex 4000K 3W Part Number]],Lutron_CFlex_Lookup[],MATCH("Lutron Kit PN",Lutron_CFlex_Lookup[#Headers],0),FALSE),"")</f>
        <v/>
      </c>
      <c r="AM676" s="1" t="str">
        <f>_xlfn.IFNA(VLOOKUP(Master_Reference[[#This Row],[C-Flex 5000K 3W Part Number]],Lutron_CFlex_Lookup[],MATCH("Lutron Kit PN",Lutron_CFlex_Lookup[#Headers],0),FALSE),"")</f>
        <v/>
      </c>
      <c r="AN676" s="1" t="b">
        <f>NOT(ISNA(VLOOKUP(Master_Reference[[#This Row],[Model Number]],ObsoleteModels[],1,FALSE)))</f>
        <v>1</v>
      </c>
      <c r="AO676" s="1" t="str">
        <f>IF(LEFT(Master_Reference[[#This Row],[Model Number]],1)="U",LEFT(Master_Reference[[#This Row],[Model Number]],4),LEFT(Master_Reference[[#This Row],[Model Number]],3))</f>
        <v>FDB</v>
      </c>
    </row>
    <row r="677" spans="1:41" x14ac:dyDescent="0.25">
      <c r="A677" s="2" t="s">
        <v>972</v>
      </c>
      <c r="B677" s="1"/>
      <c r="C677" s="1" t="b">
        <v>1</v>
      </c>
      <c r="G677" s="1" t="str">
        <f>IF(OR(LEFT(RIGHT(Master_Reference[[#This Row],[Model Number]],3),1)="C",LEFT(RIGHT(Master_Reference[[#This Row],[Model Number]],4),1)="C"),TRUE,"")</f>
        <v/>
      </c>
      <c r="H677" s="1" t="str">
        <f>IF(LEFT(Master_Reference[[#This Row],[Model Number]],1)="U",TRUE,"")</f>
        <v/>
      </c>
      <c r="I677" s="1" t="str">
        <f>IF(Master_Reference[[#This Row],[Lamp Type]]="T4","",IF(Master_Reference[[#This Row],[Case Type]]="M","",TRUE))</f>
        <v/>
      </c>
      <c r="J677" s="1" t="s">
        <v>87</v>
      </c>
      <c r="K677" s="1">
        <v>18</v>
      </c>
      <c r="L677" s="1" t="s">
        <v>88</v>
      </c>
      <c r="M677" s="1">
        <v>2</v>
      </c>
      <c r="N677" s="1">
        <v>277</v>
      </c>
      <c r="O677" s="1" t="s">
        <v>106</v>
      </c>
      <c r="R677" t="b">
        <f>IF(COUNTBLANK(Master_Reference[[#This Row],[C-Flex 3000K Eco Part Number]:[C-Flex 4000K Eco Part Number]])=3,FALSE,TRUE)</f>
        <v>0</v>
      </c>
      <c r="S677" t="b">
        <f>IF(COUNTBLANK(Master_Reference[[#This Row],[C-Flex 3000K 3W Part Number]:[C-Flex 4000K 3W Part Number]])=3,FALSE,TRUE)</f>
        <v>1</v>
      </c>
      <c r="T677" t="b">
        <f>IF(COUNTBLANK(Master_Reference[[#This Row],[Lutron 3000K Eco Part Number]:[Lutron 4000K Eco Part Number]])=3,FALSE,TRUE)</f>
        <v>0</v>
      </c>
      <c r="U677" t="b">
        <f>IF(COUNTBLANK(Master_Reference[[#This Row],[Lutron 3000K 3W Part Number]:[Lutron 4000K 3W Part Number]])=3,FALSE,TRUE)</f>
        <v>0</v>
      </c>
      <c r="V677" s="12"/>
      <c r="W677" s="12"/>
      <c r="X677" s="12"/>
      <c r="Y677" t="s">
        <v>2125</v>
      </c>
      <c r="Z677" s="12" t="s">
        <v>1567</v>
      </c>
      <c r="AA677" s="12" t="s">
        <v>1568</v>
      </c>
      <c r="AB677" s="12" t="s">
        <v>1569</v>
      </c>
      <c r="AC677" t="s">
        <v>2125</v>
      </c>
      <c r="AD677" t="str">
        <f>SUBSTITUTE(Master_Reference[[#This Row],[C-Flex 4000K Eco Part Number]],"40-","xx-")</f>
        <v/>
      </c>
      <c r="AE677" t="str">
        <f>SUBSTITUTE(Master_Reference[[#This Row],[C-Flex 4000K 3W Part Number]],"40-","xx-")</f>
        <v>RP-G24Q-226m-2L-8xx-3W-KN-G2</v>
      </c>
      <c r="AF677" s="1" t="str">
        <f>_xlfn.IFNA(VLOOKUP(Master_Reference[[#This Row],[C-Flex 3000K Eco Part Number]],Lutron_CFlex_Lookup[],MATCH("Lutron Kit PN",Lutron_CFlex_Lookup[#Headers],0),FALSE),"")</f>
        <v/>
      </c>
      <c r="AG677" s="1" t="str">
        <f>_xlfn.IFNA(VLOOKUP(Master_Reference[[#This Row],[C-Flex 3500K Eco Part Number]],Lutron_CFlex_Lookup[],MATCH("Lutron Kit PN",Lutron_CFlex_Lookup[#Headers],0),FALSE),"")</f>
        <v/>
      </c>
      <c r="AH677" s="1" t="str">
        <f>_xlfn.IFNA(VLOOKUP(Master_Reference[[#This Row],[C-Flex 4000K Eco Part Number]],Lutron_CFlex_Lookup[],MATCH("Lutron Kit PN",Lutron_CFlex_Lookup[#Headers],0),FALSE),"")</f>
        <v/>
      </c>
      <c r="AI677" s="1" t="str">
        <f>_xlfn.IFNA(VLOOKUP(Master_Reference[[#This Row],[C-Flex 5000K Eco Part Number]],Lutron_CFlex_Lookup[],MATCH("Lutron Kit PN",Lutron_CFlex_Lookup[#Headers],0),FALSE),"")</f>
        <v/>
      </c>
      <c r="AJ677" s="1" t="str">
        <f>_xlfn.IFNA(VLOOKUP(Master_Reference[[#This Row],[C-Flex 3000K 3W Part Number]],Lutron_CFlex_Lookup[],MATCH("Lutron Kit PN",Lutron_CFlex_Lookup[#Headers],0),FALSE),"")</f>
        <v/>
      </c>
      <c r="AK677" s="1" t="str">
        <f>_xlfn.IFNA(VLOOKUP(Master_Reference[[#This Row],[C-Flex 3500K 3W Part Number]],Lutron_CFlex_Lookup[],MATCH("Lutron Kit PN",Lutron_CFlex_Lookup[#Headers],0),FALSE),"")</f>
        <v/>
      </c>
      <c r="AL677" s="1" t="str">
        <f>_xlfn.IFNA(VLOOKUP(Master_Reference[[#This Row],[C-Flex 4000K 3W Part Number]],Lutron_CFlex_Lookup[],MATCH("Lutron Kit PN",Lutron_CFlex_Lookup[#Headers],0),FALSE),"")</f>
        <v/>
      </c>
      <c r="AM677" s="1" t="str">
        <f>_xlfn.IFNA(VLOOKUP(Master_Reference[[#This Row],[C-Flex 5000K 3W Part Number]],Lutron_CFlex_Lookup[],MATCH("Lutron Kit PN",Lutron_CFlex_Lookup[#Headers],0),FALSE),"")</f>
        <v/>
      </c>
      <c r="AN677" s="1" t="b">
        <f>NOT(ISNA(VLOOKUP(Master_Reference[[#This Row],[Model Number]],ObsoleteModels[],1,FALSE)))</f>
        <v>1</v>
      </c>
      <c r="AO677" s="1" t="str">
        <f>IF(LEFT(Master_Reference[[#This Row],[Model Number]],1)="U",LEFT(Master_Reference[[#This Row],[Model Number]],4),LEFT(Master_Reference[[#This Row],[Model Number]],3))</f>
        <v>FDB</v>
      </c>
    </row>
    <row r="678" spans="1:41" x14ac:dyDescent="0.25">
      <c r="A678" s="2" t="s">
        <v>973</v>
      </c>
      <c r="B678" s="1"/>
      <c r="C678" s="1" t="b">
        <v>1</v>
      </c>
      <c r="G678" s="1" t="str">
        <f>IF(OR(LEFT(RIGHT(Master_Reference[[#This Row],[Model Number]],3),1)="C",LEFT(RIGHT(Master_Reference[[#This Row],[Model Number]],4),1)="C"),TRUE,"")</f>
        <v/>
      </c>
      <c r="H678" s="1" t="str">
        <f>IF(LEFT(Master_Reference[[#This Row],[Model Number]],1)="U",TRUE,"")</f>
        <v/>
      </c>
      <c r="I678" s="1" t="str">
        <f>IF(Master_Reference[[#This Row],[Lamp Type]]="T4","",IF(Master_Reference[[#This Row],[Case Type]]="M","",TRUE))</f>
        <v/>
      </c>
      <c r="J678" s="1" t="s">
        <v>87</v>
      </c>
      <c r="K678" s="1">
        <v>18</v>
      </c>
      <c r="L678" s="1" t="s">
        <v>88</v>
      </c>
      <c r="M678" s="1">
        <v>2</v>
      </c>
      <c r="N678" s="1">
        <v>277</v>
      </c>
      <c r="O678" s="1" t="s">
        <v>106</v>
      </c>
      <c r="P678" s="1" t="b">
        <v>1</v>
      </c>
      <c r="R678" t="b">
        <f>IF(COUNTBLANK(Master_Reference[[#This Row],[C-Flex 3000K Eco Part Number]:[C-Flex 4000K Eco Part Number]])=3,FALSE,TRUE)</f>
        <v>0</v>
      </c>
      <c r="S678" t="b">
        <f>IF(COUNTBLANK(Master_Reference[[#This Row],[C-Flex 3000K 3W Part Number]:[C-Flex 4000K 3W Part Number]])=3,FALSE,TRUE)</f>
        <v>1</v>
      </c>
      <c r="T678" t="b">
        <f>IF(COUNTBLANK(Master_Reference[[#This Row],[Lutron 3000K Eco Part Number]:[Lutron 4000K Eco Part Number]])=3,FALSE,TRUE)</f>
        <v>0</v>
      </c>
      <c r="U678" t="b">
        <f>IF(COUNTBLANK(Master_Reference[[#This Row],[Lutron 3000K 3W Part Number]:[Lutron 4000K 3W Part Number]])=3,FALSE,TRUE)</f>
        <v>0</v>
      </c>
      <c r="V678" s="12"/>
      <c r="W678" s="12"/>
      <c r="X678" s="12"/>
      <c r="Y678" t="s">
        <v>2125</v>
      </c>
      <c r="Z678" s="12" t="s">
        <v>1573</v>
      </c>
      <c r="AA678" s="12" t="s">
        <v>1574</v>
      </c>
      <c r="AB678" s="12" t="s">
        <v>1575</v>
      </c>
      <c r="AC678" t="s">
        <v>2125</v>
      </c>
      <c r="AD678" t="str">
        <f>SUBSTITUTE(Master_Reference[[#This Row],[C-Flex 4000K Eco Part Number]],"40-","xx-")</f>
        <v/>
      </c>
      <c r="AE678" t="str">
        <f>SUBSTITUTE(Master_Reference[[#This Row],[C-Flex 4000K 3W Part Number]],"40-","xx-")</f>
        <v>RP-G24Q-226m-2L-8xx-3W-K-G2</v>
      </c>
      <c r="AF678" s="1" t="str">
        <f>_xlfn.IFNA(VLOOKUP(Master_Reference[[#This Row],[C-Flex 3000K Eco Part Number]],Lutron_CFlex_Lookup[],MATCH("Lutron Kit PN",Lutron_CFlex_Lookup[#Headers],0),FALSE),"")</f>
        <v/>
      </c>
      <c r="AG678" s="1" t="str">
        <f>_xlfn.IFNA(VLOOKUP(Master_Reference[[#This Row],[C-Flex 3500K Eco Part Number]],Lutron_CFlex_Lookup[],MATCH("Lutron Kit PN",Lutron_CFlex_Lookup[#Headers],0),FALSE),"")</f>
        <v/>
      </c>
      <c r="AH678" s="1" t="str">
        <f>_xlfn.IFNA(VLOOKUP(Master_Reference[[#This Row],[C-Flex 4000K Eco Part Number]],Lutron_CFlex_Lookup[],MATCH("Lutron Kit PN",Lutron_CFlex_Lookup[#Headers],0),FALSE),"")</f>
        <v/>
      </c>
      <c r="AI678" s="1" t="str">
        <f>_xlfn.IFNA(VLOOKUP(Master_Reference[[#This Row],[C-Flex 5000K Eco Part Number]],Lutron_CFlex_Lookup[],MATCH("Lutron Kit PN",Lutron_CFlex_Lookup[#Headers],0),FALSE),"")</f>
        <v/>
      </c>
      <c r="AJ678" s="1" t="str">
        <f>_xlfn.IFNA(VLOOKUP(Master_Reference[[#This Row],[C-Flex 3000K 3W Part Number]],Lutron_CFlex_Lookup[],MATCH("Lutron Kit PN",Lutron_CFlex_Lookup[#Headers],0),FALSE),"")</f>
        <v/>
      </c>
      <c r="AK678" s="1" t="str">
        <f>_xlfn.IFNA(VLOOKUP(Master_Reference[[#This Row],[C-Flex 3500K 3W Part Number]],Lutron_CFlex_Lookup[],MATCH("Lutron Kit PN",Lutron_CFlex_Lookup[#Headers],0),FALSE),"")</f>
        <v/>
      </c>
      <c r="AL678" s="1" t="str">
        <f>_xlfn.IFNA(VLOOKUP(Master_Reference[[#This Row],[C-Flex 4000K 3W Part Number]],Lutron_CFlex_Lookup[],MATCH("Lutron Kit PN",Lutron_CFlex_Lookup[#Headers],0),FALSE),"")</f>
        <v/>
      </c>
      <c r="AM678" s="1" t="str">
        <f>_xlfn.IFNA(VLOOKUP(Master_Reference[[#This Row],[C-Flex 5000K 3W Part Number]],Lutron_CFlex_Lookup[],MATCH("Lutron Kit PN",Lutron_CFlex_Lookup[#Headers],0),FALSE),"")</f>
        <v/>
      </c>
      <c r="AN678" s="1" t="b">
        <f>NOT(ISNA(VLOOKUP(Master_Reference[[#This Row],[Model Number]],ObsoleteModels[],1,FALSE)))</f>
        <v>1</v>
      </c>
      <c r="AO678" s="1" t="str">
        <f>IF(LEFT(Master_Reference[[#This Row],[Model Number]],1)="U",LEFT(Master_Reference[[#This Row],[Model Number]],4),LEFT(Master_Reference[[#This Row],[Model Number]],3))</f>
        <v>FDB</v>
      </c>
    </row>
    <row r="679" spans="1:41" x14ac:dyDescent="0.25">
      <c r="A679" s="2" t="s">
        <v>974</v>
      </c>
      <c r="B679" s="1"/>
      <c r="C679" s="1" t="b">
        <v>1</v>
      </c>
      <c r="G679" s="1" t="str">
        <f>IF(OR(LEFT(RIGHT(Master_Reference[[#This Row],[Model Number]],3),1)="C",LEFT(RIGHT(Master_Reference[[#This Row],[Model Number]],4),1)="C"),TRUE,"")</f>
        <v/>
      </c>
      <c r="H679" s="1" t="str">
        <f>IF(LEFT(Master_Reference[[#This Row],[Model Number]],1)="U",TRUE,"")</f>
        <v/>
      </c>
      <c r="I679" s="1" t="str">
        <f>IF(Master_Reference[[#This Row],[Lamp Type]]="T4","",IF(Master_Reference[[#This Row],[Case Type]]="M","",TRUE))</f>
        <v/>
      </c>
      <c r="J679" s="1" t="s">
        <v>87</v>
      </c>
      <c r="K679" s="1">
        <v>26</v>
      </c>
      <c r="L679" s="1" t="s">
        <v>88</v>
      </c>
      <c r="M679" s="1">
        <v>1</v>
      </c>
      <c r="N679" s="1">
        <v>120</v>
      </c>
      <c r="O679" s="1" t="s">
        <v>89</v>
      </c>
      <c r="R679" t="b">
        <f>IF(COUNTBLANK(Master_Reference[[#This Row],[C-Flex 3000K Eco Part Number]:[C-Flex 4000K Eco Part Number]])=3,FALSE,TRUE)</f>
        <v>0</v>
      </c>
      <c r="S679" t="b">
        <f>IF(COUNTBLANK(Master_Reference[[#This Row],[C-Flex 3000K 3W Part Number]:[C-Flex 4000K 3W Part Number]])=3,FALSE,TRUE)</f>
        <v>1</v>
      </c>
      <c r="T679" t="b">
        <f>IF(COUNTBLANK(Master_Reference[[#This Row],[Lutron 3000K Eco Part Number]:[Lutron 4000K Eco Part Number]])=3,FALSE,TRUE)</f>
        <v>0</v>
      </c>
      <c r="U679" t="b">
        <f>IF(COUNTBLANK(Master_Reference[[#This Row],[Lutron 3000K 3W Part Number]:[Lutron 4000K 3W Part Number]])=3,FALSE,TRUE)</f>
        <v>0</v>
      </c>
      <c r="V679" s="12"/>
      <c r="W679" s="12"/>
      <c r="X679" s="12"/>
      <c r="Y679" t="s">
        <v>2125</v>
      </c>
      <c r="Z679" s="12" t="s">
        <v>154</v>
      </c>
      <c r="AA679" s="12" t="s">
        <v>155</v>
      </c>
      <c r="AB679" s="12" t="s">
        <v>156</v>
      </c>
      <c r="AC679" t="s">
        <v>2125</v>
      </c>
      <c r="AD679" t="str">
        <f>SUBSTITUTE(Master_Reference[[#This Row],[C-Flex 4000K Eco Part Number]],"40-","xx-")</f>
        <v/>
      </c>
      <c r="AE679" t="str">
        <f>SUBSTITUTE(Master_Reference[[#This Row],[C-Flex 4000K 3W Part Number]],"40-","xx-")</f>
        <v>RP-G24Q-126m-1L-8xx-3W-KN-G2</v>
      </c>
      <c r="AF679" s="1" t="str">
        <f>_xlfn.IFNA(VLOOKUP(Master_Reference[[#This Row],[C-Flex 3000K Eco Part Number]],Lutron_CFlex_Lookup[],MATCH("Lutron Kit PN",Lutron_CFlex_Lookup[#Headers],0),FALSE),"")</f>
        <v/>
      </c>
      <c r="AG679" s="1" t="str">
        <f>_xlfn.IFNA(VLOOKUP(Master_Reference[[#This Row],[C-Flex 3500K Eco Part Number]],Lutron_CFlex_Lookup[],MATCH("Lutron Kit PN",Lutron_CFlex_Lookup[#Headers],0),FALSE),"")</f>
        <v/>
      </c>
      <c r="AH679" s="1" t="str">
        <f>_xlfn.IFNA(VLOOKUP(Master_Reference[[#This Row],[C-Flex 4000K Eco Part Number]],Lutron_CFlex_Lookup[],MATCH("Lutron Kit PN",Lutron_CFlex_Lookup[#Headers],0),FALSE),"")</f>
        <v/>
      </c>
      <c r="AI679" s="1" t="str">
        <f>_xlfn.IFNA(VLOOKUP(Master_Reference[[#This Row],[C-Flex 5000K Eco Part Number]],Lutron_CFlex_Lookup[],MATCH("Lutron Kit PN",Lutron_CFlex_Lookup[#Headers],0),FALSE),"")</f>
        <v/>
      </c>
      <c r="AJ679" s="1" t="str">
        <f>_xlfn.IFNA(VLOOKUP(Master_Reference[[#This Row],[C-Flex 3000K 3W Part Number]],Lutron_CFlex_Lookup[],MATCH("Lutron Kit PN",Lutron_CFlex_Lookup[#Headers],0),FALSE),"")</f>
        <v/>
      </c>
      <c r="AK679" s="1" t="str">
        <f>_xlfn.IFNA(VLOOKUP(Master_Reference[[#This Row],[C-Flex 3500K 3W Part Number]],Lutron_CFlex_Lookup[],MATCH("Lutron Kit PN",Lutron_CFlex_Lookup[#Headers],0),FALSE),"")</f>
        <v/>
      </c>
      <c r="AL679" s="1" t="str">
        <f>_xlfn.IFNA(VLOOKUP(Master_Reference[[#This Row],[C-Flex 4000K 3W Part Number]],Lutron_CFlex_Lookup[],MATCH("Lutron Kit PN",Lutron_CFlex_Lookup[#Headers],0),FALSE),"")</f>
        <v/>
      </c>
      <c r="AM679" s="1" t="str">
        <f>_xlfn.IFNA(VLOOKUP(Master_Reference[[#This Row],[C-Flex 5000K 3W Part Number]],Lutron_CFlex_Lookup[],MATCH("Lutron Kit PN",Lutron_CFlex_Lookup[#Headers],0),FALSE),"")</f>
        <v/>
      </c>
      <c r="AN679" s="1" t="b">
        <f>NOT(ISNA(VLOOKUP(Master_Reference[[#This Row],[Model Number]],ObsoleteModels[],1,FALSE)))</f>
        <v>1</v>
      </c>
      <c r="AO679" s="1" t="str">
        <f>IF(LEFT(Master_Reference[[#This Row],[Model Number]],1)="U",LEFT(Master_Reference[[#This Row],[Model Number]],4),LEFT(Master_Reference[[#This Row],[Model Number]],3))</f>
        <v>FDB</v>
      </c>
    </row>
    <row r="680" spans="1:41" x14ac:dyDescent="0.25">
      <c r="A680" s="2" t="s">
        <v>975</v>
      </c>
      <c r="B680" s="1"/>
      <c r="C680" s="1" t="b">
        <v>1</v>
      </c>
      <c r="G680" s="1" t="str">
        <f>IF(OR(LEFT(RIGHT(Master_Reference[[#This Row],[Model Number]],3),1)="C",LEFT(RIGHT(Master_Reference[[#This Row],[Model Number]],4),1)="C"),TRUE,"")</f>
        <v/>
      </c>
      <c r="H680" s="1" t="str">
        <f>IF(LEFT(Master_Reference[[#This Row],[Model Number]],1)="U",TRUE,"")</f>
        <v/>
      </c>
      <c r="I680" s="1" t="str">
        <f>IF(Master_Reference[[#This Row],[Lamp Type]]="T4","",IF(Master_Reference[[#This Row],[Case Type]]="M","",TRUE))</f>
        <v/>
      </c>
      <c r="J680" s="1" t="s">
        <v>87</v>
      </c>
      <c r="K680" s="1">
        <v>26</v>
      </c>
      <c r="L680" s="1" t="s">
        <v>88</v>
      </c>
      <c r="M680" s="1">
        <v>1</v>
      </c>
      <c r="N680" s="1">
        <v>120</v>
      </c>
      <c r="O680" s="1" t="s">
        <v>89</v>
      </c>
      <c r="Q680" s="1" t="s">
        <v>91</v>
      </c>
      <c r="R680" t="b">
        <f>IF(COUNTBLANK(Master_Reference[[#This Row],[C-Flex 3000K Eco Part Number]:[C-Flex 4000K Eco Part Number]])=3,FALSE,TRUE)</f>
        <v>0</v>
      </c>
      <c r="S680" t="b">
        <f>IF(COUNTBLANK(Master_Reference[[#This Row],[C-Flex 3000K 3W Part Number]:[C-Flex 4000K 3W Part Number]])=3,FALSE,TRUE)</f>
        <v>0</v>
      </c>
      <c r="T680" t="b">
        <f>IF(COUNTBLANK(Master_Reference[[#This Row],[Lutron 3000K Eco Part Number]:[Lutron 4000K Eco Part Number]])=3,FALSE,TRUE)</f>
        <v>0</v>
      </c>
      <c r="U680" t="b">
        <f>IF(COUNTBLANK(Master_Reference[[#This Row],[Lutron 3000K 3W Part Number]:[Lutron 4000K 3W Part Number]])=3,FALSE,TRUE)</f>
        <v>0</v>
      </c>
      <c r="V680" s="12"/>
      <c r="W680" s="12"/>
      <c r="X680" s="12"/>
      <c r="Y680" t="s">
        <v>2125</v>
      </c>
      <c r="Z680" s="12"/>
      <c r="AA680" s="12"/>
      <c r="AB680" s="12"/>
      <c r="AC680" t="s">
        <v>2125</v>
      </c>
      <c r="AD680" t="str">
        <f>SUBSTITUTE(Master_Reference[[#This Row],[C-Flex 4000K Eco Part Number]],"40-","xx-")</f>
        <v/>
      </c>
      <c r="AE680" t="str">
        <f>SUBSTITUTE(Master_Reference[[#This Row],[C-Flex 4000K 3W Part Number]],"40-","xx-")</f>
        <v/>
      </c>
      <c r="AF680" s="1" t="str">
        <f>_xlfn.IFNA(VLOOKUP(Master_Reference[[#This Row],[C-Flex 3000K Eco Part Number]],Lutron_CFlex_Lookup[],MATCH("Lutron Kit PN",Lutron_CFlex_Lookup[#Headers],0),FALSE),"")</f>
        <v/>
      </c>
      <c r="AG680" s="1" t="str">
        <f>_xlfn.IFNA(VLOOKUP(Master_Reference[[#This Row],[C-Flex 3500K Eco Part Number]],Lutron_CFlex_Lookup[],MATCH("Lutron Kit PN",Lutron_CFlex_Lookup[#Headers],0),FALSE),"")</f>
        <v/>
      </c>
      <c r="AH680" s="1" t="str">
        <f>_xlfn.IFNA(VLOOKUP(Master_Reference[[#This Row],[C-Flex 4000K Eco Part Number]],Lutron_CFlex_Lookup[],MATCH("Lutron Kit PN",Lutron_CFlex_Lookup[#Headers],0),FALSE),"")</f>
        <v/>
      </c>
      <c r="AI680" s="1" t="str">
        <f>_xlfn.IFNA(VLOOKUP(Master_Reference[[#This Row],[C-Flex 5000K Eco Part Number]],Lutron_CFlex_Lookup[],MATCH("Lutron Kit PN",Lutron_CFlex_Lookup[#Headers],0),FALSE),"")</f>
        <v/>
      </c>
      <c r="AJ680" s="1" t="str">
        <f>_xlfn.IFNA(VLOOKUP(Master_Reference[[#This Row],[C-Flex 3000K 3W Part Number]],Lutron_CFlex_Lookup[],MATCH("Lutron Kit PN",Lutron_CFlex_Lookup[#Headers],0),FALSE),"")</f>
        <v/>
      </c>
      <c r="AK680" s="1" t="str">
        <f>_xlfn.IFNA(VLOOKUP(Master_Reference[[#This Row],[C-Flex 3500K 3W Part Number]],Lutron_CFlex_Lookup[],MATCH("Lutron Kit PN",Lutron_CFlex_Lookup[#Headers],0),FALSE),"")</f>
        <v/>
      </c>
      <c r="AL680" s="1" t="str">
        <f>_xlfn.IFNA(VLOOKUP(Master_Reference[[#This Row],[C-Flex 4000K 3W Part Number]],Lutron_CFlex_Lookup[],MATCH("Lutron Kit PN",Lutron_CFlex_Lookup[#Headers],0),FALSE),"")</f>
        <v/>
      </c>
      <c r="AM680" s="1" t="str">
        <f>_xlfn.IFNA(VLOOKUP(Master_Reference[[#This Row],[C-Flex 5000K 3W Part Number]],Lutron_CFlex_Lookup[],MATCH("Lutron Kit PN",Lutron_CFlex_Lookup[#Headers],0),FALSE),"")</f>
        <v/>
      </c>
      <c r="AN680" s="1" t="b">
        <f>NOT(ISNA(VLOOKUP(Master_Reference[[#This Row],[Model Number]],ObsoleteModels[],1,FALSE)))</f>
        <v>1</v>
      </c>
      <c r="AO680" s="1" t="str">
        <f>IF(LEFT(Master_Reference[[#This Row],[Model Number]],1)="U",LEFT(Master_Reference[[#This Row],[Model Number]],4),LEFT(Master_Reference[[#This Row],[Model Number]],3))</f>
        <v>FDB</v>
      </c>
    </row>
    <row r="681" spans="1:41" x14ac:dyDescent="0.25">
      <c r="A681" s="2" t="s">
        <v>976</v>
      </c>
      <c r="B681" s="1"/>
      <c r="C681" s="1" t="b">
        <v>1</v>
      </c>
      <c r="G681" s="1" t="str">
        <f>IF(OR(LEFT(RIGHT(Master_Reference[[#This Row],[Model Number]],3),1)="C",LEFT(RIGHT(Master_Reference[[#This Row],[Model Number]],4),1)="C"),TRUE,"")</f>
        <v/>
      </c>
      <c r="H681" s="1" t="str">
        <f>IF(LEFT(Master_Reference[[#This Row],[Model Number]],1)="U",TRUE,"")</f>
        <v/>
      </c>
      <c r="I681" s="1" t="str">
        <f>IF(Master_Reference[[#This Row],[Lamp Type]]="T4","",IF(Master_Reference[[#This Row],[Case Type]]="M","",TRUE))</f>
        <v/>
      </c>
      <c r="J681" s="1" t="s">
        <v>87</v>
      </c>
      <c r="K681" s="1">
        <v>26</v>
      </c>
      <c r="L681" s="1" t="s">
        <v>88</v>
      </c>
      <c r="M681" s="1">
        <v>1</v>
      </c>
      <c r="N681" s="1">
        <v>120</v>
      </c>
      <c r="O681" s="1" t="s">
        <v>89</v>
      </c>
      <c r="P681" s="1" t="b">
        <v>1</v>
      </c>
      <c r="R681" t="b">
        <f>IF(COUNTBLANK(Master_Reference[[#This Row],[C-Flex 3000K Eco Part Number]:[C-Flex 4000K Eco Part Number]])=3,FALSE,TRUE)</f>
        <v>0</v>
      </c>
      <c r="S681" t="b">
        <f>IF(COUNTBLANK(Master_Reference[[#This Row],[C-Flex 3000K 3W Part Number]:[C-Flex 4000K 3W Part Number]])=3,FALSE,TRUE)</f>
        <v>1</v>
      </c>
      <c r="T681" t="b">
        <f>IF(COUNTBLANK(Master_Reference[[#This Row],[Lutron 3000K Eco Part Number]:[Lutron 4000K Eco Part Number]])=3,FALSE,TRUE)</f>
        <v>0</v>
      </c>
      <c r="U681" t="b">
        <f>IF(COUNTBLANK(Master_Reference[[#This Row],[Lutron 3000K 3W Part Number]:[Lutron 4000K 3W Part Number]])=3,FALSE,TRUE)</f>
        <v>0</v>
      </c>
      <c r="V681" s="12"/>
      <c r="W681" s="12"/>
      <c r="X681" s="12"/>
      <c r="Y681" t="s">
        <v>2125</v>
      </c>
      <c r="Z681" s="12" t="s">
        <v>161</v>
      </c>
      <c r="AA681" s="12" t="s">
        <v>162</v>
      </c>
      <c r="AB681" s="12" t="s">
        <v>163</v>
      </c>
      <c r="AC681" t="s">
        <v>2125</v>
      </c>
      <c r="AD681" t="str">
        <f>SUBSTITUTE(Master_Reference[[#This Row],[C-Flex 4000K Eco Part Number]],"40-","xx-")</f>
        <v/>
      </c>
      <c r="AE681" t="str">
        <f>SUBSTITUTE(Master_Reference[[#This Row],[C-Flex 4000K 3W Part Number]],"40-","xx-")</f>
        <v>RP-G24Q-126m-1L-8xx-3W-K-G2</v>
      </c>
      <c r="AF681" s="1" t="str">
        <f>_xlfn.IFNA(VLOOKUP(Master_Reference[[#This Row],[C-Flex 3000K Eco Part Number]],Lutron_CFlex_Lookup[],MATCH("Lutron Kit PN",Lutron_CFlex_Lookup[#Headers],0),FALSE),"")</f>
        <v/>
      </c>
      <c r="AG681" s="1" t="str">
        <f>_xlfn.IFNA(VLOOKUP(Master_Reference[[#This Row],[C-Flex 3500K Eco Part Number]],Lutron_CFlex_Lookup[],MATCH("Lutron Kit PN",Lutron_CFlex_Lookup[#Headers],0),FALSE),"")</f>
        <v/>
      </c>
      <c r="AH681" s="1" t="str">
        <f>_xlfn.IFNA(VLOOKUP(Master_Reference[[#This Row],[C-Flex 4000K Eco Part Number]],Lutron_CFlex_Lookup[],MATCH("Lutron Kit PN",Lutron_CFlex_Lookup[#Headers],0),FALSE),"")</f>
        <v/>
      </c>
      <c r="AI681" s="1" t="str">
        <f>_xlfn.IFNA(VLOOKUP(Master_Reference[[#This Row],[C-Flex 5000K Eco Part Number]],Lutron_CFlex_Lookup[],MATCH("Lutron Kit PN",Lutron_CFlex_Lookup[#Headers],0),FALSE),"")</f>
        <v/>
      </c>
      <c r="AJ681" s="1" t="str">
        <f>_xlfn.IFNA(VLOOKUP(Master_Reference[[#This Row],[C-Flex 3000K 3W Part Number]],Lutron_CFlex_Lookup[],MATCH("Lutron Kit PN",Lutron_CFlex_Lookup[#Headers],0),FALSE),"")</f>
        <v/>
      </c>
      <c r="AK681" s="1" t="str">
        <f>_xlfn.IFNA(VLOOKUP(Master_Reference[[#This Row],[C-Flex 3500K 3W Part Number]],Lutron_CFlex_Lookup[],MATCH("Lutron Kit PN",Lutron_CFlex_Lookup[#Headers],0),FALSE),"")</f>
        <v/>
      </c>
      <c r="AL681" s="1" t="str">
        <f>_xlfn.IFNA(VLOOKUP(Master_Reference[[#This Row],[C-Flex 4000K 3W Part Number]],Lutron_CFlex_Lookup[],MATCH("Lutron Kit PN",Lutron_CFlex_Lookup[#Headers],0),FALSE),"")</f>
        <v/>
      </c>
      <c r="AM681" s="1" t="str">
        <f>_xlfn.IFNA(VLOOKUP(Master_Reference[[#This Row],[C-Flex 5000K 3W Part Number]],Lutron_CFlex_Lookup[],MATCH("Lutron Kit PN",Lutron_CFlex_Lookup[#Headers],0),FALSE),"")</f>
        <v/>
      </c>
      <c r="AN681" s="1" t="b">
        <f>NOT(ISNA(VLOOKUP(Master_Reference[[#This Row],[Model Number]],ObsoleteModels[],1,FALSE)))</f>
        <v>1</v>
      </c>
      <c r="AO681" s="1" t="str">
        <f>IF(LEFT(Master_Reference[[#This Row],[Model Number]],1)="U",LEFT(Master_Reference[[#This Row],[Model Number]],4),LEFT(Master_Reference[[#This Row],[Model Number]],3))</f>
        <v>FDB</v>
      </c>
    </row>
    <row r="682" spans="1:41" x14ac:dyDescent="0.25">
      <c r="A682" s="2" t="s">
        <v>977</v>
      </c>
      <c r="B682" s="1"/>
      <c r="C682" s="1" t="b">
        <v>1</v>
      </c>
      <c r="G682" s="1" t="str">
        <f>IF(OR(LEFT(RIGHT(Master_Reference[[#This Row],[Model Number]],3),1)="C",LEFT(RIGHT(Master_Reference[[#This Row],[Model Number]],4),1)="C"),TRUE,"")</f>
        <v/>
      </c>
      <c r="H682" s="1" t="str">
        <f>IF(LEFT(Master_Reference[[#This Row],[Model Number]],1)="U",TRUE,"")</f>
        <v/>
      </c>
      <c r="I682" s="1" t="str">
        <f>IF(Master_Reference[[#This Row],[Lamp Type]]="T4","",IF(Master_Reference[[#This Row],[Case Type]]="M","",TRUE))</f>
        <v/>
      </c>
      <c r="J682" s="1" t="s">
        <v>87</v>
      </c>
      <c r="K682" s="1">
        <v>26</v>
      </c>
      <c r="L682" s="1" t="s">
        <v>88</v>
      </c>
      <c r="M682" s="1">
        <v>1</v>
      </c>
      <c r="N682" s="1">
        <v>120</v>
      </c>
      <c r="O682" s="1" t="s">
        <v>89</v>
      </c>
      <c r="P682" s="1" t="b">
        <v>1</v>
      </c>
      <c r="Q682" s="1" t="s">
        <v>91</v>
      </c>
      <c r="R682" t="b">
        <f>IF(COUNTBLANK(Master_Reference[[#This Row],[C-Flex 3000K Eco Part Number]:[C-Flex 4000K Eco Part Number]])=3,FALSE,TRUE)</f>
        <v>0</v>
      </c>
      <c r="S682" t="b">
        <f>IF(COUNTBLANK(Master_Reference[[#This Row],[C-Flex 3000K 3W Part Number]:[C-Flex 4000K 3W Part Number]])=3,FALSE,TRUE)</f>
        <v>0</v>
      </c>
      <c r="T682" t="b">
        <f>IF(COUNTBLANK(Master_Reference[[#This Row],[Lutron 3000K Eco Part Number]:[Lutron 4000K Eco Part Number]])=3,FALSE,TRUE)</f>
        <v>0</v>
      </c>
      <c r="U682" t="b">
        <f>IF(COUNTBLANK(Master_Reference[[#This Row],[Lutron 3000K 3W Part Number]:[Lutron 4000K 3W Part Number]])=3,FALSE,TRUE)</f>
        <v>0</v>
      </c>
      <c r="V682" s="12"/>
      <c r="W682" s="12"/>
      <c r="X682" s="12"/>
      <c r="Y682" t="s">
        <v>2125</v>
      </c>
      <c r="Z682" s="12"/>
      <c r="AA682" s="12"/>
      <c r="AB682" s="12"/>
      <c r="AC682" t="s">
        <v>2125</v>
      </c>
      <c r="AD682" t="str">
        <f>SUBSTITUTE(Master_Reference[[#This Row],[C-Flex 4000K Eco Part Number]],"40-","xx-")</f>
        <v/>
      </c>
      <c r="AE682" t="str">
        <f>SUBSTITUTE(Master_Reference[[#This Row],[C-Flex 4000K 3W Part Number]],"40-","xx-")</f>
        <v/>
      </c>
      <c r="AF682" s="1" t="str">
        <f>_xlfn.IFNA(VLOOKUP(Master_Reference[[#This Row],[C-Flex 3000K Eco Part Number]],Lutron_CFlex_Lookup[],MATCH("Lutron Kit PN",Lutron_CFlex_Lookup[#Headers],0),FALSE),"")</f>
        <v/>
      </c>
      <c r="AG682" s="1" t="str">
        <f>_xlfn.IFNA(VLOOKUP(Master_Reference[[#This Row],[C-Flex 3500K Eco Part Number]],Lutron_CFlex_Lookup[],MATCH("Lutron Kit PN",Lutron_CFlex_Lookup[#Headers],0),FALSE),"")</f>
        <v/>
      </c>
      <c r="AH682" s="1" t="str">
        <f>_xlfn.IFNA(VLOOKUP(Master_Reference[[#This Row],[C-Flex 4000K Eco Part Number]],Lutron_CFlex_Lookup[],MATCH("Lutron Kit PN",Lutron_CFlex_Lookup[#Headers],0),FALSE),"")</f>
        <v/>
      </c>
      <c r="AI682" s="1" t="str">
        <f>_xlfn.IFNA(VLOOKUP(Master_Reference[[#This Row],[C-Flex 5000K Eco Part Number]],Lutron_CFlex_Lookup[],MATCH("Lutron Kit PN",Lutron_CFlex_Lookup[#Headers],0),FALSE),"")</f>
        <v/>
      </c>
      <c r="AJ682" s="1" t="str">
        <f>_xlfn.IFNA(VLOOKUP(Master_Reference[[#This Row],[C-Flex 3000K 3W Part Number]],Lutron_CFlex_Lookup[],MATCH("Lutron Kit PN",Lutron_CFlex_Lookup[#Headers],0),FALSE),"")</f>
        <v/>
      </c>
      <c r="AK682" s="1" t="str">
        <f>_xlfn.IFNA(VLOOKUP(Master_Reference[[#This Row],[C-Flex 3500K 3W Part Number]],Lutron_CFlex_Lookup[],MATCH("Lutron Kit PN",Lutron_CFlex_Lookup[#Headers],0),FALSE),"")</f>
        <v/>
      </c>
      <c r="AL682" s="1" t="str">
        <f>_xlfn.IFNA(VLOOKUP(Master_Reference[[#This Row],[C-Flex 4000K 3W Part Number]],Lutron_CFlex_Lookup[],MATCH("Lutron Kit PN",Lutron_CFlex_Lookup[#Headers],0),FALSE),"")</f>
        <v/>
      </c>
      <c r="AM682" s="1" t="str">
        <f>_xlfn.IFNA(VLOOKUP(Master_Reference[[#This Row],[C-Flex 5000K 3W Part Number]],Lutron_CFlex_Lookup[],MATCH("Lutron Kit PN",Lutron_CFlex_Lookup[#Headers],0),FALSE),"")</f>
        <v/>
      </c>
      <c r="AN682" s="1" t="b">
        <f>NOT(ISNA(VLOOKUP(Master_Reference[[#This Row],[Model Number]],ObsoleteModels[],1,FALSE)))</f>
        <v>1</v>
      </c>
      <c r="AO682" s="1" t="str">
        <f>IF(LEFT(Master_Reference[[#This Row],[Model Number]],1)="U",LEFT(Master_Reference[[#This Row],[Model Number]],4),LEFT(Master_Reference[[#This Row],[Model Number]],3))</f>
        <v>FDB</v>
      </c>
    </row>
    <row r="683" spans="1:41" x14ac:dyDescent="0.25">
      <c r="A683" s="2" t="s">
        <v>978</v>
      </c>
      <c r="B683" s="1"/>
      <c r="C683" s="1" t="b">
        <v>1</v>
      </c>
      <c r="G683" s="1" t="str">
        <f>IF(OR(LEFT(RIGHT(Master_Reference[[#This Row],[Model Number]],3),1)="C",LEFT(RIGHT(Master_Reference[[#This Row],[Model Number]],4),1)="C"),TRUE,"")</f>
        <v/>
      </c>
      <c r="H683" s="1" t="str">
        <f>IF(LEFT(Master_Reference[[#This Row],[Model Number]],1)="U",TRUE,"")</f>
        <v/>
      </c>
      <c r="I683" s="1" t="str">
        <f>IF(Master_Reference[[#This Row],[Lamp Type]]="T4","",IF(Master_Reference[[#This Row],[Case Type]]="M","",TRUE))</f>
        <v/>
      </c>
      <c r="J683" s="1" t="s">
        <v>87</v>
      </c>
      <c r="K683" s="1">
        <v>26</v>
      </c>
      <c r="L683" s="1" t="s">
        <v>88</v>
      </c>
      <c r="M683" s="1">
        <v>2</v>
      </c>
      <c r="N683" s="1">
        <v>120</v>
      </c>
      <c r="O683" s="1" t="s">
        <v>106</v>
      </c>
      <c r="R683" t="b">
        <f>IF(COUNTBLANK(Master_Reference[[#This Row],[C-Flex 3000K Eco Part Number]:[C-Flex 4000K Eco Part Number]])=3,FALSE,TRUE)</f>
        <v>0</v>
      </c>
      <c r="S683" t="b">
        <f>IF(COUNTBLANK(Master_Reference[[#This Row],[C-Flex 3000K 3W Part Number]:[C-Flex 4000K 3W Part Number]])=3,FALSE,TRUE)</f>
        <v>1</v>
      </c>
      <c r="T683" t="b">
        <f>IF(COUNTBLANK(Master_Reference[[#This Row],[Lutron 3000K Eco Part Number]:[Lutron 4000K Eco Part Number]])=3,FALSE,TRUE)</f>
        <v>0</v>
      </c>
      <c r="U683" t="b">
        <f>IF(COUNTBLANK(Master_Reference[[#This Row],[Lutron 3000K 3W Part Number]:[Lutron 4000K 3W Part Number]])=3,FALSE,TRUE)</f>
        <v>0</v>
      </c>
      <c r="V683" s="12"/>
      <c r="W683" s="12"/>
      <c r="X683" s="12"/>
      <c r="Y683" t="s">
        <v>2125</v>
      </c>
      <c r="Z683" s="12" t="s">
        <v>1567</v>
      </c>
      <c r="AA683" s="12" t="s">
        <v>1568</v>
      </c>
      <c r="AB683" s="12" t="s">
        <v>1569</v>
      </c>
      <c r="AC683" t="s">
        <v>2125</v>
      </c>
      <c r="AD683" t="str">
        <f>SUBSTITUTE(Master_Reference[[#This Row],[C-Flex 4000K Eco Part Number]],"40-","xx-")</f>
        <v/>
      </c>
      <c r="AE683" t="str">
        <f>SUBSTITUTE(Master_Reference[[#This Row],[C-Flex 4000K 3W Part Number]],"40-","xx-")</f>
        <v>RP-G24Q-226m-2L-8xx-3W-KN-G2</v>
      </c>
      <c r="AF683" s="1" t="str">
        <f>_xlfn.IFNA(VLOOKUP(Master_Reference[[#This Row],[C-Flex 3000K Eco Part Number]],Lutron_CFlex_Lookup[],MATCH("Lutron Kit PN",Lutron_CFlex_Lookup[#Headers],0),FALSE),"")</f>
        <v/>
      </c>
      <c r="AG683" s="1" t="str">
        <f>_xlfn.IFNA(VLOOKUP(Master_Reference[[#This Row],[C-Flex 3500K Eco Part Number]],Lutron_CFlex_Lookup[],MATCH("Lutron Kit PN",Lutron_CFlex_Lookup[#Headers],0),FALSE),"")</f>
        <v/>
      </c>
      <c r="AH683" s="1" t="str">
        <f>_xlfn.IFNA(VLOOKUP(Master_Reference[[#This Row],[C-Flex 4000K Eco Part Number]],Lutron_CFlex_Lookup[],MATCH("Lutron Kit PN",Lutron_CFlex_Lookup[#Headers],0),FALSE),"")</f>
        <v/>
      </c>
      <c r="AI683" s="1" t="str">
        <f>_xlfn.IFNA(VLOOKUP(Master_Reference[[#This Row],[C-Flex 5000K Eco Part Number]],Lutron_CFlex_Lookup[],MATCH("Lutron Kit PN",Lutron_CFlex_Lookup[#Headers],0),FALSE),"")</f>
        <v/>
      </c>
      <c r="AJ683" s="1" t="str">
        <f>_xlfn.IFNA(VLOOKUP(Master_Reference[[#This Row],[C-Flex 3000K 3W Part Number]],Lutron_CFlex_Lookup[],MATCH("Lutron Kit PN",Lutron_CFlex_Lookup[#Headers],0),FALSE),"")</f>
        <v/>
      </c>
      <c r="AK683" s="1" t="str">
        <f>_xlfn.IFNA(VLOOKUP(Master_Reference[[#This Row],[C-Flex 3500K 3W Part Number]],Lutron_CFlex_Lookup[],MATCH("Lutron Kit PN",Lutron_CFlex_Lookup[#Headers],0),FALSE),"")</f>
        <v/>
      </c>
      <c r="AL683" s="1" t="str">
        <f>_xlfn.IFNA(VLOOKUP(Master_Reference[[#This Row],[C-Flex 4000K 3W Part Number]],Lutron_CFlex_Lookup[],MATCH("Lutron Kit PN",Lutron_CFlex_Lookup[#Headers],0),FALSE),"")</f>
        <v/>
      </c>
      <c r="AM683" s="1" t="str">
        <f>_xlfn.IFNA(VLOOKUP(Master_Reference[[#This Row],[C-Flex 5000K 3W Part Number]],Lutron_CFlex_Lookup[],MATCH("Lutron Kit PN",Lutron_CFlex_Lookup[#Headers],0),FALSE),"")</f>
        <v/>
      </c>
      <c r="AN683" s="1" t="b">
        <f>NOT(ISNA(VLOOKUP(Master_Reference[[#This Row],[Model Number]],ObsoleteModels[],1,FALSE)))</f>
        <v>1</v>
      </c>
      <c r="AO683" s="1" t="str">
        <f>IF(LEFT(Master_Reference[[#This Row],[Model Number]],1)="U",LEFT(Master_Reference[[#This Row],[Model Number]],4),LEFT(Master_Reference[[#This Row],[Model Number]],3))</f>
        <v>FDB</v>
      </c>
    </row>
    <row r="684" spans="1:41" x14ac:dyDescent="0.25">
      <c r="A684" s="2" t="s">
        <v>979</v>
      </c>
      <c r="B684" s="1"/>
      <c r="C684" s="1" t="b">
        <v>1</v>
      </c>
      <c r="G684" s="1" t="str">
        <f>IF(OR(LEFT(RIGHT(Master_Reference[[#This Row],[Model Number]],3),1)="C",LEFT(RIGHT(Master_Reference[[#This Row],[Model Number]],4),1)="C"),TRUE,"")</f>
        <v/>
      </c>
      <c r="H684" s="1" t="str">
        <f>IF(LEFT(Master_Reference[[#This Row],[Model Number]],1)="U",TRUE,"")</f>
        <v/>
      </c>
      <c r="I684" s="1" t="str">
        <f>IF(Master_Reference[[#This Row],[Lamp Type]]="T4","",IF(Master_Reference[[#This Row],[Case Type]]="M","",TRUE))</f>
        <v/>
      </c>
      <c r="J684" s="1" t="s">
        <v>87</v>
      </c>
      <c r="K684" s="1">
        <v>26</v>
      </c>
      <c r="L684" s="1" t="s">
        <v>88</v>
      </c>
      <c r="M684" s="1">
        <v>2</v>
      </c>
      <c r="N684" s="1">
        <v>120</v>
      </c>
      <c r="O684" s="1" t="s">
        <v>106</v>
      </c>
      <c r="Q684" s="1" t="s">
        <v>91</v>
      </c>
      <c r="R684" t="b">
        <f>IF(COUNTBLANK(Master_Reference[[#This Row],[C-Flex 3000K Eco Part Number]:[C-Flex 4000K Eco Part Number]])=3,FALSE,TRUE)</f>
        <v>0</v>
      </c>
      <c r="S684" t="b">
        <f>IF(COUNTBLANK(Master_Reference[[#This Row],[C-Flex 3000K 3W Part Number]:[C-Flex 4000K 3W Part Number]])=3,FALSE,TRUE)</f>
        <v>0</v>
      </c>
      <c r="T684" t="b">
        <f>IF(COUNTBLANK(Master_Reference[[#This Row],[Lutron 3000K Eco Part Number]:[Lutron 4000K Eco Part Number]])=3,FALSE,TRUE)</f>
        <v>0</v>
      </c>
      <c r="U684" t="b">
        <f>IF(COUNTBLANK(Master_Reference[[#This Row],[Lutron 3000K 3W Part Number]:[Lutron 4000K 3W Part Number]])=3,FALSE,TRUE)</f>
        <v>0</v>
      </c>
      <c r="V684" s="12"/>
      <c r="W684" s="12"/>
      <c r="X684" s="12"/>
      <c r="Y684" t="s">
        <v>2125</v>
      </c>
      <c r="Z684" s="12"/>
      <c r="AA684" s="12"/>
      <c r="AB684" s="12"/>
      <c r="AC684" t="s">
        <v>2125</v>
      </c>
      <c r="AD684" t="str">
        <f>SUBSTITUTE(Master_Reference[[#This Row],[C-Flex 4000K Eco Part Number]],"40-","xx-")</f>
        <v/>
      </c>
      <c r="AE684" t="str">
        <f>SUBSTITUTE(Master_Reference[[#This Row],[C-Flex 4000K 3W Part Number]],"40-","xx-")</f>
        <v/>
      </c>
      <c r="AF684" s="1" t="str">
        <f>_xlfn.IFNA(VLOOKUP(Master_Reference[[#This Row],[C-Flex 3000K Eco Part Number]],Lutron_CFlex_Lookup[],MATCH("Lutron Kit PN",Lutron_CFlex_Lookup[#Headers],0),FALSE),"")</f>
        <v/>
      </c>
      <c r="AG684" s="1" t="str">
        <f>_xlfn.IFNA(VLOOKUP(Master_Reference[[#This Row],[C-Flex 3500K Eco Part Number]],Lutron_CFlex_Lookup[],MATCH("Lutron Kit PN",Lutron_CFlex_Lookup[#Headers],0),FALSE),"")</f>
        <v/>
      </c>
      <c r="AH684" s="1" t="str">
        <f>_xlfn.IFNA(VLOOKUP(Master_Reference[[#This Row],[C-Flex 4000K Eco Part Number]],Lutron_CFlex_Lookup[],MATCH("Lutron Kit PN",Lutron_CFlex_Lookup[#Headers],0),FALSE),"")</f>
        <v/>
      </c>
      <c r="AI684" s="1" t="str">
        <f>_xlfn.IFNA(VLOOKUP(Master_Reference[[#This Row],[C-Flex 5000K Eco Part Number]],Lutron_CFlex_Lookup[],MATCH("Lutron Kit PN",Lutron_CFlex_Lookup[#Headers],0),FALSE),"")</f>
        <v/>
      </c>
      <c r="AJ684" s="1" t="str">
        <f>_xlfn.IFNA(VLOOKUP(Master_Reference[[#This Row],[C-Flex 3000K 3W Part Number]],Lutron_CFlex_Lookup[],MATCH("Lutron Kit PN",Lutron_CFlex_Lookup[#Headers],0),FALSE),"")</f>
        <v/>
      </c>
      <c r="AK684" s="1" t="str">
        <f>_xlfn.IFNA(VLOOKUP(Master_Reference[[#This Row],[C-Flex 3500K 3W Part Number]],Lutron_CFlex_Lookup[],MATCH("Lutron Kit PN",Lutron_CFlex_Lookup[#Headers],0),FALSE),"")</f>
        <v/>
      </c>
      <c r="AL684" s="1" t="str">
        <f>_xlfn.IFNA(VLOOKUP(Master_Reference[[#This Row],[C-Flex 4000K 3W Part Number]],Lutron_CFlex_Lookup[],MATCH("Lutron Kit PN",Lutron_CFlex_Lookup[#Headers],0),FALSE),"")</f>
        <v/>
      </c>
      <c r="AM684" s="1" t="str">
        <f>_xlfn.IFNA(VLOOKUP(Master_Reference[[#This Row],[C-Flex 5000K 3W Part Number]],Lutron_CFlex_Lookup[],MATCH("Lutron Kit PN",Lutron_CFlex_Lookup[#Headers],0),FALSE),"")</f>
        <v/>
      </c>
      <c r="AN684" s="1" t="b">
        <f>NOT(ISNA(VLOOKUP(Master_Reference[[#This Row],[Model Number]],ObsoleteModels[],1,FALSE)))</f>
        <v>1</v>
      </c>
      <c r="AO684" s="1" t="str">
        <f>IF(LEFT(Master_Reference[[#This Row],[Model Number]],1)="U",LEFT(Master_Reference[[#This Row],[Model Number]],4),LEFT(Master_Reference[[#This Row],[Model Number]],3))</f>
        <v>FDB</v>
      </c>
    </row>
    <row r="685" spans="1:41" x14ac:dyDescent="0.25">
      <c r="A685" s="2" t="s">
        <v>980</v>
      </c>
      <c r="B685" s="1"/>
      <c r="C685" s="1" t="b">
        <v>1</v>
      </c>
      <c r="G685" s="1" t="str">
        <f>IF(OR(LEFT(RIGHT(Master_Reference[[#This Row],[Model Number]],3),1)="C",LEFT(RIGHT(Master_Reference[[#This Row],[Model Number]],4),1)="C"),TRUE,"")</f>
        <v/>
      </c>
      <c r="H685" s="1" t="str">
        <f>IF(LEFT(Master_Reference[[#This Row],[Model Number]],1)="U",TRUE,"")</f>
        <v/>
      </c>
      <c r="I685" s="1" t="str">
        <f>IF(Master_Reference[[#This Row],[Lamp Type]]="T4","",IF(Master_Reference[[#This Row],[Case Type]]="M","",TRUE))</f>
        <v/>
      </c>
      <c r="J685" s="1" t="s">
        <v>87</v>
      </c>
      <c r="K685" s="1">
        <v>26</v>
      </c>
      <c r="L685" s="1" t="s">
        <v>88</v>
      </c>
      <c r="M685" s="1">
        <v>2</v>
      </c>
      <c r="N685" s="1">
        <v>120</v>
      </c>
      <c r="O685" s="1" t="s">
        <v>106</v>
      </c>
      <c r="P685" s="1" t="b">
        <v>1</v>
      </c>
      <c r="R685" t="b">
        <f>IF(COUNTBLANK(Master_Reference[[#This Row],[C-Flex 3000K Eco Part Number]:[C-Flex 4000K Eco Part Number]])=3,FALSE,TRUE)</f>
        <v>0</v>
      </c>
      <c r="S685" t="b">
        <f>IF(COUNTBLANK(Master_Reference[[#This Row],[C-Flex 3000K 3W Part Number]:[C-Flex 4000K 3W Part Number]])=3,FALSE,TRUE)</f>
        <v>1</v>
      </c>
      <c r="T685" t="b">
        <f>IF(COUNTBLANK(Master_Reference[[#This Row],[Lutron 3000K Eco Part Number]:[Lutron 4000K Eco Part Number]])=3,FALSE,TRUE)</f>
        <v>0</v>
      </c>
      <c r="U685" t="b">
        <f>IF(COUNTBLANK(Master_Reference[[#This Row],[Lutron 3000K 3W Part Number]:[Lutron 4000K 3W Part Number]])=3,FALSE,TRUE)</f>
        <v>0</v>
      </c>
      <c r="V685" s="12"/>
      <c r="W685" s="12"/>
      <c r="X685" s="12"/>
      <c r="Y685" t="s">
        <v>2125</v>
      </c>
      <c r="Z685" s="12" t="s">
        <v>1573</v>
      </c>
      <c r="AA685" s="12" t="s">
        <v>1574</v>
      </c>
      <c r="AB685" s="12" t="s">
        <v>1575</v>
      </c>
      <c r="AC685" t="s">
        <v>2125</v>
      </c>
      <c r="AD685" t="str">
        <f>SUBSTITUTE(Master_Reference[[#This Row],[C-Flex 4000K Eco Part Number]],"40-","xx-")</f>
        <v/>
      </c>
      <c r="AE685" t="str">
        <f>SUBSTITUTE(Master_Reference[[#This Row],[C-Flex 4000K 3W Part Number]],"40-","xx-")</f>
        <v>RP-G24Q-226m-2L-8xx-3W-K-G2</v>
      </c>
      <c r="AF685" s="1" t="str">
        <f>_xlfn.IFNA(VLOOKUP(Master_Reference[[#This Row],[C-Flex 3000K Eco Part Number]],Lutron_CFlex_Lookup[],MATCH("Lutron Kit PN",Lutron_CFlex_Lookup[#Headers],0),FALSE),"")</f>
        <v/>
      </c>
      <c r="AG685" s="1" t="str">
        <f>_xlfn.IFNA(VLOOKUP(Master_Reference[[#This Row],[C-Flex 3500K Eco Part Number]],Lutron_CFlex_Lookup[],MATCH("Lutron Kit PN",Lutron_CFlex_Lookup[#Headers],0),FALSE),"")</f>
        <v/>
      </c>
      <c r="AH685" s="1" t="str">
        <f>_xlfn.IFNA(VLOOKUP(Master_Reference[[#This Row],[C-Flex 4000K Eco Part Number]],Lutron_CFlex_Lookup[],MATCH("Lutron Kit PN",Lutron_CFlex_Lookup[#Headers],0),FALSE),"")</f>
        <v/>
      </c>
      <c r="AI685" s="1" t="str">
        <f>_xlfn.IFNA(VLOOKUP(Master_Reference[[#This Row],[C-Flex 5000K Eco Part Number]],Lutron_CFlex_Lookup[],MATCH("Lutron Kit PN",Lutron_CFlex_Lookup[#Headers],0),FALSE),"")</f>
        <v/>
      </c>
      <c r="AJ685" s="1" t="str">
        <f>_xlfn.IFNA(VLOOKUP(Master_Reference[[#This Row],[C-Flex 3000K 3W Part Number]],Lutron_CFlex_Lookup[],MATCH("Lutron Kit PN",Lutron_CFlex_Lookup[#Headers],0),FALSE),"")</f>
        <v/>
      </c>
      <c r="AK685" s="1" t="str">
        <f>_xlfn.IFNA(VLOOKUP(Master_Reference[[#This Row],[C-Flex 3500K 3W Part Number]],Lutron_CFlex_Lookup[],MATCH("Lutron Kit PN",Lutron_CFlex_Lookup[#Headers],0),FALSE),"")</f>
        <v/>
      </c>
      <c r="AL685" s="1" t="str">
        <f>_xlfn.IFNA(VLOOKUP(Master_Reference[[#This Row],[C-Flex 4000K 3W Part Number]],Lutron_CFlex_Lookup[],MATCH("Lutron Kit PN",Lutron_CFlex_Lookup[#Headers],0),FALSE),"")</f>
        <v/>
      </c>
      <c r="AM685" s="1" t="str">
        <f>_xlfn.IFNA(VLOOKUP(Master_Reference[[#This Row],[C-Flex 5000K 3W Part Number]],Lutron_CFlex_Lookup[],MATCH("Lutron Kit PN",Lutron_CFlex_Lookup[#Headers],0),FALSE),"")</f>
        <v/>
      </c>
      <c r="AN685" s="1" t="b">
        <f>NOT(ISNA(VLOOKUP(Master_Reference[[#This Row],[Model Number]],ObsoleteModels[],1,FALSE)))</f>
        <v>1</v>
      </c>
      <c r="AO685" s="1" t="str">
        <f>IF(LEFT(Master_Reference[[#This Row],[Model Number]],1)="U",LEFT(Master_Reference[[#This Row],[Model Number]],4),LEFT(Master_Reference[[#This Row],[Model Number]],3))</f>
        <v>FDB</v>
      </c>
    </row>
    <row r="686" spans="1:41" x14ac:dyDescent="0.25">
      <c r="A686" s="2" t="s">
        <v>981</v>
      </c>
      <c r="B686" s="1"/>
      <c r="C686" s="1" t="b">
        <v>1</v>
      </c>
      <c r="G686" s="1" t="str">
        <f>IF(OR(LEFT(RIGHT(Master_Reference[[#This Row],[Model Number]],3),1)="C",LEFT(RIGHT(Master_Reference[[#This Row],[Model Number]],4),1)="C"),TRUE,"")</f>
        <v/>
      </c>
      <c r="H686" s="1" t="str">
        <f>IF(LEFT(Master_Reference[[#This Row],[Model Number]],1)="U",TRUE,"")</f>
        <v/>
      </c>
      <c r="I686" s="1" t="str">
        <f>IF(Master_Reference[[#This Row],[Lamp Type]]="T4","",IF(Master_Reference[[#This Row],[Case Type]]="M","",TRUE))</f>
        <v/>
      </c>
      <c r="J686" s="1" t="s">
        <v>87</v>
      </c>
      <c r="K686" s="1">
        <v>26</v>
      </c>
      <c r="L686" s="1" t="s">
        <v>88</v>
      </c>
      <c r="M686" s="1">
        <v>2</v>
      </c>
      <c r="N686" s="1">
        <v>120</v>
      </c>
      <c r="O686" s="1" t="s">
        <v>106</v>
      </c>
      <c r="P686" s="1" t="b">
        <v>1</v>
      </c>
      <c r="Q686" s="1" t="s">
        <v>91</v>
      </c>
      <c r="R686" t="b">
        <f>IF(COUNTBLANK(Master_Reference[[#This Row],[C-Flex 3000K Eco Part Number]:[C-Flex 4000K Eco Part Number]])=3,FALSE,TRUE)</f>
        <v>0</v>
      </c>
      <c r="S686" t="b">
        <f>IF(COUNTBLANK(Master_Reference[[#This Row],[C-Flex 3000K 3W Part Number]:[C-Flex 4000K 3W Part Number]])=3,FALSE,TRUE)</f>
        <v>0</v>
      </c>
      <c r="T686" t="b">
        <f>IF(COUNTBLANK(Master_Reference[[#This Row],[Lutron 3000K Eco Part Number]:[Lutron 4000K Eco Part Number]])=3,FALSE,TRUE)</f>
        <v>0</v>
      </c>
      <c r="U686" t="b">
        <f>IF(COUNTBLANK(Master_Reference[[#This Row],[Lutron 3000K 3W Part Number]:[Lutron 4000K 3W Part Number]])=3,FALSE,TRUE)</f>
        <v>0</v>
      </c>
      <c r="V686" s="12"/>
      <c r="W686" s="12"/>
      <c r="X686" s="12"/>
      <c r="Y686" t="s">
        <v>2125</v>
      </c>
      <c r="Z686" s="12"/>
      <c r="AA686" s="12"/>
      <c r="AB686" s="12"/>
      <c r="AC686" t="s">
        <v>2125</v>
      </c>
      <c r="AD686" t="str">
        <f>SUBSTITUTE(Master_Reference[[#This Row],[C-Flex 4000K Eco Part Number]],"40-","xx-")</f>
        <v/>
      </c>
      <c r="AE686" t="str">
        <f>SUBSTITUTE(Master_Reference[[#This Row],[C-Flex 4000K 3W Part Number]],"40-","xx-")</f>
        <v/>
      </c>
      <c r="AF686" s="1" t="str">
        <f>_xlfn.IFNA(VLOOKUP(Master_Reference[[#This Row],[C-Flex 3000K Eco Part Number]],Lutron_CFlex_Lookup[],MATCH("Lutron Kit PN",Lutron_CFlex_Lookup[#Headers],0),FALSE),"")</f>
        <v/>
      </c>
      <c r="AG686" s="1" t="str">
        <f>_xlfn.IFNA(VLOOKUP(Master_Reference[[#This Row],[C-Flex 3500K Eco Part Number]],Lutron_CFlex_Lookup[],MATCH("Lutron Kit PN",Lutron_CFlex_Lookup[#Headers],0),FALSE),"")</f>
        <v/>
      </c>
      <c r="AH686" s="1" t="str">
        <f>_xlfn.IFNA(VLOOKUP(Master_Reference[[#This Row],[C-Flex 4000K Eco Part Number]],Lutron_CFlex_Lookup[],MATCH("Lutron Kit PN",Lutron_CFlex_Lookup[#Headers],0),FALSE),"")</f>
        <v/>
      </c>
      <c r="AI686" s="1" t="str">
        <f>_xlfn.IFNA(VLOOKUP(Master_Reference[[#This Row],[C-Flex 5000K Eco Part Number]],Lutron_CFlex_Lookup[],MATCH("Lutron Kit PN",Lutron_CFlex_Lookup[#Headers],0),FALSE),"")</f>
        <v/>
      </c>
      <c r="AJ686" s="1" t="str">
        <f>_xlfn.IFNA(VLOOKUP(Master_Reference[[#This Row],[C-Flex 3000K 3W Part Number]],Lutron_CFlex_Lookup[],MATCH("Lutron Kit PN",Lutron_CFlex_Lookup[#Headers],0),FALSE),"")</f>
        <v/>
      </c>
      <c r="AK686" s="1" t="str">
        <f>_xlfn.IFNA(VLOOKUP(Master_Reference[[#This Row],[C-Flex 3500K 3W Part Number]],Lutron_CFlex_Lookup[],MATCH("Lutron Kit PN",Lutron_CFlex_Lookup[#Headers],0),FALSE),"")</f>
        <v/>
      </c>
      <c r="AL686" s="1" t="str">
        <f>_xlfn.IFNA(VLOOKUP(Master_Reference[[#This Row],[C-Flex 4000K 3W Part Number]],Lutron_CFlex_Lookup[],MATCH("Lutron Kit PN",Lutron_CFlex_Lookup[#Headers],0),FALSE),"")</f>
        <v/>
      </c>
      <c r="AM686" s="1" t="str">
        <f>_xlfn.IFNA(VLOOKUP(Master_Reference[[#This Row],[C-Flex 5000K 3W Part Number]],Lutron_CFlex_Lookup[],MATCH("Lutron Kit PN",Lutron_CFlex_Lookup[#Headers],0),FALSE),"")</f>
        <v/>
      </c>
      <c r="AN686" s="1" t="b">
        <f>NOT(ISNA(VLOOKUP(Master_Reference[[#This Row],[Model Number]],ObsoleteModels[],1,FALSE)))</f>
        <v>1</v>
      </c>
      <c r="AO686" s="1" t="str">
        <f>IF(LEFT(Master_Reference[[#This Row],[Model Number]],1)="U",LEFT(Master_Reference[[#This Row],[Model Number]],4),LEFT(Master_Reference[[#This Row],[Model Number]],3))</f>
        <v>FDB</v>
      </c>
    </row>
    <row r="687" spans="1:41" x14ac:dyDescent="0.25">
      <c r="A687" s="2" t="s">
        <v>982</v>
      </c>
      <c r="B687" s="1"/>
      <c r="C687" s="1" t="b">
        <v>1</v>
      </c>
      <c r="G687" s="1" t="str">
        <f>IF(OR(LEFT(RIGHT(Master_Reference[[#This Row],[Model Number]],3),1)="C",LEFT(RIGHT(Master_Reference[[#This Row],[Model Number]],4),1)="C"),TRUE,"")</f>
        <v/>
      </c>
      <c r="H687" s="1" t="str">
        <f>IF(LEFT(Master_Reference[[#This Row],[Model Number]],1)="U",TRUE,"")</f>
        <v/>
      </c>
      <c r="I687" s="1" t="str">
        <f>IF(Master_Reference[[#This Row],[Lamp Type]]="T4","",IF(Master_Reference[[#This Row],[Case Type]]="M","",TRUE))</f>
        <v/>
      </c>
      <c r="J687" s="1" t="s">
        <v>87</v>
      </c>
      <c r="K687" s="1">
        <v>42</v>
      </c>
      <c r="L687" s="1" t="s">
        <v>88</v>
      </c>
      <c r="M687" s="1">
        <v>2</v>
      </c>
      <c r="N687" s="1">
        <v>220</v>
      </c>
      <c r="O687" s="1" t="s">
        <v>106</v>
      </c>
      <c r="Q687" s="1" t="s">
        <v>456</v>
      </c>
      <c r="R687" t="b">
        <f>IF(COUNTBLANK(Master_Reference[[#This Row],[C-Flex 3000K Eco Part Number]:[C-Flex 4000K Eco Part Number]])=3,FALSE,TRUE)</f>
        <v>0</v>
      </c>
      <c r="S687" t="b">
        <f>IF(COUNTBLANK(Master_Reference[[#This Row],[C-Flex 3000K 3W Part Number]:[C-Flex 4000K 3W Part Number]])=3,FALSE,TRUE)</f>
        <v>0</v>
      </c>
      <c r="T687" s="1" t="b">
        <f>IF(COUNTBLANK(Master_Reference[[#This Row],[Lutron 3000K Eco Part Number]:[Lutron 4000K Eco Part Number]])=3,FALSE,TRUE)</f>
        <v>0</v>
      </c>
      <c r="U687" s="1" t="b">
        <f>IF(COUNTBLANK(Master_Reference[[#This Row],[Lutron 3000K 3W Part Number]:[Lutron 4000K 3W Part Number]])=3,FALSE,TRUE)</f>
        <v>0</v>
      </c>
      <c r="V687" s="13"/>
      <c r="W687" s="13"/>
      <c r="X687" s="12"/>
      <c r="Y687" t="s">
        <v>2125</v>
      </c>
      <c r="Z687" s="12"/>
      <c r="AA687" s="12"/>
      <c r="AB687" s="12"/>
      <c r="AC687" t="s">
        <v>2125</v>
      </c>
      <c r="AD687" t="str">
        <f>SUBSTITUTE(Master_Reference[[#This Row],[C-Flex 4000K Eco Part Number]],"40-","xx-")</f>
        <v/>
      </c>
      <c r="AE687" t="str">
        <f>SUBSTITUTE(Master_Reference[[#This Row],[C-Flex 4000K 3W Part Number]],"40-","xx-")</f>
        <v/>
      </c>
      <c r="AF687" s="1" t="str">
        <f>_xlfn.IFNA(VLOOKUP(Master_Reference[[#This Row],[C-Flex 3000K Eco Part Number]],Lutron_CFlex_Lookup[],MATCH("Lutron Kit PN",Lutron_CFlex_Lookup[#Headers],0),FALSE),"")</f>
        <v/>
      </c>
      <c r="AG687" s="1" t="str">
        <f>_xlfn.IFNA(VLOOKUP(Master_Reference[[#This Row],[C-Flex 3500K Eco Part Number]],Lutron_CFlex_Lookup[],MATCH("Lutron Kit PN",Lutron_CFlex_Lookup[#Headers],0),FALSE),"")</f>
        <v/>
      </c>
      <c r="AH687" s="1" t="str">
        <f>_xlfn.IFNA(VLOOKUP(Master_Reference[[#This Row],[C-Flex 4000K Eco Part Number]],Lutron_CFlex_Lookup[],MATCH("Lutron Kit PN",Lutron_CFlex_Lookup[#Headers],0),FALSE),"")</f>
        <v/>
      </c>
      <c r="AI687" s="1" t="str">
        <f>_xlfn.IFNA(VLOOKUP(Master_Reference[[#This Row],[C-Flex 5000K Eco Part Number]],Lutron_CFlex_Lookup[],MATCH("Lutron Kit PN",Lutron_CFlex_Lookup[#Headers],0),FALSE),"")</f>
        <v/>
      </c>
      <c r="AJ687" s="1" t="str">
        <f>_xlfn.IFNA(VLOOKUP(Master_Reference[[#This Row],[C-Flex 3000K 3W Part Number]],Lutron_CFlex_Lookup[],MATCH("Lutron Kit PN",Lutron_CFlex_Lookup[#Headers],0),FALSE),"")</f>
        <v/>
      </c>
      <c r="AK687" s="1" t="str">
        <f>_xlfn.IFNA(VLOOKUP(Master_Reference[[#This Row],[C-Flex 3500K 3W Part Number]],Lutron_CFlex_Lookup[],MATCH("Lutron Kit PN",Lutron_CFlex_Lookup[#Headers],0),FALSE),"")</f>
        <v/>
      </c>
      <c r="AL687" s="1" t="str">
        <f>_xlfn.IFNA(VLOOKUP(Master_Reference[[#This Row],[C-Flex 4000K 3W Part Number]],Lutron_CFlex_Lookup[],MATCH("Lutron Kit PN",Lutron_CFlex_Lookup[#Headers],0),FALSE),"")</f>
        <v/>
      </c>
      <c r="AM687" s="1" t="str">
        <f>_xlfn.IFNA(VLOOKUP(Master_Reference[[#This Row],[C-Flex 5000K 3W Part Number]],Lutron_CFlex_Lookup[],MATCH("Lutron Kit PN",Lutron_CFlex_Lookup[#Headers],0),FALSE),"")</f>
        <v/>
      </c>
      <c r="AN687" s="1" t="b">
        <f>NOT(ISNA(VLOOKUP(Master_Reference[[#This Row],[Model Number]],ObsoleteModels[],1,FALSE)))</f>
        <v>1</v>
      </c>
      <c r="AO687" s="1" t="str">
        <f>IF(LEFT(Master_Reference[[#This Row],[Model Number]],1)="U",LEFT(Master_Reference[[#This Row],[Model Number]],4),LEFT(Master_Reference[[#This Row],[Model Number]],3))</f>
        <v>FDB</v>
      </c>
    </row>
    <row r="688" spans="1:41" x14ac:dyDescent="0.25">
      <c r="A688" s="2" t="s">
        <v>983</v>
      </c>
      <c r="B688" s="1"/>
      <c r="C688" s="1" t="b">
        <v>1</v>
      </c>
      <c r="G688" s="1" t="str">
        <f>IF(OR(LEFT(RIGHT(Master_Reference[[#This Row],[Model Number]],3),1)="C",LEFT(RIGHT(Master_Reference[[#This Row],[Model Number]],4),1)="C"),TRUE,"")</f>
        <v/>
      </c>
      <c r="H688" s="1" t="str">
        <f>IF(LEFT(Master_Reference[[#This Row],[Model Number]],1)="U",TRUE,"")</f>
        <v/>
      </c>
      <c r="I688" s="1" t="str">
        <f>IF(Master_Reference[[#This Row],[Lamp Type]]="T4","",IF(Master_Reference[[#This Row],[Case Type]]="M","",TRUE))</f>
        <v/>
      </c>
      <c r="J688" s="1" t="s">
        <v>87</v>
      </c>
      <c r="K688" s="1">
        <v>26</v>
      </c>
      <c r="L688" s="1" t="s">
        <v>88</v>
      </c>
      <c r="M688" s="1">
        <v>1</v>
      </c>
      <c r="N688" s="1">
        <v>277</v>
      </c>
      <c r="O688" s="1" t="s">
        <v>89</v>
      </c>
      <c r="R688" t="b">
        <f>IF(COUNTBLANK(Master_Reference[[#This Row],[C-Flex 3000K Eco Part Number]:[C-Flex 4000K Eco Part Number]])=3,FALSE,TRUE)</f>
        <v>0</v>
      </c>
      <c r="S688" t="b">
        <f>IF(COUNTBLANK(Master_Reference[[#This Row],[C-Flex 3000K 3W Part Number]:[C-Flex 4000K 3W Part Number]])=3,FALSE,TRUE)</f>
        <v>1</v>
      </c>
      <c r="T688" t="b">
        <f>IF(COUNTBLANK(Master_Reference[[#This Row],[Lutron 3000K Eco Part Number]:[Lutron 4000K Eco Part Number]])=3,FALSE,TRUE)</f>
        <v>0</v>
      </c>
      <c r="U688" t="b">
        <f>IF(COUNTBLANK(Master_Reference[[#This Row],[Lutron 3000K 3W Part Number]:[Lutron 4000K 3W Part Number]])=3,FALSE,TRUE)</f>
        <v>0</v>
      </c>
      <c r="V688" s="12"/>
      <c r="W688" s="12"/>
      <c r="X688" s="12"/>
      <c r="Y688" t="s">
        <v>2125</v>
      </c>
      <c r="Z688" s="12" t="s">
        <v>154</v>
      </c>
      <c r="AA688" s="12" t="s">
        <v>155</v>
      </c>
      <c r="AB688" s="12" t="s">
        <v>156</v>
      </c>
      <c r="AC688" t="s">
        <v>2125</v>
      </c>
      <c r="AD688" t="str">
        <f>SUBSTITUTE(Master_Reference[[#This Row],[C-Flex 4000K Eco Part Number]],"40-","xx-")</f>
        <v/>
      </c>
      <c r="AE688" t="str">
        <f>SUBSTITUTE(Master_Reference[[#This Row],[C-Flex 4000K 3W Part Number]],"40-","xx-")</f>
        <v>RP-G24Q-126m-1L-8xx-3W-KN-G2</v>
      </c>
      <c r="AF688" s="1" t="str">
        <f>_xlfn.IFNA(VLOOKUP(Master_Reference[[#This Row],[C-Flex 3000K Eco Part Number]],Lutron_CFlex_Lookup[],MATCH("Lutron Kit PN",Lutron_CFlex_Lookup[#Headers],0),FALSE),"")</f>
        <v/>
      </c>
      <c r="AG688" s="1" t="str">
        <f>_xlfn.IFNA(VLOOKUP(Master_Reference[[#This Row],[C-Flex 3500K Eco Part Number]],Lutron_CFlex_Lookup[],MATCH("Lutron Kit PN",Lutron_CFlex_Lookup[#Headers],0),FALSE),"")</f>
        <v/>
      </c>
      <c r="AH688" s="1" t="str">
        <f>_xlfn.IFNA(VLOOKUP(Master_Reference[[#This Row],[C-Flex 4000K Eco Part Number]],Lutron_CFlex_Lookup[],MATCH("Lutron Kit PN",Lutron_CFlex_Lookup[#Headers],0),FALSE),"")</f>
        <v/>
      </c>
      <c r="AI688" s="1" t="str">
        <f>_xlfn.IFNA(VLOOKUP(Master_Reference[[#This Row],[C-Flex 5000K Eco Part Number]],Lutron_CFlex_Lookup[],MATCH("Lutron Kit PN",Lutron_CFlex_Lookup[#Headers],0),FALSE),"")</f>
        <v/>
      </c>
      <c r="AJ688" s="1" t="str">
        <f>_xlfn.IFNA(VLOOKUP(Master_Reference[[#This Row],[C-Flex 3000K 3W Part Number]],Lutron_CFlex_Lookup[],MATCH("Lutron Kit PN",Lutron_CFlex_Lookup[#Headers],0),FALSE),"")</f>
        <v/>
      </c>
      <c r="AK688" s="1" t="str">
        <f>_xlfn.IFNA(VLOOKUP(Master_Reference[[#This Row],[C-Flex 3500K 3W Part Number]],Lutron_CFlex_Lookup[],MATCH("Lutron Kit PN",Lutron_CFlex_Lookup[#Headers],0),FALSE),"")</f>
        <v/>
      </c>
      <c r="AL688" s="1" t="str">
        <f>_xlfn.IFNA(VLOOKUP(Master_Reference[[#This Row],[C-Flex 4000K 3W Part Number]],Lutron_CFlex_Lookup[],MATCH("Lutron Kit PN",Lutron_CFlex_Lookup[#Headers],0),FALSE),"")</f>
        <v/>
      </c>
      <c r="AM688" s="1" t="str">
        <f>_xlfn.IFNA(VLOOKUP(Master_Reference[[#This Row],[C-Flex 5000K 3W Part Number]],Lutron_CFlex_Lookup[],MATCH("Lutron Kit PN",Lutron_CFlex_Lookup[#Headers],0),FALSE),"")</f>
        <v/>
      </c>
      <c r="AN688" s="1" t="b">
        <f>NOT(ISNA(VLOOKUP(Master_Reference[[#This Row],[Model Number]],ObsoleteModels[],1,FALSE)))</f>
        <v>1</v>
      </c>
      <c r="AO688" s="1" t="str">
        <f>IF(LEFT(Master_Reference[[#This Row],[Model Number]],1)="U",LEFT(Master_Reference[[#This Row],[Model Number]],4),LEFT(Master_Reference[[#This Row],[Model Number]],3))</f>
        <v>FDB</v>
      </c>
    </row>
    <row r="689" spans="1:41" x14ac:dyDescent="0.25">
      <c r="A689" s="2" t="s">
        <v>984</v>
      </c>
      <c r="B689" s="1"/>
      <c r="C689" s="1" t="b">
        <v>1</v>
      </c>
      <c r="G689" s="1" t="str">
        <f>IF(OR(LEFT(RIGHT(Master_Reference[[#This Row],[Model Number]],3),1)="C",LEFT(RIGHT(Master_Reference[[#This Row],[Model Number]],4),1)="C"),TRUE,"")</f>
        <v/>
      </c>
      <c r="H689" s="1" t="str">
        <f>IF(LEFT(Master_Reference[[#This Row],[Model Number]],1)="U",TRUE,"")</f>
        <v/>
      </c>
      <c r="I689" s="1" t="str">
        <f>IF(Master_Reference[[#This Row],[Lamp Type]]="T4","",IF(Master_Reference[[#This Row],[Case Type]]="M","",TRUE))</f>
        <v/>
      </c>
      <c r="J689" s="1" t="s">
        <v>87</v>
      </c>
      <c r="K689" s="1">
        <v>26</v>
      </c>
      <c r="L689" s="1" t="s">
        <v>88</v>
      </c>
      <c r="M689" s="1">
        <v>1</v>
      </c>
      <c r="N689" s="1">
        <v>277</v>
      </c>
      <c r="O689" s="1" t="s">
        <v>89</v>
      </c>
      <c r="P689" s="1" t="b">
        <v>1</v>
      </c>
      <c r="R689" t="b">
        <f>IF(COUNTBLANK(Master_Reference[[#This Row],[C-Flex 3000K Eco Part Number]:[C-Flex 4000K Eco Part Number]])=3,FALSE,TRUE)</f>
        <v>0</v>
      </c>
      <c r="S689" t="b">
        <f>IF(COUNTBLANK(Master_Reference[[#This Row],[C-Flex 3000K 3W Part Number]:[C-Flex 4000K 3W Part Number]])=3,FALSE,TRUE)</f>
        <v>1</v>
      </c>
      <c r="T689" t="b">
        <f>IF(COUNTBLANK(Master_Reference[[#This Row],[Lutron 3000K Eco Part Number]:[Lutron 4000K Eco Part Number]])=3,FALSE,TRUE)</f>
        <v>0</v>
      </c>
      <c r="U689" t="b">
        <f>IF(COUNTBLANK(Master_Reference[[#This Row],[Lutron 3000K 3W Part Number]:[Lutron 4000K 3W Part Number]])=3,FALSE,TRUE)</f>
        <v>0</v>
      </c>
      <c r="V689" s="12"/>
      <c r="W689" s="12"/>
      <c r="X689" s="12"/>
      <c r="Y689" t="s">
        <v>2125</v>
      </c>
      <c r="Z689" s="12" t="s">
        <v>161</v>
      </c>
      <c r="AA689" s="12" t="s">
        <v>162</v>
      </c>
      <c r="AB689" s="12" t="s">
        <v>163</v>
      </c>
      <c r="AC689" t="s">
        <v>2125</v>
      </c>
      <c r="AD689" t="str">
        <f>SUBSTITUTE(Master_Reference[[#This Row],[C-Flex 4000K Eco Part Number]],"40-","xx-")</f>
        <v/>
      </c>
      <c r="AE689" t="str">
        <f>SUBSTITUTE(Master_Reference[[#This Row],[C-Flex 4000K 3W Part Number]],"40-","xx-")</f>
        <v>RP-G24Q-126m-1L-8xx-3W-K-G2</v>
      </c>
      <c r="AF689" s="1" t="str">
        <f>_xlfn.IFNA(VLOOKUP(Master_Reference[[#This Row],[C-Flex 3000K Eco Part Number]],Lutron_CFlex_Lookup[],MATCH("Lutron Kit PN",Lutron_CFlex_Lookup[#Headers],0),FALSE),"")</f>
        <v/>
      </c>
      <c r="AG689" s="1" t="str">
        <f>_xlfn.IFNA(VLOOKUP(Master_Reference[[#This Row],[C-Flex 3500K Eco Part Number]],Lutron_CFlex_Lookup[],MATCH("Lutron Kit PN",Lutron_CFlex_Lookup[#Headers],0),FALSE),"")</f>
        <v/>
      </c>
      <c r="AH689" s="1" t="str">
        <f>_xlfn.IFNA(VLOOKUP(Master_Reference[[#This Row],[C-Flex 4000K Eco Part Number]],Lutron_CFlex_Lookup[],MATCH("Lutron Kit PN",Lutron_CFlex_Lookup[#Headers],0),FALSE),"")</f>
        <v/>
      </c>
      <c r="AI689" s="1" t="str">
        <f>_xlfn.IFNA(VLOOKUP(Master_Reference[[#This Row],[C-Flex 5000K Eco Part Number]],Lutron_CFlex_Lookup[],MATCH("Lutron Kit PN",Lutron_CFlex_Lookup[#Headers],0),FALSE),"")</f>
        <v/>
      </c>
      <c r="AJ689" s="1" t="str">
        <f>_xlfn.IFNA(VLOOKUP(Master_Reference[[#This Row],[C-Flex 3000K 3W Part Number]],Lutron_CFlex_Lookup[],MATCH("Lutron Kit PN",Lutron_CFlex_Lookup[#Headers],0),FALSE),"")</f>
        <v/>
      </c>
      <c r="AK689" s="1" t="str">
        <f>_xlfn.IFNA(VLOOKUP(Master_Reference[[#This Row],[C-Flex 3500K 3W Part Number]],Lutron_CFlex_Lookup[],MATCH("Lutron Kit PN",Lutron_CFlex_Lookup[#Headers],0),FALSE),"")</f>
        <v/>
      </c>
      <c r="AL689" s="1" t="str">
        <f>_xlfn.IFNA(VLOOKUP(Master_Reference[[#This Row],[C-Flex 4000K 3W Part Number]],Lutron_CFlex_Lookup[],MATCH("Lutron Kit PN",Lutron_CFlex_Lookup[#Headers],0),FALSE),"")</f>
        <v/>
      </c>
      <c r="AM689" s="1" t="str">
        <f>_xlfn.IFNA(VLOOKUP(Master_Reference[[#This Row],[C-Flex 5000K 3W Part Number]],Lutron_CFlex_Lookup[],MATCH("Lutron Kit PN",Lutron_CFlex_Lookup[#Headers],0),FALSE),"")</f>
        <v/>
      </c>
      <c r="AN689" s="1" t="b">
        <f>NOT(ISNA(VLOOKUP(Master_Reference[[#This Row],[Model Number]],ObsoleteModels[],1,FALSE)))</f>
        <v>1</v>
      </c>
      <c r="AO689" s="1" t="str">
        <f>IF(LEFT(Master_Reference[[#This Row],[Model Number]],1)="U",LEFT(Master_Reference[[#This Row],[Model Number]],4),LEFT(Master_Reference[[#This Row],[Model Number]],3))</f>
        <v>FDB</v>
      </c>
    </row>
    <row r="690" spans="1:41" x14ac:dyDescent="0.25">
      <c r="A690" s="2" t="s">
        <v>985</v>
      </c>
      <c r="B690" s="1"/>
      <c r="C690" s="1" t="b">
        <v>1</v>
      </c>
      <c r="G690" s="1" t="str">
        <f>IF(OR(LEFT(RIGHT(Master_Reference[[#This Row],[Model Number]],3),1)="C",LEFT(RIGHT(Master_Reference[[#This Row],[Model Number]],4),1)="C"),TRUE,"")</f>
        <v/>
      </c>
      <c r="H690" s="1" t="str">
        <f>IF(LEFT(Master_Reference[[#This Row],[Model Number]],1)="U",TRUE,"")</f>
        <v/>
      </c>
      <c r="I690" s="1" t="str">
        <f>IF(Master_Reference[[#This Row],[Lamp Type]]="T4","",IF(Master_Reference[[#This Row],[Case Type]]="M","",TRUE))</f>
        <v/>
      </c>
      <c r="J690" s="1" t="s">
        <v>87</v>
      </c>
      <c r="K690" s="1">
        <v>26</v>
      </c>
      <c r="L690" s="1" t="s">
        <v>88</v>
      </c>
      <c r="M690" s="1">
        <v>2</v>
      </c>
      <c r="N690" s="1">
        <v>277</v>
      </c>
      <c r="O690" s="1" t="s">
        <v>106</v>
      </c>
      <c r="R690" t="b">
        <f>IF(COUNTBLANK(Master_Reference[[#This Row],[C-Flex 3000K Eco Part Number]:[C-Flex 4000K Eco Part Number]])=3,FALSE,TRUE)</f>
        <v>0</v>
      </c>
      <c r="S690" t="b">
        <f>IF(COUNTBLANK(Master_Reference[[#This Row],[C-Flex 3000K 3W Part Number]:[C-Flex 4000K 3W Part Number]])=3,FALSE,TRUE)</f>
        <v>1</v>
      </c>
      <c r="T690" t="b">
        <f>IF(COUNTBLANK(Master_Reference[[#This Row],[Lutron 3000K Eco Part Number]:[Lutron 4000K Eco Part Number]])=3,FALSE,TRUE)</f>
        <v>0</v>
      </c>
      <c r="U690" t="b">
        <f>IF(COUNTBLANK(Master_Reference[[#This Row],[Lutron 3000K 3W Part Number]:[Lutron 4000K 3W Part Number]])=3,FALSE,TRUE)</f>
        <v>0</v>
      </c>
      <c r="V690" s="12"/>
      <c r="W690" s="12"/>
      <c r="X690" s="12"/>
      <c r="Y690" t="s">
        <v>2125</v>
      </c>
      <c r="Z690" s="12" t="s">
        <v>1567</v>
      </c>
      <c r="AA690" s="12" t="s">
        <v>1568</v>
      </c>
      <c r="AB690" s="12" t="s">
        <v>1569</v>
      </c>
      <c r="AC690" t="s">
        <v>2125</v>
      </c>
      <c r="AD690" t="str">
        <f>SUBSTITUTE(Master_Reference[[#This Row],[C-Flex 4000K Eco Part Number]],"40-","xx-")</f>
        <v/>
      </c>
      <c r="AE690" t="str">
        <f>SUBSTITUTE(Master_Reference[[#This Row],[C-Flex 4000K 3W Part Number]],"40-","xx-")</f>
        <v>RP-G24Q-226m-2L-8xx-3W-KN-G2</v>
      </c>
      <c r="AF690" s="1" t="str">
        <f>_xlfn.IFNA(VLOOKUP(Master_Reference[[#This Row],[C-Flex 3000K Eco Part Number]],Lutron_CFlex_Lookup[],MATCH("Lutron Kit PN",Lutron_CFlex_Lookup[#Headers],0),FALSE),"")</f>
        <v/>
      </c>
      <c r="AG690" s="1" t="str">
        <f>_xlfn.IFNA(VLOOKUP(Master_Reference[[#This Row],[C-Flex 3500K Eco Part Number]],Lutron_CFlex_Lookup[],MATCH("Lutron Kit PN",Lutron_CFlex_Lookup[#Headers],0),FALSE),"")</f>
        <v/>
      </c>
      <c r="AH690" s="1" t="str">
        <f>_xlfn.IFNA(VLOOKUP(Master_Reference[[#This Row],[C-Flex 4000K Eco Part Number]],Lutron_CFlex_Lookup[],MATCH("Lutron Kit PN",Lutron_CFlex_Lookup[#Headers],0),FALSE),"")</f>
        <v/>
      </c>
      <c r="AI690" s="1" t="str">
        <f>_xlfn.IFNA(VLOOKUP(Master_Reference[[#This Row],[C-Flex 5000K Eco Part Number]],Lutron_CFlex_Lookup[],MATCH("Lutron Kit PN",Lutron_CFlex_Lookup[#Headers],0),FALSE),"")</f>
        <v/>
      </c>
      <c r="AJ690" s="1" t="str">
        <f>_xlfn.IFNA(VLOOKUP(Master_Reference[[#This Row],[C-Flex 3000K 3W Part Number]],Lutron_CFlex_Lookup[],MATCH("Lutron Kit PN",Lutron_CFlex_Lookup[#Headers],0),FALSE),"")</f>
        <v/>
      </c>
      <c r="AK690" s="1" t="str">
        <f>_xlfn.IFNA(VLOOKUP(Master_Reference[[#This Row],[C-Flex 3500K 3W Part Number]],Lutron_CFlex_Lookup[],MATCH("Lutron Kit PN",Lutron_CFlex_Lookup[#Headers],0),FALSE),"")</f>
        <v/>
      </c>
      <c r="AL690" s="1" t="str">
        <f>_xlfn.IFNA(VLOOKUP(Master_Reference[[#This Row],[C-Flex 4000K 3W Part Number]],Lutron_CFlex_Lookup[],MATCH("Lutron Kit PN",Lutron_CFlex_Lookup[#Headers],0),FALSE),"")</f>
        <v/>
      </c>
      <c r="AM690" s="1" t="str">
        <f>_xlfn.IFNA(VLOOKUP(Master_Reference[[#This Row],[C-Flex 5000K 3W Part Number]],Lutron_CFlex_Lookup[],MATCH("Lutron Kit PN",Lutron_CFlex_Lookup[#Headers],0),FALSE),"")</f>
        <v/>
      </c>
      <c r="AN690" s="1" t="b">
        <f>NOT(ISNA(VLOOKUP(Master_Reference[[#This Row],[Model Number]],ObsoleteModels[],1,FALSE)))</f>
        <v>1</v>
      </c>
      <c r="AO690" s="1" t="str">
        <f>IF(LEFT(Master_Reference[[#This Row],[Model Number]],1)="U",LEFT(Master_Reference[[#This Row],[Model Number]],4),LEFT(Master_Reference[[#This Row],[Model Number]],3))</f>
        <v>FDB</v>
      </c>
    </row>
    <row r="691" spans="1:41" x14ac:dyDescent="0.25">
      <c r="A691" s="2" t="s">
        <v>986</v>
      </c>
      <c r="B691" s="1"/>
      <c r="C691" s="1" t="b">
        <v>1</v>
      </c>
      <c r="G691" s="1" t="str">
        <f>IF(OR(LEFT(RIGHT(Master_Reference[[#This Row],[Model Number]],3),1)="C",LEFT(RIGHT(Master_Reference[[#This Row],[Model Number]],4),1)="C"),TRUE,"")</f>
        <v/>
      </c>
      <c r="H691" s="1" t="str">
        <f>IF(LEFT(Master_Reference[[#This Row],[Model Number]],1)="U",TRUE,"")</f>
        <v/>
      </c>
      <c r="I691" s="1" t="str">
        <f>IF(Master_Reference[[#This Row],[Lamp Type]]="T4","",IF(Master_Reference[[#This Row],[Case Type]]="M","",TRUE))</f>
        <v/>
      </c>
      <c r="J691" s="1" t="s">
        <v>87</v>
      </c>
      <c r="K691" s="1">
        <v>26</v>
      </c>
      <c r="L691" s="1" t="s">
        <v>88</v>
      </c>
      <c r="M691" s="1">
        <v>2</v>
      </c>
      <c r="N691" s="1">
        <v>277</v>
      </c>
      <c r="O691" s="1" t="s">
        <v>106</v>
      </c>
      <c r="Q691" s="1" t="s">
        <v>91</v>
      </c>
      <c r="R691" t="b">
        <f>IF(COUNTBLANK(Master_Reference[[#This Row],[C-Flex 3000K Eco Part Number]:[C-Flex 4000K Eco Part Number]])=3,FALSE,TRUE)</f>
        <v>0</v>
      </c>
      <c r="S691" t="b">
        <f>IF(COUNTBLANK(Master_Reference[[#This Row],[C-Flex 3000K 3W Part Number]:[C-Flex 4000K 3W Part Number]])=3,FALSE,TRUE)</f>
        <v>0</v>
      </c>
      <c r="T691" t="b">
        <f>IF(COUNTBLANK(Master_Reference[[#This Row],[Lutron 3000K Eco Part Number]:[Lutron 4000K Eco Part Number]])=3,FALSE,TRUE)</f>
        <v>0</v>
      </c>
      <c r="U691" t="b">
        <f>IF(COUNTBLANK(Master_Reference[[#This Row],[Lutron 3000K 3W Part Number]:[Lutron 4000K 3W Part Number]])=3,FALSE,TRUE)</f>
        <v>0</v>
      </c>
      <c r="V691" s="12"/>
      <c r="W691" s="12"/>
      <c r="X691" s="12"/>
      <c r="Y691" t="s">
        <v>2125</v>
      </c>
      <c r="Z691" s="12"/>
      <c r="AA691" s="12"/>
      <c r="AB691" s="12"/>
      <c r="AC691" t="s">
        <v>2125</v>
      </c>
      <c r="AD691" t="str">
        <f>SUBSTITUTE(Master_Reference[[#This Row],[C-Flex 4000K Eco Part Number]],"40-","xx-")</f>
        <v/>
      </c>
      <c r="AE691" t="str">
        <f>SUBSTITUTE(Master_Reference[[#This Row],[C-Flex 4000K 3W Part Number]],"40-","xx-")</f>
        <v/>
      </c>
      <c r="AF691" s="1" t="str">
        <f>_xlfn.IFNA(VLOOKUP(Master_Reference[[#This Row],[C-Flex 3000K Eco Part Number]],Lutron_CFlex_Lookup[],MATCH("Lutron Kit PN",Lutron_CFlex_Lookup[#Headers],0),FALSE),"")</f>
        <v/>
      </c>
      <c r="AG691" s="1" t="str">
        <f>_xlfn.IFNA(VLOOKUP(Master_Reference[[#This Row],[C-Flex 3500K Eco Part Number]],Lutron_CFlex_Lookup[],MATCH("Lutron Kit PN",Lutron_CFlex_Lookup[#Headers],0),FALSE),"")</f>
        <v/>
      </c>
      <c r="AH691" s="1" t="str">
        <f>_xlfn.IFNA(VLOOKUP(Master_Reference[[#This Row],[C-Flex 4000K Eco Part Number]],Lutron_CFlex_Lookup[],MATCH("Lutron Kit PN",Lutron_CFlex_Lookup[#Headers],0),FALSE),"")</f>
        <v/>
      </c>
      <c r="AI691" s="1" t="str">
        <f>_xlfn.IFNA(VLOOKUP(Master_Reference[[#This Row],[C-Flex 5000K Eco Part Number]],Lutron_CFlex_Lookup[],MATCH("Lutron Kit PN",Lutron_CFlex_Lookup[#Headers],0),FALSE),"")</f>
        <v/>
      </c>
      <c r="AJ691" s="1" t="str">
        <f>_xlfn.IFNA(VLOOKUP(Master_Reference[[#This Row],[C-Flex 3000K 3W Part Number]],Lutron_CFlex_Lookup[],MATCH("Lutron Kit PN",Lutron_CFlex_Lookup[#Headers],0),FALSE),"")</f>
        <v/>
      </c>
      <c r="AK691" s="1" t="str">
        <f>_xlfn.IFNA(VLOOKUP(Master_Reference[[#This Row],[C-Flex 3500K 3W Part Number]],Lutron_CFlex_Lookup[],MATCH("Lutron Kit PN",Lutron_CFlex_Lookup[#Headers],0),FALSE),"")</f>
        <v/>
      </c>
      <c r="AL691" s="1" t="str">
        <f>_xlfn.IFNA(VLOOKUP(Master_Reference[[#This Row],[C-Flex 4000K 3W Part Number]],Lutron_CFlex_Lookup[],MATCH("Lutron Kit PN",Lutron_CFlex_Lookup[#Headers],0),FALSE),"")</f>
        <v/>
      </c>
      <c r="AM691" s="1" t="str">
        <f>_xlfn.IFNA(VLOOKUP(Master_Reference[[#This Row],[C-Flex 5000K 3W Part Number]],Lutron_CFlex_Lookup[],MATCH("Lutron Kit PN",Lutron_CFlex_Lookup[#Headers],0),FALSE),"")</f>
        <v/>
      </c>
      <c r="AN691" s="1" t="b">
        <f>NOT(ISNA(VLOOKUP(Master_Reference[[#This Row],[Model Number]],ObsoleteModels[],1,FALSE)))</f>
        <v>1</v>
      </c>
      <c r="AO691" s="1" t="str">
        <f>IF(LEFT(Master_Reference[[#This Row],[Model Number]],1)="U",LEFT(Master_Reference[[#This Row],[Model Number]],4),LEFT(Master_Reference[[#This Row],[Model Number]],3))</f>
        <v>FDB</v>
      </c>
    </row>
    <row r="692" spans="1:41" x14ac:dyDescent="0.25">
      <c r="A692" s="2" t="s">
        <v>987</v>
      </c>
      <c r="B692" s="1"/>
      <c r="C692" s="1" t="b">
        <v>1</v>
      </c>
      <c r="G692" s="1" t="str">
        <f>IF(OR(LEFT(RIGHT(Master_Reference[[#This Row],[Model Number]],3),1)="C",LEFT(RIGHT(Master_Reference[[#This Row],[Model Number]],4),1)="C"),TRUE,"")</f>
        <v/>
      </c>
      <c r="H692" s="1" t="str">
        <f>IF(LEFT(Master_Reference[[#This Row],[Model Number]],1)="U",TRUE,"")</f>
        <v/>
      </c>
      <c r="I692" s="1" t="str">
        <f>IF(Master_Reference[[#This Row],[Lamp Type]]="T4","",IF(Master_Reference[[#This Row],[Case Type]]="M","",TRUE))</f>
        <v/>
      </c>
      <c r="J692" s="1" t="s">
        <v>87</v>
      </c>
      <c r="K692" s="1">
        <v>26</v>
      </c>
      <c r="L692" s="1" t="s">
        <v>88</v>
      </c>
      <c r="M692" s="1">
        <v>2</v>
      </c>
      <c r="N692" s="1">
        <v>277</v>
      </c>
      <c r="O692" s="1" t="s">
        <v>106</v>
      </c>
      <c r="P692" s="1" t="b">
        <v>1</v>
      </c>
      <c r="R692" t="b">
        <f>IF(COUNTBLANK(Master_Reference[[#This Row],[C-Flex 3000K Eco Part Number]:[C-Flex 4000K Eco Part Number]])=3,FALSE,TRUE)</f>
        <v>0</v>
      </c>
      <c r="S692" t="b">
        <f>IF(COUNTBLANK(Master_Reference[[#This Row],[C-Flex 3000K 3W Part Number]:[C-Flex 4000K 3W Part Number]])=3,FALSE,TRUE)</f>
        <v>1</v>
      </c>
      <c r="T692" t="b">
        <f>IF(COUNTBLANK(Master_Reference[[#This Row],[Lutron 3000K Eco Part Number]:[Lutron 4000K Eco Part Number]])=3,FALSE,TRUE)</f>
        <v>0</v>
      </c>
      <c r="U692" t="b">
        <f>IF(COUNTBLANK(Master_Reference[[#This Row],[Lutron 3000K 3W Part Number]:[Lutron 4000K 3W Part Number]])=3,FALSE,TRUE)</f>
        <v>0</v>
      </c>
      <c r="V692" s="12"/>
      <c r="W692" s="12"/>
      <c r="X692" s="12"/>
      <c r="Y692" t="s">
        <v>2125</v>
      </c>
      <c r="Z692" s="12" t="s">
        <v>1573</v>
      </c>
      <c r="AA692" s="12" t="s">
        <v>1574</v>
      </c>
      <c r="AB692" s="12" t="s">
        <v>1575</v>
      </c>
      <c r="AC692" t="s">
        <v>2125</v>
      </c>
      <c r="AD692" t="str">
        <f>SUBSTITUTE(Master_Reference[[#This Row],[C-Flex 4000K Eco Part Number]],"40-","xx-")</f>
        <v/>
      </c>
      <c r="AE692" t="str">
        <f>SUBSTITUTE(Master_Reference[[#This Row],[C-Flex 4000K 3W Part Number]],"40-","xx-")</f>
        <v>RP-G24Q-226m-2L-8xx-3W-K-G2</v>
      </c>
      <c r="AF692" s="1" t="str">
        <f>_xlfn.IFNA(VLOOKUP(Master_Reference[[#This Row],[C-Flex 3000K Eco Part Number]],Lutron_CFlex_Lookup[],MATCH("Lutron Kit PN",Lutron_CFlex_Lookup[#Headers],0),FALSE),"")</f>
        <v/>
      </c>
      <c r="AG692" s="1" t="str">
        <f>_xlfn.IFNA(VLOOKUP(Master_Reference[[#This Row],[C-Flex 3500K Eco Part Number]],Lutron_CFlex_Lookup[],MATCH("Lutron Kit PN",Lutron_CFlex_Lookup[#Headers],0),FALSE),"")</f>
        <v/>
      </c>
      <c r="AH692" s="1" t="str">
        <f>_xlfn.IFNA(VLOOKUP(Master_Reference[[#This Row],[C-Flex 4000K Eco Part Number]],Lutron_CFlex_Lookup[],MATCH("Lutron Kit PN",Lutron_CFlex_Lookup[#Headers],0),FALSE),"")</f>
        <v/>
      </c>
      <c r="AI692" s="1" t="str">
        <f>_xlfn.IFNA(VLOOKUP(Master_Reference[[#This Row],[C-Flex 5000K Eco Part Number]],Lutron_CFlex_Lookup[],MATCH("Lutron Kit PN",Lutron_CFlex_Lookup[#Headers],0),FALSE),"")</f>
        <v/>
      </c>
      <c r="AJ692" s="1" t="str">
        <f>_xlfn.IFNA(VLOOKUP(Master_Reference[[#This Row],[C-Flex 3000K 3W Part Number]],Lutron_CFlex_Lookup[],MATCH("Lutron Kit PN",Lutron_CFlex_Lookup[#Headers],0),FALSE),"")</f>
        <v/>
      </c>
      <c r="AK692" s="1" t="str">
        <f>_xlfn.IFNA(VLOOKUP(Master_Reference[[#This Row],[C-Flex 3500K 3W Part Number]],Lutron_CFlex_Lookup[],MATCH("Lutron Kit PN",Lutron_CFlex_Lookup[#Headers],0),FALSE),"")</f>
        <v/>
      </c>
      <c r="AL692" s="1" t="str">
        <f>_xlfn.IFNA(VLOOKUP(Master_Reference[[#This Row],[C-Flex 4000K 3W Part Number]],Lutron_CFlex_Lookup[],MATCH("Lutron Kit PN",Lutron_CFlex_Lookup[#Headers],0),FALSE),"")</f>
        <v/>
      </c>
      <c r="AM692" s="1" t="str">
        <f>_xlfn.IFNA(VLOOKUP(Master_Reference[[#This Row],[C-Flex 5000K 3W Part Number]],Lutron_CFlex_Lookup[],MATCH("Lutron Kit PN",Lutron_CFlex_Lookup[#Headers],0),FALSE),"")</f>
        <v/>
      </c>
      <c r="AN692" s="1" t="b">
        <f>NOT(ISNA(VLOOKUP(Master_Reference[[#This Row],[Model Number]],ObsoleteModels[],1,FALSE)))</f>
        <v>1</v>
      </c>
      <c r="AO692" s="1" t="str">
        <f>IF(LEFT(Master_Reference[[#This Row],[Model Number]],1)="U",LEFT(Master_Reference[[#This Row],[Model Number]],4),LEFT(Master_Reference[[#This Row],[Model Number]],3))</f>
        <v>FDB</v>
      </c>
    </row>
    <row r="693" spans="1:41" x14ac:dyDescent="0.25">
      <c r="A693" s="2" t="s">
        <v>988</v>
      </c>
      <c r="B693" s="1"/>
      <c r="C693" s="1" t="b">
        <v>1</v>
      </c>
      <c r="G693" s="1" t="str">
        <f>IF(OR(LEFT(RIGHT(Master_Reference[[#This Row],[Model Number]],3),1)="C",LEFT(RIGHT(Master_Reference[[#This Row],[Model Number]],4),1)="C"),TRUE,"")</f>
        <v/>
      </c>
      <c r="H693" s="1" t="str">
        <f>IF(LEFT(Master_Reference[[#This Row],[Model Number]],1)="U",TRUE,"")</f>
        <v/>
      </c>
      <c r="I693" s="1" t="str">
        <f>IF(Master_Reference[[#This Row],[Lamp Type]]="T4","",IF(Master_Reference[[#This Row],[Case Type]]="M","",TRUE))</f>
        <v/>
      </c>
      <c r="J693" s="1" t="s">
        <v>87</v>
      </c>
      <c r="K693" s="1">
        <v>32</v>
      </c>
      <c r="L693" s="1" t="s">
        <v>88</v>
      </c>
      <c r="M693" s="1">
        <v>1</v>
      </c>
      <c r="N693" s="1">
        <v>100</v>
      </c>
      <c r="O693" s="1" t="s">
        <v>89</v>
      </c>
      <c r="Q693" s="1" t="s">
        <v>892</v>
      </c>
      <c r="R693" t="b">
        <f>IF(COUNTBLANK(Master_Reference[[#This Row],[C-Flex 3000K Eco Part Number]:[C-Flex 4000K Eco Part Number]])=3,FALSE,TRUE)</f>
        <v>0</v>
      </c>
      <c r="S693" t="b">
        <f>IF(COUNTBLANK(Master_Reference[[#This Row],[C-Flex 3000K 3W Part Number]:[C-Flex 4000K 3W Part Number]])=3,FALSE,TRUE)</f>
        <v>0</v>
      </c>
      <c r="T693" t="b">
        <f>IF(COUNTBLANK(Master_Reference[[#This Row],[Lutron 3000K Eco Part Number]:[Lutron 4000K Eco Part Number]])=3,FALSE,TRUE)</f>
        <v>0</v>
      </c>
      <c r="U693" t="b">
        <f>IF(COUNTBLANK(Master_Reference[[#This Row],[Lutron 3000K 3W Part Number]:[Lutron 4000K 3W Part Number]])=3,FALSE,TRUE)</f>
        <v>0</v>
      </c>
      <c r="V693" s="12"/>
      <c r="W693" s="12"/>
      <c r="X693" s="12"/>
      <c r="Y693" t="s">
        <v>2125</v>
      </c>
      <c r="Z693" s="12"/>
      <c r="AA693" s="12"/>
      <c r="AB693" s="12"/>
      <c r="AC693" t="s">
        <v>2125</v>
      </c>
      <c r="AD693" t="str">
        <f>SUBSTITUTE(Master_Reference[[#This Row],[C-Flex 4000K Eco Part Number]],"40-","xx-")</f>
        <v/>
      </c>
      <c r="AE693" t="str">
        <f>SUBSTITUTE(Master_Reference[[#This Row],[C-Flex 4000K 3W Part Number]],"40-","xx-")</f>
        <v/>
      </c>
      <c r="AF693" s="1" t="str">
        <f>_xlfn.IFNA(VLOOKUP(Master_Reference[[#This Row],[C-Flex 3000K Eco Part Number]],Lutron_CFlex_Lookup[],MATCH("Lutron Kit PN",Lutron_CFlex_Lookup[#Headers],0),FALSE),"")</f>
        <v/>
      </c>
      <c r="AG693" s="1" t="str">
        <f>_xlfn.IFNA(VLOOKUP(Master_Reference[[#This Row],[C-Flex 3500K Eco Part Number]],Lutron_CFlex_Lookup[],MATCH("Lutron Kit PN",Lutron_CFlex_Lookup[#Headers],0),FALSE),"")</f>
        <v/>
      </c>
      <c r="AH693" s="1" t="str">
        <f>_xlfn.IFNA(VLOOKUP(Master_Reference[[#This Row],[C-Flex 4000K Eco Part Number]],Lutron_CFlex_Lookup[],MATCH("Lutron Kit PN",Lutron_CFlex_Lookup[#Headers],0),FALSE),"")</f>
        <v/>
      </c>
      <c r="AI693" s="1" t="str">
        <f>_xlfn.IFNA(VLOOKUP(Master_Reference[[#This Row],[C-Flex 5000K Eco Part Number]],Lutron_CFlex_Lookup[],MATCH("Lutron Kit PN",Lutron_CFlex_Lookup[#Headers],0),FALSE),"")</f>
        <v/>
      </c>
      <c r="AJ693" s="1" t="str">
        <f>_xlfn.IFNA(VLOOKUP(Master_Reference[[#This Row],[C-Flex 3000K 3W Part Number]],Lutron_CFlex_Lookup[],MATCH("Lutron Kit PN",Lutron_CFlex_Lookup[#Headers],0),FALSE),"")</f>
        <v/>
      </c>
      <c r="AK693" s="1" t="str">
        <f>_xlfn.IFNA(VLOOKUP(Master_Reference[[#This Row],[C-Flex 3500K 3W Part Number]],Lutron_CFlex_Lookup[],MATCH("Lutron Kit PN",Lutron_CFlex_Lookup[#Headers],0),FALSE),"")</f>
        <v/>
      </c>
      <c r="AL693" s="1" t="str">
        <f>_xlfn.IFNA(VLOOKUP(Master_Reference[[#This Row],[C-Flex 4000K 3W Part Number]],Lutron_CFlex_Lookup[],MATCH("Lutron Kit PN",Lutron_CFlex_Lookup[#Headers],0),FALSE),"")</f>
        <v/>
      </c>
      <c r="AM693" s="1" t="str">
        <f>_xlfn.IFNA(VLOOKUP(Master_Reference[[#This Row],[C-Flex 5000K 3W Part Number]],Lutron_CFlex_Lookup[],MATCH("Lutron Kit PN",Lutron_CFlex_Lookup[#Headers],0),FALSE),"")</f>
        <v/>
      </c>
      <c r="AN693" s="1" t="b">
        <f>NOT(ISNA(VLOOKUP(Master_Reference[[#This Row],[Model Number]],ObsoleteModels[],1,FALSE)))</f>
        <v>1</v>
      </c>
      <c r="AO693" s="1" t="str">
        <f>IF(LEFT(Master_Reference[[#This Row],[Model Number]],1)="U",LEFT(Master_Reference[[#This Row],[Model Number]],4),LEFT(Master_Reference[[#This Row],[Model Number]],3))</f>
        <v>FDB</v>
      </c>
    </row>
    <row r="694" spans="1:41" x14ac:dyDescent="0.25">
      <c r="A694" s="2" t="s">
        <v>989</v>
      </c>
      <c r="B694" s="1"/>
      <c r="C694" s="1" t="b">
        <v>1</v>
      </c>
      <c r="G694" s="1" t="str">
        <f>IF(OR(LEFT(RIGHT(Master_Reference[[#This Row],[Model Number]],3),1)="C",LEFT(RIGHT(Master_Reference[[#This Row],[Model Number]],4),1)="C"),TRUE,"")</f>
        <v/>
      </c>
      <c r="H694" s="1" t="str">
        <f>IF(LEFT(Master_Reference[[#This Row],[Model Number]],1)="U",TRUE,"")</f>
        <v/>
      </c>
      <c r="I694" s="1" t="str">
        <f>IF(Master_Reference[[#This Row],[Lamp Type]]="T4","",IF(Master_Reference[[#This Row],[Case Type]]="M","",TRUE))</f>
        <v/>
      </c>
      <c r="J694" s="1" t="s">
        <v>87</v>
      </c>
      <c r="K694" s="1">
        <v>32</v>
      </c>
      <c r="L694" s="1" t="s">
        <v>88</v>
      </c>
      <c r="M694" s="1">
        <v>1</v>
      </c>
      <c r="N694" s="1">
        <v>120</v>
      </c>
      <c r="O694" s="1" t="s">
        <v>89</v>
      </c>
      <c r="R694" t="b">
        <f>IF(COUNTBLANK(Master_Reference[[#This Row],[C-Flex 3000K Eco Part Number]:[C-Flex 4000K Eco Part Number]])=3,FALSE,TRUE)</f>
        <v>0</v>
      </c>
      <c r="S694" t="b">
        <f>IF(COUNTBLANK(Master_Reference[[#This Row],[C-Flex 3000K 3W Part Number]:[C-Flex 4000K 3W Part Number]])=3,FALSE,TRUE)</f>
        <v>1</v>
      </c>
      <c r="T694" t="b">
        <f>IF(COUNTBLANK(Master_Reference[[#This Row],[Lutron 3000K Eco Part Number]:[Lutron 4000K Eco Part Number]])=3,FALSE,TRUE)</f>
        <v>0</v>
      </c>
      <c r="U694" t="b">
        <f>IF(COUNTBLANK(Master_Reference[[#This Row],[Lutron 3000K 3W Part Number]:[Lutron 4000K 3W Part Number]])=3,FALSE,TRUE)</f>
        <v>0</v>
      </c>
      <c r="V694" s="12"/>
      <c r="W694" s="12"/>
      <c r="X694" s="12"/>
      <c r="Y694" t="s">
        <v>2125</v>
      </c>
      <c r="Z694" s="12" t="s">
        <v>952</v>
      </c>
      <c r="AA694" s="12" t="s">
        <v>953</v>
      </c>
      <c r="AB694" s="12" t="s">
        <v>954</v>
      </c>
      <c r="AC694" t="s">
        <v>2125</v>
      </c>
      <c r="AD694" t="str">
        <f>SUBSTITUTE(Master_Reference[[#This Row],[C-Flex 4000K Eco Part Number]],"40-","xx-")</f>
        <v/>
      </c>
      <c r="AE694" t="str">
        <f>SUBSTITUTE(Master_Reference[[#This Row],[C-Flex 4000K 3W Part Number]],"40-","xx-")</f>
        <v>RP-G24Q-132m-1L-8xx-3W-KN-G2</v>
      </c>
      <c r="AF694" s="1" t="str">
        <f>_xlfn.IFNA(VLOOKUP(Master_Reference[[#This Row],[C-Flex 3000K Eco Part Number]],Lutron_CFlex_Lookup[],MATCH("Lutron Kit PN",Lutron_CFlex_Lookup[#Headers],0),FALSE),"")</f>
        <v/>
      </c>
      <c r="AG694" s="1" t="str">
        <f>_xlfn.IFNA(VLOOKUP(Master_Reference[[#This Row],[C-Flex 3500K Eco Part Number]],Lutron_CFlex_Lookup[],MATCH("Lutron Kit PN",Lutron_CFlex_Lookup[#Headers],0),FALSE),"")</f>
        <v/>
      </c>
      <c r="AH694" s="1" t="str">
        <f>_xlfn.IFNA(VLOOKUP(Master_Reference[[#This Row],[C-Flex 4000K Eco Part Number]],Lutron_CFlex_Lookup[],MATCH("Lutron Kit PN",Lutron_CFlex_Lookup[#Headers],0),FALSE),"")</f>
        <v/>
      </c>
      <c r="AI694" s="1" t="str">
        <f>_xlfn.IFNA(VLOOKUP(Master_Reference[[#This Row],[C-Flex 5000K Eco Part Number]],Lutron_CFlex_Lookup[],MATCH("Lutron Kit PN",Lutron_CFlex_Lookup[#Headers],0),FALSE),"")</f>
        <v/>
      </c>
      <c r="AJ694" s="1" t="str">
        <f>_xlfn.IFNA(VLOOKUP(Master_Reference[[#This Row],[C-Flex 3000K 3W Part Number]],Lutron_CFlex_Lookup[],MATCH("Lutron Kit PN",Lutron_CFlex_Lookup[#Headers],0),FALSE),"")</f>
        <v/>
      </c>
      <c r="AK694" s="1" t="str">
        <f>_xlfn.IFNA(VLOOKUP(Master_Reference[[#This Row],[C-Flex 3500K 3W Part Number]],Lutron_CFlex_Lookup[],MATCH("Lutron Kit PN",Lutron_CFlex_Lookup[#Headers],0),FALSE),"")</f>
        <v/>
      </c>
      <c r="AL694" s="1" t="str">
        <f>_xlfn.IFNA(VLOOKUP(Master_Reference[[#This Row],[C-Flex 4000K 3W Part Number]],Lutron_CFlex_Lookup[],MATCH("Lutron Kit PN",Lutron_CFlex_Lookup[#Headers],0),FALSE),"")</f>
        <v/>
      </c>
      <c r="AM694" s="1" t="str">
        <f>_xlfn.IFNA(VLOOKUP(Master_Reference[[#This Row],[C-Flex 5000K 3W Part Number]],Lutron_CFlex_Lookup[],MATCH("Lutron Kit PN",Lutron_CFlex_Lookup[#Headers],0),FALSE),"")</f>
        <v/>
      </c>
      <c r="AN694" s="1" t="b">
        <f>NOT(ISNA(VLOOKUP(Master_Reference[[#This Row],[Model Number]],ObsoleteModels[],1,FALSE)))</f>
        <v>1</v>
      </c>
      <c r="AO694" s="1" t="str">
        <f>IF(LEFT(Master_Reference[[#This Row],[Model Number]],1)="U",LEFT(Master_Reference[[#This Row],[Model Number]],4),LEFT(Master_Reference[[#This Row],[Model Number]],3))</f>
        <v>FDB</v>
      </c>
    </row>
    <row r="695" spans="1:41" x14ac:dyDescent="0.25">
      <c r="A695" s="2" t="s">
        <v>990</v>
      </c>
      <c r="B695" s="1"/>
      <c r="C695" s="1" t="b">
        <v>1</v>
      </c>
      <c r="G695" s="1" t="str">
        <f>IF(OR(LEFT(RIGHT(Master_Reference[[#This Row],[Model Number]],3),1)="C",LEFT(RIGHT(Master_Reference[[#This Row],[Model Number]],4),1)="C"),TRUE,"")</f>
        <v/>
      </c>
      <c r="H695" s="1" t="str">
        <f>IF(LEFT(Master_Reference[[#This Row],[Model Number]],1)="U",TRUE,"")</f>
        <v/>
      </c>
      <c r="I695" s="1" t="str">
        <f>IF(Master_Reference[[#This Row],[Lamp Type]]="T4","",IF(Master_Reference[[#This Row],[Case Type]]="M","",TRUE))</f>
        <v/>
      </c>
      <c r="J695" s="1" t="s">
        <v>87</v>
      </c>
      <c r="K695" s="1">
        <v>32</v>
      </c>
      <c r="L695" s="1" t="s">
        <v>88</v>
      </c>
      <c r="M695" s="1">
        <v>1</v>
      </c>
      <c r="N695" s="1">
        <v>120</v>
      </c>
      <c r="O695" s="1" t="s">
        <v>89</v>
      </c>
      <c r="Q695" s="1" t="s">
        <v>91</v>
      </c>
      <c r="R695" t="b">
        <f>IF(COUNTBLANK(Master_Reference[[#This Row],[C-Flex 3000K Eco Part Number]:[C-Flex 4000K Eco Part Number]])=3,FALSE,TRUE)</f>
        <v>0</v>
      </c>
      <c r="S695" t="b">
        <f>IF(COUNTBLANK(Master_Reference[[#This Row],[C-Flex 3000K 3W Part Number]:[C-Flex 4000K 3W Part Number]])=3,FALSE,TRUE)</f>
        <v>0</v>
      </c>
      <c r="T695" t="b">
        <f>IF(COUNTBLANK(Master_Reference[[#This Row],[Lutron 3000K Eco Part Number]:[Lutron 4000K Eco Part Number]])=3,FALSE,TRUE)</f>
        <v>0</v>
      </c>
      <c r="U695" t="b">
        <f>IF(COUNTBLANK(Master_Reference[[#This Row],[Lutron 3000K 3W Part Number]:[Lutron 4000K 3W Part Number]])=3,FALSE,TRUE)</f>
        <v>0</v>
      </c>
      <c r="V695" s="12"/>
      <c r="W695" s="12"/>
      <c r="X695" s="12"/>
      <c r="Y695" t="s">
        <v>2125</v>
      </c>
      <c r="Z695" s="12"/>
      <c r="AA695" s="12"/>
      <c r="AB695" s="12"/>
      <c r="AC695" t="s">
        <v>2125</v>
      </c>
      <c r="AD695" t="str">
        <f>SUBSTITUTE(Master_Reference[[#This Row],[C-Flex 4000K Eco Part Number]],"40-","xx-")</f>
        <v/>
      </c>
      <c r="AE695" t="str">
        <f>SUBSTITUTE(Master_Reference[[#This Row],[C-Flex 4000K 3W Part Number]],"40-","xx-")</f>
        <v/>
      </c>
      <c r="AF695" s="1" t="str">
        <f>_xlfn.IFNA(VLOOKUP(Master_Reference[[#This Row],[C-Flex 3000K Eco Part Number]],Lutron_CFlex_Lookup[],MATCH("Lutron Kit PN",Lutron_CFlex_Lookup[#Headers],0),FALSE),"")</f>
        <v/>
      </c>
      <c r="AG695" s="1" t="str">
        <f>_xlfn.IFNA(VLOOKUP(Master_Reference[[#This Row],[C-Flex 3500K Eco Part Number]],Lutron_CFlex_Lookup[],MATCH("Lutron Kit PN",Lutron_CFlex_Lookup[#Headers],0),FALSE),"")</f>
        <v/>
      </c>
      <c r="AH695" s="1" t="str">
        <f>_xlfn.IFNA(VLOOKUP(Master_Reference[[#This Row],[C-Flex 4000K Eco Part Number]],Lutron_CFlex_Lookup[],MATCH("Lutron Kit PN",Lutron_CFlex_Lookup[#Headers],0),FALSE),"")</f>
        <v/>
      </c>
      <c r="AI695" s="1" t="str">
        <f>_xlfn.IFNA(VLOOKUP(Master_Reference[[#This Row],[C-Flex 5000K Eco Part Number]],Lutron_CFlex_Lookup[],MATCH("Lutron Kit PN",Lutron_CFlex_Lookup[#Headers],0),FALSE),"")</f>
        <v/>
      </c>
      <c r="AJ695" s="1" t="str">
        <f>_xlfn.IFNA(VLOOKUP(Master_Reference[[#This Row],[C-Flex 3000K 3W Part Number]],Lutron_CFlex_Lookup[],MATCH("Lutron Kit PN",Lutron_CFlex_Lookup[#Headers],0),FALSE),"")</f>
        <v/>
      </c>
      <c r="AK695" s="1" t="str">
        <f>_xlfn.IFNA(VLOOKUP(Master_Reference[[#This Row],[C-Flex 3500K 3W Part Number]],Lutron_CFlex_Lookup[],MATCH("Lutron Kit PN",Lutron_CFlex_Lookup[#Headers],0),FALSE),"")</f>
        <v/>
      </c>
      <c r="AL695" s="1" t="str">
        <f>_xlfn.IFNA(VLOOKUP(Master_Reference[[#This Row],[C-Flex 4000K 3W Part Number]],Lutron_CFlex_Lookup[],MATCH("Lutron Kit PN",Lutron_CFlex_Lookup[#Headers],0),FALSE),"")</f>
        <v/>
      </c>
      <c r="AM695" s="1" t="str">
        <f>_xlfn.IFNA(VLOOKUP(Master_Reference[[#This Row],[C-Flex 5000K 3W Part Number]],Lutron_CFlex_Lookup[],MATCH("Lutron Kit PN",Lutron_CFlex_Lookup[#Headers],0),FALSE),"")</f>
        <v/>
      </c>
      <c r="AN695" s="1" t="b">
        <f>NOT(ISNA(VLOOKUP(Master_Reference[[#This Row],[Model Number]],ObsoleteModels[],1,FALSE)))</f>
        <v>1</v>
      </c>
      <c r="AO695" s="1" t="str">
        <f>IF(LEFT(Master_Reference[[#This Row],[Model Number]],1)="U",LEFT(Master_Reference[[#This Row],[Model Number]],4),LEFT(Master_Reference[[#This Row],[Model Number]],3))</f>
        <v>FDB</v>
      </c>
    </row>
    <row r="696" spans="1:41" x14ac:dyDescent="0.25">
      <c r="A696" s="2" t="s">
        <v>991</v>
      </c>
      <c r="B696" s="1"/>
      <c r="C696" s="1" t="b">
        <v>1</v>
      </c>
      <c r="G696" s="1" t="str">
        <f>IF(OR(LEFT(RIGHT(Master_Reference[[#This Row],[Model Number]],3),1)="C",LEFT(RIGHT(Master_Reference[[#This Row],[Model Number]],4),1)="C"),TRUE,"")</f>
        <v/>
      </c>
      <c r="H696" s="1" t="str">
        <f>IF(LEFT(Master_Reference[[#This Row],[Model Number]],1)="U",TRUE,"")</f>
        <v/>
      </c>
      <c r="I696" s="1" t="str">
        <f>IF(Master_Reference[[#This Row],[Lamp Type]]="T4","",IF(Master_Reference[[#This Row],[Case Type]]="M","",TRUE))</f>
        <v/>
      </c>
      <c r="J696" s="1" t="s">
        <v>87</v>
      </c>
      <c r="K696" s="1">
        <v>32</v>
      </c>
      <c r="L696" s="1" t="s">
        <v>88</v>
      </c>
      <c r="M696" s="1">
        <v>1</v>
      </c>
      <c r="N696" s="1">
        <v>120</v>
      </c>
      <c r="O696" s="1" t="s">
        <v>89</v>
      </c>
      <c r="P696" s="1" t="b">
        <v>1</v>
      </c>
      <c r="R696" t="b">
        <f>IF(COUNTBLANK(Master_Reference[[#This Row],[C-Flex 3000K Eco Part Number]:[C-Flex 4000K Eco Part Number]])=3,FALSE,TRUE)</f>
        <v>0</v>
      </c>
      <c r="S696" t="b">
        <f>IF(COUNTBLANK(Master_Reference[[#This Row],[C-Flex 3000K 3W Part Number]:[C-Flex 4000K 3W Part Number]])=3,FALSE,TRUE)</f>
        <v>1</v>
      </c>
      <c r="T696" t="b">
        <f>IF(COUNTBLANK(Master_Reference[[#This Row],[Lutron 3000K Eco Part Number]:[Lutron 4000K Eco Part Number]])=3,FALSE,TRUE)</f>
        <v>0</v>
      </c>
      <c r="U696" t="b">
        <f>IF(COUNTBLANK(Master_Reference[[#This Row],[Lutron 3000K 3W Part Number]:[Lutron 4000K 3W Part Number]])=3,FALSE,TRUE)</f>
        <v>0</v>
      </c>
      <c r="V696" s="12"/>
      <c r="W696" s="12"/>
      <c r="X696" s="12"/>
      <c r="Y696" t="s">
        <v>2125</v>
      </c>
      <c r="Z696" s="12" t="s">
        <v>948</v>
      </c>
      <c r="AA696" s="12" t="s">
        <v>949</v>
      </c>
      <c r="AB696" s="12" t="s">
        <v>950</v>
      </c>
      <c r="AC696" t="s">
        <v>2125</v>
      </c>
      <c r="AD696" t="str">
        <f>SUBSTITUTE(Master_Reference[[#This Row],[C-Flex 4000K Eco Part Number]],"40-","xx-")</f>
        <v/>
      </c>
      <c r="AE696" t="str">
        <f>SUBSTITUTE(Master_Reference[[#This Row],[C-Flex 4000K 3W Part Number]],"40-","xx-")</f>
        <v>RP-G24Q-132m-1L-8xx-3W-K-G2</v>
      </c>
      <c r="AF696" s="1" t="str">
        <f>_xlfn.IFNA(VLOOKUP(Master_Reference[[#This Row],[C-Flex 3000K Eco Part Number]],Lutron_CFlex_Lookup[],MATCH("Lutron Kit PN",Lutron_CFlex_Lookup[#Headers],0),FALSE),"")</f>
        <v/>
      </c>
      <c r="AG696" s="1" t="str">
        <f>_xlfn.IFNA(VLOOKUP(Master_Reference[[#This Row],[C-Flex 3500K Eco Part Number]],Lutron_CFlex_Lookup[],MATCH("Lutron Kit PN",Lutron_CFlex_Lookup[#Headers],0),FALSE),"")</f>
        <v/>
      </c>
      <c r="AH696" s="1" t="str">
        <f>_xlfn.IFNA(VLOOKUP(Master_Reference[[#This Row],[C-Flex 4000K Eco Part Number]],Lutron_CFlex_Lookup[],MATCH("Lutron Kit PN",Lutron_CFlex_Lookup[#Headers],0),FALSE),"")</f>
        <v/>
      </c>
      <c r="AI696" s="1" t="str">
        <f>_xlfn.IFNA(VLOOKUP(Master_Reference[[#This Row],[C-Flex 5000K Eco Part Number]],Lutron_CFlex_Lookup[],MATCH("Lutron Kit PN",Lutron_CFlex_Lookup[#Headers],0),FALSE),"")</f>
        <v/>
      </c>
      <c r="AJ696" s="1" t="str">
        <f>_xlfn.IFNA(VLOOKUP(Master_Reference[[#This Row],[C-Flex 3000K 3W Part Number]],Lutron_CFlex_Lookup[],MATCH("Lutron Kit PN",Lutron_CFlex_Lookup[#Headers],0),FALSE),"")</f>
        <v/>
      </c>
      <c r="AK696" s="1" t="str">
        <f>_xlfn.IFNA(VLOOKUP(Master_Reference[[#This Row],[C-Flex 3500K 3W Part Number]],Lutron_CFlex_Lookup[],MATCH("Lutron Kit PN",Lutron_CFlex_Lookup[#Headers],0),FALSE),"")</f>
        <v/>
      </c>
      <c r="AL696" s="1" t="str">
        <f>_xlfn.IFNA(VLOOKUP(Master_Reference[[#This Row],[C-Flex 4000K 3W Part Number]],Lutron_CFlex_Lookup[],MATCH("Lutron Kit PN",Lutron_CFlex_Lookup[#Headers],0),FALSE),"")</f>
        <v/>
      </c>
      <c r="AM696" s="1" t="str">
        <f>_xlfn.IFNA(VLOOKUP(Master_Reference[[#This Row],[C-Flex 5000K 3W Part Number]],Lutron_CFlex_Lookup[],MATCH("Lutron Kit PN",Lutron_CFlex_Lookup[#Headers],0),FALSE),"")</f>
        <v/>
      </c>
      <c r="AN696" s="1" t="b">
        <f>NOT(ISNA(VLOOKUP(Master_Reference[[#This Row],[Model Number]],ObsoleteModels[],1,FALSE)))</f>
        <v>1</v>
      </c>
      <c r="AO696" s="1" t="str">
        <f>IF(LEFT(Master_Reference[[#This Row],[Model Number]],1)="U",LEFT(Master_Reference[[#This Row],[Model Number]],4),LEFT(Master_Reference[[#This Row],[Model Number]],3))</f>
        <v>FDB</v>
      </c>
    </row>
    <row r="697" spans="1:41" x14ac:dyDescent="0.25">
      <c r="A697" s="2" t="s">
        <v>992</v>
      </c>
      <c r="B697" s="1"/>
      <c r="C697" s="1" t="b">
        <v>1</v>
      </c>
      <c r="G697" s="1" t="str">
        <f>IF(OR(LEFT(RIGHT(Master_Reference[[#This Row],[Model Number]],3),1)="C",LEFT(RIGHT(Master_Reference[[#This Row],[Model Number]],4),1)="C"),TRUE,"")</f>
        <v/>
      </c>
      <c r="H697" s="1" t="str">
        <f>IF(LEFT(Master_Reference[[#This Row],[Model Number]],1)="U",TRUE,"")</f>
        <v/>
      </c>
      <c r="I697" s="1" t="str">
        <f>IF(Master_Reference[[#This Row],[Lamp Type]]="T4","",IF(Master_Reference[[#This Row],[Case Type]]="M","",TRUE))</f>
        <v/>
      </c>
      <c r="J697" s="1" t="s">
        <v>87</v>
      </c>
      <c r="K697" s="1">
        <v>32</v>
      </c>
      <c r="L697" s="1" t="s">
        <v>88</v>
      </c>
      <c r="M697" s="1">
        <v>1</v>
      </c>
      <c r="N697" s="1">
        <v>120</v>
      </c>
      <c r="O697" s="1" t="s">
        <v>89</v>
      </c>
      <c r="P697" s="1" t="b">
        <v>1</v>
      </c>
      <c r="Q697" s="1" t="s">
        <v>91</v>
      </c>
      <c r="R697" t="b">
        <f>IF(COUNTBLANK(Master_Reference[[#This Row],[C-Flex 3000K Eco Part Number]:[C-Flex 4000K Eco Part Number]])=3,FALSE,TRUE)</f>
        <v>0</v>
      </c>
      <c r="S697" t="b">
        <f>IF(COUNTBLANK(Master_Reference[[#This Row],[C-Flex 3000K 3W Part Number]:[C-Flex 4000K 3W Part Number]])=3,FALSE,TRUE)</f>
        <v>0</v>
      </c>
      <c r="T697" t="b">
        <f>IF(COUNTBLANK(Master_Reference[[#This Row],[Lutron 3000K Eco Part Number]:[Lutron 4000K Eco Part Number]])=3,FALSE,TRUE)</f>
        <v>0</v>
      </c>
      <c r="U697" t="b">
        <f>IF(COUNTBLANK(Master_Reference[[#This Row],[Lutron 3000K 3W Part Number]:[Lutron 4000K 3W Part Number]])=3,FALSE,TRUE)</f>
        <v>0</v>
      </c>
      <c r="V697" s="12"/>
      <c r="W697" s="12"/>
      <c r="X697" s="12"/>
      <c r="Y697" t="s">
        <v>2125</v>
      </c>
      <c r="Z697" s="12"/>
      <c r="AA697" s="12"/>
      <c r="AB697" s="12"/>
      <c r="AC697" t="s">
        <v>2125</v>
      </c>
      <c r="AD697" t="str">
        <f>SUBSTITUTE(Master_Reference[[#This Row],[C-Flex 4000K Eco Part Number]],"40-","xx-")</f>
        <v/>
      </c>
      <c r="AE697" t="str">
        <f>SUBSTITUTE(Master_Reference[[#This Row],[C-Flex 4000K 3W Part Number]],"40-","xx-")</f>
        <v/>
      </c>
      <c r="AF697" s="1" t="str">
        <f>_xlfn.IFNA(VLOOKUP(Master_Reference[[#This Row],[C-Flex 3000K Eco Part Number]],Lutron_CFlex_Lookup[],MATCH("Lutron Kit PN",Lutron_CFlex_Lookup[#Headers],0),FALSE),"")</f>
        <v/>
      </c>
      <c r="AG697" s="1" t="str">
        <f>_xlfn.IFNA(VLOOKUP(Master_Reference[[#This Row],[C-Flex 3500K Eco Part Number]],Lutron_CFlex_Lookup[],MATCH("Lutron Kit PN",Lutron_CFlex_Lookup[#Headers],0),FALSE),"")</f>
        <v/>
      </c>
      <c r="AH697" s="1" t="str">
        <f>_xlfn.IFNA(VLOOKUP(Master_Reference[[#This Row],[C-Flex 4000K Eco Part Number]],Lutron_CFlex_Lookup[],MATCH("Lutron Kit PN",Lutron_CFlex_Lookup[#Headers],0),FALSE),"")</f>
        <v/>
      </c>
      <c r="AI697" s="1" t="str">
        <f>_xlfn.IFNA(VLOOKUP(Master_Reference[[#This Row],[C-Flex 5000K Eco Part Number]],Lutron_CFlex_Lookup[],MATCH("Lutron Kit PN",Lutron_CFlex_Lookup[#Headers],0),FALSE),"")</f>
        <v/>
      </c>
      <c r="AJ697" s="1" t="str">
        <f>_xlfn.IFNA(VLOOKUP(Master_Reference[[#This Row],[C-Flex 3000K 3W Part Number]],Lutron_CFlex_Lookup[],MATCH("Lutron Kit PN",Lutron_CFlex_Lookup[#Headers],0),FALSE),"")</f>
        <v/>
      </c>
      <c r="AK697" s="1" t="str">
        <f>_xlfn.IFNA(VLOOKUP(Master_Reference[[#This Row],[C-Flex 3500K 3W Part Number]],Lutron_CFlex_Lookup[],MATCH("Lutron Kit PN",Lutron_CFlex_Lookup[#Headers],0),FALSE),"")</f>
        <v/>
      </c>
      <c r="AL697" s="1" t="str">
        <f>_xlfn.IFNA(VLOOKUP(Master_Reference[[#This Row],[C-Flex 4000K 3W Part Number]],Lutron_CFlex_Lookup[],MATCH("Lutron Kit PN",Lutron_CFlex_Lookup[#Headers],0),FALSE),"")</f>
        <v/>
      </c>
      <c r="AM697" s="1" t="str">
        <f>_xlfn.IFNA(VLOOKUP(Master_Reference[[#This Row],[C-Flex 5000K 3W Part Number]],Lutron_CFlex_Lookup[],MATCH("Lutron Kit PN",Lutron_CFlex_Lookup[#Headers],0),FALSE),"")</f>
        <v/>
      </c>
      <c r="AN697" s="1" t="b">
        <f>NOT(ISNA(VLOOKUP(Master_Reference[[#This Row],[Model Number]],ObsoleteModels[],1,FALSE)))</f>
        <v>1</v>
      </c>
      <c r="AO697" s="1" t="str">
        <f>IF(LEFT(Master_Reference[[#This Row],[Model Number]],1)="U",LEFT(Master_Reference[[#This Row],[Model Number]],4),LEFT(Master_Reference[[#This Row],[Model Number]],3))</f>
        <v>FDB</v>
      </c>
    </row>
    <row r="698" spans="1:41" x14ac:dyDescent="0.25">
      <c r="A698" s="2" t="s">
        <v>993</v>
      </c>
      <c r="B698" s="1"/>
      <c r="C698" s="1" t="b">
        <v>1</v>
      </c>
      <c r="G698" s="1" t="str">
        <f>IF(OR(LEFT(RIGHT(Master_Reference[[#This Row],[Model Number]],3),1)="C",LEFT(RIGHT(Master_Reference[[#This Row],[Model Number]],4),1)="C"),TRUE,"")</f>
        <v/>
      </c>
      <c r="H698" s="1" t="str">
        <f>IF(LEFT(Master_Reference[[#This Row],[Model Number]],1)="U",TRUE,"")</f>
        <v/>
      </c>
      <c r="I698" s="1" t="str">
        <f>IF(Master_Reference[[#This Row],[Lamp Type]]="T4","",IF(Master_Reference[[#This Row],[Case Type]]="M","",TRUE))</f>
        <v/>
      </c>
      <c r="J698" s="1" t="s">
        <v>87</v>
      </c>
      <c r="K698" s="1">
        <v>32</v>
      </c>
      <c r="L698" s="1" t="s">
        <v>88</v>
      </c>
      <c r="M698" s="1">
        <v>2</v>
      </c>
      <c r="N698" s="1">
        <v>120</v>
      </c>
      <c r="O698" s="1" t="s">
        <v>106</v>
      </c>
      <c r="R698" t="b">
        <f>IF(COUNTBLANK(Master_Reference[[#This Row],[C-Flex 3000K Eco Part Number]:[C-Flex 4000K Eco Part Number]])=3,FALSE,TRUE)</f>
        <v>0</v>
      </c>
      <c r="S698" t="b">
        <f>IF(COUNTBLANK(Master_Reference[[#This Row],[C-Flex 3000K 3W Part Number]:[C-Flex 4000K 3W Part Number]])=3,FALSE,TRUE)</f>
        <v>1</v>
      </c>
      <c r="T698" t="b">
        <f>IF(COUNTBLANK(Master_Reference[[#This Row],[Lutron 3000K Eco Part Number]:[Lutron 4000K Eco Part Number]])=3,FALSE,TRUE)</f>
        <v>0</v>
      </c>
      <c r="U698" t="b">
        <f>IF(COUNTBLANK(Master_Reference[[#This Row],[Lutron 3000K 3W Part Number]:[Lutron 4000K 3W Part Number]])=3,FALSE,TRUE)</f>
        <v>0</v>
      </c>
      <c r="V698" s="12"/>
      <c r="W698" s="12"/>
      <c r="X698" s="12"/>
      <c r="Y698" t="s">
        <v>2125</v>
      </c>
      <c r="Z698" s="12" t="s">
        <v>2271</v>
      </c>
      <c r="AA698" s="12" t="s">
        <v>2272</v>
      </c>
      <c r="AB698" s="12" t="s">
        <v>2273</v>
      </c>
      <c r="AC698" t="s">
        <v>2125</v>
      </c>
      <c r="AD698" t="str">
        <f>SUBSTITUTE(Master_Reference[[#This Row],[C-Flex 4000K Eco Part Number]],"40-","xx-")</f>
        <v/>
      </c>
      <c r="AE698" t="str">
        <f>SUBSTITUTE(Master_Reference[[#This Row],[C-Flex 4000K 3W Part Number]],"40-","xx-")</f>
        <v>RP-G24Q-232m-1L-8xx-3W-KN-G2</v>
      </c>
      <c r="AF698" s="1" t="str">
        <f>_xlfn.IFNA(VLOOKUP(Master_Reference[[#This Row],[C-Flex 3000K Eco Part Number]],Lutron_CFlex_Lookup[],MATCH("Lutron Kit PN",Lutron_CFlex_Lookup[#Headers],0),FALSE),"")</f>
        <v/>
      </c>
      <c r="AG698" s="1" t="str">
        <f>_xlfn.IFNA(VLOOKUP(Master_Reference[[#This Row],[C-Flex 3500K Eco Part Number]],Lutron_CFlex_Lookup[],MATCH("Lutron Kit PN",Lutron_CFlex_Lookup[#Headers],0),FALSE),"")</f>
        <v/>
      </c>
      <c r="AH698" s="1" t="str">
        <f>_xlfn.IFNA(VLOOKUP(Master_Reference[[#This Row],[C-Flex 4000K Eco Part Number]],Lutron_CFlex_Lookup[],MATCH("Lutron Kit PN",Lutron_CFlex_Lookup[#Headers],0),FALSE),"")</f>
        <v/>
      </c>
      <c r="AI698" s="1" t="str">
        <f>_xlfn.IFNA(VLOOKUP(Master_Reference[[#This Row],[C-Flex 5000K Eco Part Number]],Lutron_CFlex_Lookup[],MATCH("Lutron Kit PN",Lutron_CFlex_Lookup[#Headers],0),FALSE),"")</f>
        <v/>
      </c>
      <c r="AJ698" s="1" t="str">
        <f>_xlfn.IFNA(VLOOKUP(Master_Reference[[#This Row],[C-Flex 3000K 3W Part Number]],Lutron_CFlex_Lookup[],MATCH("Lutron Kit PN",Lutron_CFlex_Lookup[#Headers],0),FALSE),"")</f>
        <v/>
      </c>
      <c r="AK698" s="1" t="str">
        <f>_xlfn.IFNA(VLOOKUP(Master_Reference[[#This Row],[C-Flex 3500K 3W Part Number]],Lutron_CFlex_Lookup[],MATCH("Lutron Kit PN",Lutron_CFlex_Lookup[#Headers],0),FALSE),"")</f>
        <v/>
      </c>
      <c r="AL698" s="1" t="str">
        <f>_xlfn.IFNA(VLOOKUP(Master_Reference[[#This Row],[C-Flex 4000K 3W Part Number]],Lutron_CFlex_Lookup[],MATCH("Lutron Kit PN",Lutron_CFlex_Lookup[#Headers],0),FALSE),"")</f>
        <v/>
      </c>
      <c r="AM698" s="1" t="str">
        <f>_xlfn.IFNA(VLOOKUP(Master_Reference[[#This Row],[C-Flex 5000K 3W Part Number]],Lutron_CFlex_Lookup[],MATCH("Lutron Kit PN",Lutron_CFlex_Lookup[#Headers],0),FALSE),"")</f>
        <v/>
      </c>
      <c r="AN698" s="1" t="b">
        <f>NOT(ISNA(VLOOKUP(Master_Reference[[#This Row],[Model Number]],ObsoleteModels[],1,FALSE)))</f>
        <v>1</v>
      </c>
      <c r="AO698" s="1" t="str">
        <f>IF(LEFT(Master_Reference[[#This Row],[Model Number]],1)="U",LEFT(Master_Reference[[#This Row],[Model Number]],4),LEFT(Master_Reference[[#This Row],[Model Number]],3))</f>
        <v>FDB</v>
      </c>
    </row>
    <row r="699" spans="1:41" x14ac:dyDescent="0.25">
      <c r="A699" s="2" t="s">
        <v>997</v>
      </c>
      <c r="B699" s="1"/>
      <c r="C699" s="1" t="b">
        <v>1</v>
      </c>
      <c r="G699" s="1" t="str">
        <f>IF(OR(LEFT(RIGHT(Master_Reference[[#This Row],[Model Number]],3),1)="C",LEFT(RIGHT(Master_Reference[[#This Row],[Model Number]],4),1)="C"),TRUE,"")</f>
        <v/>
      </c>
      <c r="H699" s="1" t="str">
        <f>IF(LEFT(Master_Reference[[#This Row],[Model Number]],1)="U",TRUE,"")</f>
        <v/>
      </c>
      <c r="I699" s="1" t="str">
        <f>IF(Master_Reference[[#This Row],[Lamp Type]]="T4","",IF(Master_Reference[[#This Row],[Case Type]]="M","",TRUE))</f>
        <v/>
      </c>
      <c r="J699" s="1" t="s">
        <v>87</v>
      </c>
      <c r="K699" s="1">
        <v>32</v>
      </c>
      <c r="L699" s="1" t="s">
        <v>88</v>
      </c>
      <c r="M699" s="1">
        <v>2</v>
      </c>
      <c r="N699" s="1">
        <v>120</v>
      </c>
      <c r="O699" s="1" t="s">
        <v>106</v>
      </c>
      <c r="Q699" s="1" t="s">
        <v>91</v>
      </c>
      <c r="R699" t="b">
        <f>IF(COUNTBLANK(Master_Reference[[#This Row],[C-Flex 3000K Eco Part Number]:[C-Flex 4000K Eco Part Number]])=3,FALSE,TRUE)</f>
        <v>0</v>
      </c>
      <c r="S699" t="b">
        <f>IF(COUNTBLANK(Master_Reference[[#This Row],[C-Flex 3000K 3W Part Number]:[C-Flex 4000K 3W Part Number]])=3,FALSE,TRUE)</f>
        <v>0</v>
      </c>
      <c r="T699" s="1" t="b">
        <f>IF(COUNTBLANK(Master_Reference[[#This Row],[Lutron 3000K Eco Part Number]:[Lutron 4000K Eco Part Number]])=3,FALSE,TRUE)</f>
        <v>0</v>
      </c>
      <c r="U699" s="1" t="b">
        <f>IF(COUNTBLANK(Master_Reference[[#This Row],[Lutron 3000K 3W Part Number]:[Lutron 4000K 3W Part Number]])=3,FALSE,TRUE)</f>
        <v>0</v>
      </c>
      <c r="V699" s="13"/>
      <c r="W699" s="13"/>
      <c r="X699" s="12"/>
      <c r="Y699" t="s">
        <v>2125</v>
      </c>
      <c r="Z699" s="12"/>
      <c r="AA699" s="12"/>
      <c r="AB699" s="12"/>
      <c r="AC699" t="s">
        <v>2125</v>
      </c>
      <c r="AD699" t="str">
        <f>SUBSTITUTE(Master_Reference[[#This Row],[C-Flex 4000K Eco Part Number]],"40-","xx-")</f>
        <v/>
      </c>
      <c r="AE699" t="str">
        <f>SUBSTITUTE(Master_Reference[[#This Row],[C-Flex 4000K 3W Part Number]],"40-","xx-")</f>
        <v/>
      </c>
      <c r="AF699" s="1" t="str">
        <f>_xlfn.IFNA(VLOOKUP(Master_Reference[[#This Row],[C-Flex 3000K Eco Part Number]],Lutron_CFlex_Lookup[],MATCH("Lutron Kit PN",Lutron_CFlex_Lookup[#Headers],0),FALSE),"")</f>
        <v/>
      </c>
      <c r="AG699" s="1" t="str">
        <f>_xlfn.IFNA(VLOOKUP(Master_Reference[[#This Row],[C-Flex 3500K Eco Part Number]],Lutron_CFlex_Lookup[],MATCH("Lutron Kit PN",Lutron_CFlex_Lookup[#Headers],0),FALSE),"")</f>
        <v/>
      </c>
      <c r="AH699" s="1" t="str">
        <f>_xlfn.IFNA(VLOOKUP(Master_Reference[[#This Row],[C-Flex 4000K Eco Part Number]],Lutron_CFlex_Lookup[],MATCH("Lutron Kit PN",Lutron_CFlex_Lookup[#Headers],0),FALSE),"")</f>
        <v/>
      </c>
      <c r="AI699" s="1" t="str">
        <f>_xlfn.IFNA(VLOOKUP(Master_Reference[[#This Row],[C-Flex 5000K Eco Part Number]],Lutron_CFlex_Lookup[],MATCH("Lutron Kit PN",Lutron_CFlex_Lookup[#Headers],0),FALSE),"")</f>
        <v/>
      </c>
      <c r="AJ699" s="1" t="str">
        <f>_xlfn.IFNA(VLOOKUP(Master_Reference[[#This Row],[C-Flex 3000K 3W Part Number]],Lutron_CFlex_Lookup[],MATCH("Lutron Kit PN",Lutron_CFlex_Lookup[#Headers],0),FALSE),"")</f>
        <v/>
      </c>
      <c r="AK699" s="1" t="str">
        <f>_xlfn.IFNA(VLOOKUP(Master_Reference[[#This Row],[C-Flex 3500K 3W Part Number]],Lutron_CFlex_Lookup[],MATCH("Lutron Kit PN",Lutron_CFlex_Lookup[#Headers],0),FALSE),"")</f>
        <v/>
      </c>
      <c r="AL699" s="1" t="str">
        <f>_xlfn.IFNA(VLOOKUP(Master_Reference[[#This Row],[C-Flex 4000K 3W Part Number]],Lutron_CFlex_Lookup[],MATCH("Lutron Kit PN",Lutron_CFlex_Lookup[#Headers],0),FALSE),"")</f>
        <v/>
      </c>
      <c r="AM699" s="1" t="str">
        <f>_xlfn.IFNA(VLOOKUP(Master_Reference[[#This Row],[C-Flex 5000K 3W Part Number]],Lutron_CFlex_Lookup[],MATCH("Lutron Kit PN",Lutron_CFlex_Lookup[#Headers],0),FALSE),"")</f>
        <v/>
      </c>
      <c r="AN699" s="1" t="b">
        <f>NOT(ISNA(VLOOKUP(Master_Reference[[#This Row],[Model Number]],ObsoleteModels[],1,FALSE)))</f>
        <v>1</v>
      </c>
      <c r="AO699" s="1" t="str">
        <f>IF(LEFT(Master_Reference[[#This Row],[Model Number]],1)="U",LEFT(Master_Reference[[#This Row],[Model Number]],4),LEFT(Master_Reference[[#This Row],[Model Number]],3))</f>
        <v>FDB</v>
      </c>
    </row>
    <row r="700" spans="1:41" x14ac:dyDescent="0.25">
      <c r="A700" s="2" t="s">
        <v>998</v>
      </c>
      <c r="B700" s="1"/>
      <c r="C700" s="1" t="b">
        <v>1</v>
      </c>
      <c r="G700" s="1" t="str">
        <f>IF(OR(LEFT(RIGHT(Master_Reference[[#This Row],[Model Number]],3),1)="C",LEFT(RIGHT(Master_Reference[[#This Row],[Model Number]],4),1)="C"),TRUE,"")</f>
        <v/>
      </c>
      <c r="H700" s="1" t="str">
        <f>IF(LEFT(Master_Reference[[#This Row],[Model Number]],1)="U",TRUE,"")</f>
        <v/>
      </c>
      <c r="I700" s="1" t="str">
        <f>IF(Master_Reference[[#This Row],[Lamp Type]]="T4","",IF(Master_Reference[[#This Row],[Case Type]]="M","",TRUE))</f>
        <v/>
      </c>
      <c r="J700" s="1" t="s">
        <v>87</v>
      </c>
      <c r="K700" s="1">
        <v>32</v>
      </c>
      <c r="L700" s="1" t="s">
        <v>88</v>
      </c>
      <c r="M700" s="1">
        <v>2</v>
      </c>
      <c r="N700" s="1">
        <v>120</v>
      </c>
      <c r="O700" s="1" t="s">
        <v>106</v>
      </c>
      <c r="P700" s="1" t="b">
        <v>1</v>
      </c>
      <c r="R700" t="b">
        <f>IF(COUNTBLANK(Master_Reference[[#This Row],[C-Flex 3000K Eco Part Number]:[C-Flex 4000K Eco Part Number]])=3,FALSE,TRUE)</f>
        <v>0</v>
      </c>
      <c r="S700" t="b">
        <f>IF(COUNTBLANK(Master_Reference[[#This Row],[C-Flex 3000K 3W Part Number]:[C-Flex 4000K 3W Part Number]])=3,FALSE,TRUE)</f>
        <v>1</v>
      </c>
      <c r="T700" t="b">
        <f>IF(COUNTBLANK(Master_Reference[[#This Row],[Lutron 3000K Eco Part Number]:[Lutron 4000K Eco Part Number]])=3,FALSE,TRUE)</f>
        <v>0</v>
      </c>
      <c r="U700" t="b">
        <f>IF(COUNTBLANK(Master_Reference[[#This Row],[Lutron 3000K 3W Part Number]:[Lutron 4000K 3W Part Number]])=3,FALSE,TRUE)</f>
        <v>0</v>
      </c>
      <c r="V700" s="12"/>
      <c r="W700" s="12"/>
      <c r="X700" s="12"/>
      <c r="Y700" t="s">
        <v>2125</v>
      </c>
      <c r="Z700" s="12" t="s">
        <v>2274</v>
      </c>
      <c r="AA700" s="12" t="s">
        <v>2275</v>
      </c>
      <c r="AB700" s="12" t="s">
        <v>2276</v>
      </c>
      <c r="AC700" t="s">
        <v>2125</v>
      </c>
      <c r="AD700" t="str">
        <f>SUBSTITUTE(Master_Reference[[#This Row],[C-Flex 4000K Eco Part Number]],"40-","xx-")</f>
        <v/>
      </c>
      <c r="AE700" t="str">
        <f>SUBSTITUTE(Master_Reference[[#This Row],[C-Flex 4000K 3W Part Number]],"40-","xx-")</f>
        <v>RP-G24Q-232m-1L-8xx-3W-K-G2</v>
      </c>
      <c r="AF700" s="1" t="str">
        <f>_xlfn.IFNA(VLOOKUP(Master_Reference[[#This Row],[C-Flex 3000K Eco Part Number]],Lutron_CFlex_Lookup[],MATCH("Lutron Kit PN",Lutron_CFlex_Lookup[#Headers],0),FALSE),"")</f>
        <v/>
      </c>
      <c r="AG700" s="1" t="str">
        <f>_xlfn.IFNA(VLOOKUP(Master_Reference[[#This Row],[C-Flex 3500K Eco Part Number]],Lutron_CFlex_Lookup[],MATCH("Lutron Kit PN",Lutron_CFlex_Lookup[#Headers],0),FALSE),"")</f>
        <v/>
      </c>
      <c r="AH700" s="1" t="str">
        <f>_xlfn.IFNA(VLOOKUP(Master_Reference[[#This Row],[C-Flex 4000K Eco Part Number]],Lutron_CFlex_Lookup[],MATCH("Lutron Kit PN",Lutron_CFlex_Lookup[#Headers],0),FALSE),"")</f>
        <v/>
      </c>
      <c r="AI700" s="1" t="str">
        <f>_xlfn.IFNA(VLOOKUP(Master_Reference[[#This Row],[C-Flex 5000K Eco Part Number]],Lutron_CFlex_Lookup[],MATCH("Lutron Kit PN",Lutron_CFlex_Lookup[#Headers],0),FALSE),"")</f>
        <v/>
      </c>
      <c r="AJ700" s="1" t="str">
        <f>_xlfn.IFNA(VLOOKUP(Master_Reference[[#This Row],[C-Flex 3000K 3W Part Number]],Lutron_CFlex_Lookup[],MATCH("Lutron Kit PN",Lutron_CFlex_Lookup[#Headers],0),FALSE),"")</f>
        <v/>
      </c>
      <c r="AK700" s="1" t="str">
        <f>_xlfn.IFNA(VLOOKUP(Master_Reference[[#This Row],[C-Flex 3500K 3W Part Number]],Lutron_CFlex_Lookup[],MATCH("Lutron Kit PN",Lutron_CFlex_Lookup[#Headers],0),FALSE),"")</f>
        <v/>
      </c>
      <c r="AL700" s="1" t="str">
        <f>_xlfn.IFNA(VLOOKUP(Master_Reference[[#This Row],[C-Flex 4000K 3W Part Number]],Lutron_CFlex_Lookup[],MATCH("Lutron Kit PN",Lutron_CFlex_Lookup[#Headers],0),FALSE),"")</f>
        <v/>
      </c>
      <c r="AM700" s="1" t="str">
        <f>_xlfn.IFNA(VLOOKUP(Master_Reference[[#This Row],[C-Flex 5000K 3W Part Number]],Lutron_CFlex_Lookup[],MATCH("Lutron Kit PN",Lutron_CFlex_Lookup[#Headers],0),FALSE),"")</f>
        <v/>
      </c>
      <c r="AN700" s="1" t="b">
        <f>NOT(ISNA(VLOOKUP(Master_Reference[[#This Row],[Model Number]],ObsoleteModels[],1,FALSE)))</f>
        <v>1</v>
      </c>
      <c r="AO700" s="1" t="str">
        <f>IF(LEFT(Master_Reference[[#This Row],[Model Number]],1)="U",LEFT(Master_Reference[[#This Row],[Model Number]],4),LEFT(Master_Reference[[#This Row],[Model Number]],3))</f>
        <v>FDB</v>
      </c>
    </row>
    <row r="701" spans="1:41" x14ac:dyDescent="0.25">
      <c r="A701" s="2" t="s">
        <v>1002</v>
      </c>
      <c r="B701" s="1"/>
      <c r="C701" s="1" t="b">
        <v>1</v>
      </c>
      <c r="G701" s="1" t="str">
        <f>IF(OR(LEFT(RIGHT(Master_Reference[[#This Row],[Model Number]],3),1)="C",LEFT(RIGHT(Master_Reference[[#This Row],[Model Number]],4),1)="C"),TRUE,"")</f>
        <v/>
      </c>
      <c r="H701" s="1" t="str">
        <f>IF(LEFT(Master_Reference[[#This Row],[Model Number]],1)="U",TRUE,"")</f>
        <v/>
      </c>
      <c r="I701" s="1" t="str">
        <f>IF(Master_Reference[[#This Row],[Lamp Type]]="T4","",IF(Master_Reference[[#This Row],[Case Type]]="M","",TRUE))</f>
        <v/>
      </c>
      <c r="J701" s="1" t="s">
        <v>87</v>
      </c>
      <c r="K701" s="1">
        <v>32</v>
      </c>
      <c r="L701" s="1" t="s">
        <v>88</v>
      </c>
      <c r="M701" s="1">
        <v>2</v>
      </c>
      <c r="N701" s="1">
        <v>120</v>
      </c>
      <c r="O701" s="1" t="s">
        <v>106</v>
      </c>
      <c r="P701" s="1" t="b">
        <v>1</v>
      </c>
      <c r="Q701" s="1" t="s">
        <v>91</v>
      </c>
      <c r="R701" t="b">
        <f>IF(COUNTBLANK(Master_Reference[[#This Row],[C-Flex 3000K Eco Part Number]:[C-Flex 4000K Eco Part Number]])=3,FALSE,TRUE)</f>
        <v>0</v>
      </c>
      <c r="S701" t="b">
        <f>IF(COUNTBLANK(Master_Reference[[#This Row],[C-Flex 3000K 3W Part Number]:[C-Flex 4000K 3W Part Number]])=3,FALSE,TRUE)</f>
        <v>0</v>
      </c>
      <c r="T701" t="b">
        <f>IF(COUNTBLANK(Master_Reference[[#This Row],[Lutron 3000K Eco Part Number]:[Lutron 4000K Eco Part Number]])=3,FALSE,TRUE)</f>
        <v>0</v>
      </c>
      <c r="U701" t="b">
        <f>IF(COUNTBLANK(Master_Reference[[#This Row],[Lutron 3000K 3W Part Number]:[Lutron 4000K 3W Part Number]])=3,FALSE,TRUE)</f>
        <v>0</v>
      </c>
      <c r="V701" s="12"/>
      <c r="W701" s="12"/>
      <c r="X701" s="12"/>
      <c r="Y701" t="s">
        <v>2125</v>
      </c>
      <c r="Z701" s="12"/>
      <c r="AA701" s="12"/>
      <c r="AB701" s="12"/>
      <c r="AC701" t="s">
        <v>2125</v>
      </c>
      <c r="AD701" t="str">
        <f>SUBSTITUTE(Master_Reference[[#This Row],[C-Flex 4000K Eco Part Number]],"40-","xx-")</f>
        <v/>
      </c>
      <c r="AE701" t="str">
        <f>SUBSTITUTE(Master_Reference[[#This Row],[C-Flex 4000K 3W Part Number]],"40-","xx-")</f>
        <v/>
      </c>
      <c r="AF701" s="1" t="str">
        <f>_xlfn.IFNA(VLOOKUP(Master_Reference[[#This Row],[C-Flex 3000K Eco Part Number]],Lutron_CFlex_Lookup[],MATCH("Lutron Kit PN",Lutron_CFlex_Lookup[#Headers],0),FALSE),"")</f>
        <v/>
      </c>
      <c r="AG701" s="1" t="str">
        <f>_xlfn.IFNA(VLOOKUP(Master_Reference[[#This Row],[C-Flex 3500K Eco Part Number]],Lutron_CFlex_Lookup[],MATCH("Lutron Kit PN",Lutron_CFlex_Lookup[#Headers],0),FALSE),"")</f>
        <v/>
      </c>
      <c r="AH701" s="1" t="str">
        <f>_xlfn.IFNA(VLOOKUP(Master_Reference[[#This Row],[C-Flex 4000K Eco Part Number]],Lutron_CFlex_Lookup[],MATCH("Lutron Kit PN",Lutron_CFlex_Lookup[#Headers],0),FALSE),"")</f>
        <v/>
      </c>
      <c r="AI701" s="1" t="str">
        <f>_xlfn.IFNA(VLOOKUP(Master_Reference[[#This Row],[C-Flex 5000K Eco Part Number]],Lutron_CFlex_Lookup[],MATCH("Lutron Kit PN",Lutron_CFlex_Lookup[#Headers],0),FALSE),"")</f>
        <v/>
      </c>
      <c r="AJ701" s="1" t="str">
        <f>_xlfn.IFNA(VLOOKUP(Master_Reference[[#This Row],[C-Flex 3000K 3W Part Number]],Lutron_CFlex_Lookup[],MATCH("Lutron Kit PN",Lutron_CFlex_Lookup[#Headers],0),FALSE),"")</f>
        <v/>
      </c>
      <c r="AK701" s="1" t="str">
        <f>_xlfn.IFNA(VLOOKUP(Master_Reference[[#This Row],[C-Flex 3500K 3W Part Number]],Lutron_CFlex_Lookup[],MATCH("Lutron Kit PN",Lutron_CFlex_Lookup[#Headers],0),FALSE),"")</f>
        <v/>
      </c>
      <c r="AL701" s="1" t="str">
        <f>_xlfn.IFNA(VLOOKUP(Master_Reference[[#This Row],[C-Flex 4000K 3W Part Number]],Lutron_CFlex_Lookup[],MATCH("Lutron Kit PN",Lutron_CFlex_Lookup[#Headers],0),FALSE),"")</f>
        <v/>
      </c>
      <c r="AM701" s="1" t="str">
        <f>_xlfn.IFNA(VLOOKUP(Master_Reference[[#This Row],[C-Flex 5000K 3W Part Number]],Lutron_CFlex_Lookup[],MATCH("Lutron Kit PN",Lutron_CFlex_Lookup[#Headers],0),FALSE),"")</f>
        <v/>
      </c>
      <c r="AN701" s="1" t="b">
        <f>NOT(ISNA(VLOOKUP(Master_Reference[[#This Row],[Model Number]],ObsoleteModels[],1,FALSE)))</f>
        <v>1</v>
      </c>
      <c r="AO701" s="1" t="str">
        <f>IF(LEFT(Master_Reference[[#This Row],[Model Number]],1)="U",LEFT(Master_Reference[[#This Row],[Model Number]],4),LEFT(Master_Reference[[#This Row],[Model Number]],3))</f>
        <v>FDB</v>
      </c>
    </row>
    <row r="702" spans="1:41" x14ac:dyDescent="0.25">
      <c r="A702" s="2" t="s">
        <v>1003</v>
      </c>
      <c r="B702" s="1"/>
      <c r="C702" s="1" t="b">
        <v>1</v>
      </c>
      <c r="G702" s="1" t="str">
        <f>IF(OR(LEFT(RIGHT(Master_Reference[[#This Row],[Model Number]],3),1)="C",LEFT(RIGHT(Master_Reference[[#This Row],[Model Number]],4),1)="C"),TRUE,"")</f>
        <v/>
      </c>
      <c r="H702" s="1" t="str">
        <f>IF(LEFT(Master_Reference[[#This Row],[Model Number]],1)="U",TRUE,"")</f>
        <v/>
      </c>
      <c r="I702" s="1" t="str">
        <f>IF(Master_Reference[[#This Row],[Lamp Type]]="T4","",IF(Master_Reference[[#This Row],[Case Type]]="M","",TRUE))</f>
        <v/>
      </c>
      <c r="J702" s="1" t="s">
        <v>87</v>
      </c>
      <c r="K702" s="1">
        <v>32</v>
      </c>
      <c r="L702" s="1" t="s">
        <v>88</v>
      </c>
      <c r="M702" s="1">
        <v>1</v>
      </c>
      <c r="N702" s="1">
        <v>277</v>
      </c>
      <c r="O702" s="1" t="s">
        <v>89</v>
      </c>
      <c r="R702" t="b">
        <f>IF(COUNTBLANK(Master_Reference[[#This Row],[C-Flex 3000K Eco Part Number]:[C-Flex 4000K Eco Part Number]])=3,FALSE,TRUE)</f>
        <v>0</v>
      </c>
      <c r="S702" t="b">
        <f>IF(COUNTBLANK(Master_Reference[[#This Row],[C-Flex 3000K 3W Part Number]:[C-Flex 4000K 3W Part Number]])=3,FALSE,TRUE)</f>
        <v>1</v>
      </c>
      <c r="T702" t="b">
        <f>IF(COUNTBLANK(Master_Reference[[#This Row],[Lutron 3000K Eco Part Number]:[Lutron 4000K Eco Part Number]])=3,FALSE,TRUE)</f>
        <v>0</v>
      </c>
      <c r="U702" t="b">
        <f>IF(COUNTBLANK(Master_Reference[[#This Row],[Lutron 3000K 3W Part Number]:[Lutron 4000K 3W Part Number]])=3,FALSE,TRUE)</f>
        <v>0</v>
      </c>
      <c r="V702" s="12"/>
      <c r="W702" s="12"/>
      <c r="X702" s="12"/>
      <c r="Y702" t="s">
        <v>2125</v>
      </c>
      <c r="Z702" s="12" t="s">
        <v>952</v>
      </c>
      <c r="AA702" s="12" t="s">
        <v>953</v>
      </c>
      <c r="AB702" s="12" t="s">
        <v>954</v>
      </c>
      <c r="AC702" t="s">
        <v>2125</v>
      </c>
      <c r="AD702" t="str">
        <f>SUBSTITUTE(Master_Reference[[#This Row],[C-Flex 4000K Eco Part Number]],"40-","xx-")</f>
        <v/>
      </c>
      <c r="AE702" t="str">
        <f>SUBSTITUTE(Master_Reference[[#This Row],[C-Flex 4000K 3W Part Number]],"40-","xx-")</f>
        <v>RP-G24Q-132m-1L-8xx-3W-KN-G2</v>
      </c>
      <c r="AF702" s="1" t="str">
        <f>_xlfn.IFNA(VLOOKUP(Master_Reference[[#This Row],[C-Flex 3000K Eco Part Number]],Lutron_CFlex_Lookup[],MATCH("Lutron Kit PN",Lutron_CFlex_Lookup[#Headers],0),FALSE),"")</f>
        <v/>
      </c>
      <c r="AG702" s="1" t="str">
        <f>_xlfn.IFNA(VLOOKUP(Master_Reference[[#This Row],[C-Flex 3500K Eco Part Number]],Lutron_CFlex_Lookup[],MATCH("Lutron Kit PN",Lutron_CFlex_Lookup[#Headers],0),FALSE),"")</f>
        <v/>
      </c>
      <c r="AH702" s="1" t="str">
        <f>_xlfn.IFNA(VLOOKUP(Master_Reference[[#This Row],[C-Flex 4000K Eco Part Number]],Lutron_CFlex_Lookup[],MATCH("Lutron Kit PN",Lutron_CFlex_Lookup[#Headers],0),FALSE),"")</f>
        <v/>
      </c>
      <c r="AI702" s="1" t="str">
        <f>_xlfn.IFNA(VLOOKUP(Master_Reference[[#This Row],[C-Flex 5000K Eco Part Number]],Lutron_CFlex_Lookup[],MATCH("Lutron Kit PN",Lutron_CFlex_Lookup[#Headers],0),FALSE),"")</f>
        <v/>
      </c>
      <c r="AJ702" s="1" t="str">
        <f>_xlfn.IFNA(VLOOKUP(Master_Reference[[#This Row],[C-Flex 3000K 3W Part Number]],Lutron_CFlex_Lookup[],MATCH("Lutron Kit PN",Lutron_CFlex_Lookup[#Headers],0),FALSE),"")</f>
        <v/>
      </c>
      <c r="AK702" s="1" t="str">
        <f>_xlfn.IFNA(VLOOKUP(Master_Reference[[#This Row],[C-Flex 3500K 3W Part Number]],Lutron_CFlex_Lookup[],MATCH("Lutron Kit PN",Lutron_CFlex_Lookup[#Headers],0),FALSE),"")</f>
        <v/>
      </c>
      <c r="AL702" s="1" t="str">
        <f>_xlfn.IFNA(VLOOKUP(Master_Reference[[#This Row],[C-Flex 4000K 3W Part Number]],Lutron_CFlex_Lookup[],MATCH("Lutron Kit PN",Lutron_CFlex_Lookup[#Headers],0),FALSE),"")</f>
        <v/>
      </c>
      <c r="AM702" s="1" t="str">
        <f>_xlfn.IFNA(VLOOKUP(Master_Reference[[#This Row],[C-Flex 5000K 3W Part Number]],Lutron_CFlex_Lookup[],MATCH("Lutron Kit PN",Lutron_CFlex_Lookup[#Headers],0),FALSE),"")</f>
        <v/>
      </c>
      <c r="AN702" s="1" t="b">
        <f>NOT(ISNA(VLOOKUP(Master_Reference[[#This Row],[Model Number]],ObsoleteModels[],1,FALSE)))</f>
        <v>1</v>
      </c>
      <c r="AO702" s="1" t="str">
        <f>IF(LEFT(Master_Reference[[#This Row],[Model Number]],1)="U",LEFT(Master_Reference[[#This Row],[Model Number]],4),LEFT(Master_Reference[[#This Row],[Model Number]],3))</f>
        <v>FDB</v>
      </c>
    </row>
    <row r="703" spans="1:41" x14ac:dyDescent="0.25">
      <c r="A703" s="2" t="s">
        <v>1004</v>
      </c>
      <c r="B703" s="1"/>
      <c r="C703" s="1" t="b">
        <v>1</v>
      </c>
      <c r="G703" s="1" t="str">
        <f>IF(OR(LEFT(RIGHT(Master_Reference[[#This Row],[Model Number]],3),1)="C",LEFT(RIGHT(Master_Reference[[#This Row],[Model Number]],4),1)="C"),TRUE,"")</f>
        <v/>
      </c>
      <c r="H703" s="1" t="str">
        <f>IF(LEFT(Master_Reference[[#This Row],[Model Number]],1)="U",TRUE,"")</f>
        <v/>
      </c>
      <c r="I703" s="1" t="str">
        <f>IF(Master_Reference[[#This Row],[Lamp Type]]="T4","",IF(Master_Reference[[#This Row],[Case Type]]="M","",TRUE))</f>
        <v/>
      </c>
      <c r="J703" s="1" t="s">
        <v>87</v>
      </c>
      <c r="K703" s="1">
        <v>32</v>
      </c>
      <c r="L703" s="1" t="s">
        <v>88</v>
      </c>
      <c r="M703" s="1">
        <v>1</v>
      </c>
      <c r="N703" s="1">
        <v>277</v>
      </c>
      <c r="O703" s="1" t="s">
        <v>89</v>
      </c>
      <c r="P703" s="1" t="b">
        <v>1</v>
      </c>
      <c r="R703" t="b">
        <f>IF(COUNTBLANK(Master_Reference[[#This Row],[C-Flex 3000K Eco Part Number]:[C-Flex 4000K Eco Part Number]])=3,FALSE,TRUE)</f>
        <v>0</v>
      </c>
      <c r="S703" t="b">
        <f>IF(COUNTBLANK(Master_Reference[[#This Row],[C-Flex 3000K 3W Part Number]:[C-Flex 4000K 3W Part Number]])=3,FALSE,TRUE)</f>
        <v>1</v>
      </c>
      <c r="T703" t="b">
        <f>IF(COUNTBLANK(Master_Reference[[#This Row],[Lutron 3000K Eco Part Number]:[Lutron 4000K Eco Part Number]])=3,FALSE,TRUE)</f>
        <v>0</v>
      </c>
      <c r="U703" t="b">
        <f>IF(COUNTBLANK(Master_Reference[[#This Row],[Lutron 3000K 3W Part Number]:[Lutron 4000K 3W Part Number]])=3,FALSE,TRUE)</f>
        <v>0</v>
      </c>
      <c r="V703" s="12"/>
      <c r="W703" s="12"/>
      <c r="X703" s="12"/>
      <c r="Y703" t="s">
        <v>2125</v>
      </c>
      <c r="Z703" s="12" t="s">
        <v>948</v>
      </c>
      <c r="AA703" s="12" t="s">
        <v>949</v>
      </c>
      <c r="AB703" s="12" t="s">
        <v>950</v>
      </c>
      <c r="AC703" t="s">
        <v>2125</v>
      </c>
      <c r="AD703" t="str">
        <f>SUBSTITUTE(Master_Reference[[#This Row],[C-Flex 4000K Eco Part Number]],"40-","xx-")</f>
        <v/>
      </c>
      <c r="AE703" t="str">
        <f>SUBSTITUTE(Master_Reference[[#This Row],[C-Flex 4000K 3W Part Number]],"40-","xx-")</f>
        <v>RP-G24Q-132m-1L-8xx-3W-K-G2</v>
      </c>
      <c r="AF703" s="1" t="str">
        <f>_xlfn.IFNA(VLOOKUP(Master_Reference[[#This Row],[C-Flex 3000K Eco Part Number]],Lutron_CFlex_Lookup[],MATCH("Lutron Kit PN",Lutron_CFlex_Lookup[#Headers],0),FALSE),"")</f>
        <v/>
      </c>
      <c r="AG703" s="1" t="str">
        <f>_xlfn.IFNA(VLOOKUP(Master_Reference[[#This Row],[C-Flex 3500K Eco Part Number]],Lutron_CFlex_Lookup[],MATCH("Lutron Kit PN",Lutron_CFlex_Lookup[#Headers],0),FALSE),"")</f>
        <v/>
      </c>
      <c r="AH703" s="1" t="str">
        <f>_xlfn.IFNA(VLOOKUP(Master_Reference[[#This Row],[C-Flex 4000K Eco Part Number]],Lutron_CFlex_Lookup[],MATCH("Lutron Kit PN",Lutron_CFlex_Lookup[#Headers],0),FALSE),"")</f>
        <v/>
      </c>
      <c r="AI703" s="1" t="str">
        <f>_xlfn.IFNA(VLOOKUP(Master_Reference[[#This Row],[C-Flex 5000K Eco Part Number]],Lutron_CFlex_Lookup[],MATCH("Lutron Kit PN",Lutron_CFlex_Lookup[#Headers],0),FALSE),"")</f>
        <v/>
      </c>
      <c r="AJ703" s="1" t="str">
        <f>_xlfn.IFNA(VLOOKUP(Master_Reference[[#This Row],[C-Flex 3000K 3W Part Number]],Lutron_CFlex_Lookup[],MATCH("Lutron Kit PN",Lutron_CFlex_Lookup[#Headers],0),FALSE),"")</f>
        <v/>
      </c>
      <c r="AK703" s="1" t="str">
        <f>_xlfn.IFNA(VLOOKUP(Master_Reference[[#This Row],[C-Flex 3500K 3W Part Number]],Lutron_CFlex_Lookup[],MATCH("Lutron Kit PN",Lutron_CFlex_Lookup[#Headers],0),FALSE),"")</f>
        <v/>
      </c>
      <c r="AL703" s="1" t="str">
        <f>_xlfn.IFNA(VLOOKUP(Master_Reference[[#This Row],[C-Flex 4000K 3W Part Number]],Lutron_CFlex_Lookup[],MATCH("Lutron Kit PN",Lutron_CFlex_Lookup[#Headers],0),FALSE),"")</f>
        <v/>
      </c>
      <c r="AM703" s="1" t="str">
        <f>_xlfn.IFNA(VLOOKUP(Master_Reference[[#This Row],[C-Flex 5000K 3W Part Number]],Lutron_CFlex_Lookup[],MATCH("Lutron Kit PN",Lutron_CFlex_Lookup[#Headers],0),FALSE),"")</f>
        <v/>
      </c>
      <c r="AN703" s="1" t="b">
        <f>NOT(ISNA(VLOOKUP(Master_Reference[[#This Row],[Model Number]],ObsoleteModels[],1,FALSE)))</f>
        <v>1</v>
      </c>
      <c r="AO703" s="1" t="str">
        <f>IF(LEFT(Master_Reference[[#This Row],[Model Number]],1)="U",LEFT(Master_Reference[[#This Row],[Model Number]],4),LEFT(Master_Reference[[#This Row],[Model Number]],3))</f>
        <v>FDB</v>
      </c>
    </row>
    <row r="704" spans="1:41" x14ac:dyDescent="0.25">
      <c r="A704" s="2" t="s">
        <v>1005</v>
      </c>
      <c r="B704" s="1"/>
      <c r="C704" s="1" t="b">
        <v>1</v>
      </c>
      <c r="G704" s="1" t="str">
        <f>IF(OR(LEFT(RIGHT(Master_Reference[[#This Row],[Model Number]],3),1)="C",LEFT(RIGHT(Master_Reference[[#This Row],[Model Number]],4),1)="C"),TRUE,"")</f>
        <v/>
      </c>
      <c r="H704" s="1" t="str">
        <f>IF(LEFT(Master_Reference[[#This Row],[Model Number]],1)="U",TRUE,"")</f>
        <v/>
      </c>
      <c r="I704" s="1" t="str">
        <f>IF(Master_Reference[[#This Row],[Lamp Type]]="T4","",IF(Master_Reference[[#This Row],[Case Type]]="M","",TRUE))</f>
        <v/>
      </c>
      <c r="J704" s="1" t="s">
        <v>87</v>
      </c>
      <c r="K704" s="1">
        <v>32</v>
      </c>
      <c r="L704" s="1" t="s">
        <v>88</v>
      </c>
      <c r="M704" s="1">
        <v>2</v>
      </c>
      <c r="N704" s="1">
        <v>277</v>
      </c>
      <c r="O704" s="1" t="s">
        <v>106</v>
      </c>
      <c r="R704" t="b">
        <f>IF(COUNTBLANK(Master_Reference[[#This Row],[C-Flex 3000K Eco Part Number]:[C-Flex 4000K Eco Part Number]])=3,FALSE,TRUE)</f>
        <v>0</v>
      </c>
      <c r="S704" t="b">
        <f>IF(COUNTBLANK(Master_Reference[[#This Row],[C-Flex 3000K 3W Part Number]:[C-Flex 4000K 3W Part Number]])=3,FALSE,TRUE)</f>
        <v>1</v>
      </c>
      <c r="T704" t="b">
        <f>IF(COUNTBLANK(Master_Reference[[#This Row],[Lutron 3000K Eco Part Number]:[Lutron 4000K Eco Part Number]])=3,FALSE,TRUE)</f>
        <v>0</v>
      </c>
      <c r="U704" t="b">
        <f>IF(COUNTBLANK(Master_Reference[[#This Row],[Lutron 3000K 3W Part Number]:[Lutron 4000K 3W Part Number]])=3,FALSE,TRUE)</f>
        <v>0</v>
      </c>
      <c r="V704" s="12"/>
      <c r="W704" s="12"/>
      <c r="X704" s="12"/>
      <c r="Y704" t="s">
        <v>2125</v>
      </c>
      <c r="Z704" s="12" t="s">
        <v>2271</v>
      </c>
      <c r="AA704" s="12" t="s">
        <v>2272</v>
      </c>
      <c r="AB704" s="12" t="s">
        <v>2273</v>
      </c>
      <c r="AC704" t="s">
        <v>2125</v>
      </c>
      <c r="AD704" t="str">
        <f>SUBSTITUTE(Master_Reference[[#This Row],[C-Flex 4000K Eco Part Number]],"40-","xx-")</f>
        <v/>
      </c>
      <c r="AE704" t="str">
        <f>SUBSTITUTE(Master_Reference[[#This Row],[C-Flex 4000K 3W Part Number]],"40-","xx-")</f>
        <v>RP-G24Q-232m-1L-8xx-3W-KN-G2</v>
      </c>
      <c r="AF704" s="1" t="str">
        <f>_xlfn.IFNA(VLOOKUP(Master_Reference[[#This Row],[C-Flex 3000K Eco Part Number]],Lutron_CFlex_Lookup[],MATCH("Lutron Kit PN",Lutron_CFlex_Lookup[#Headers],0),FALSE),"")</f>
        <v/>
      </c>
      <c r="AG704" s="1" t="str">
        <f>_xlfn.IFNA(VLOOKUP(Master_Reference[[#This Row],[C-Flex 3500K Eco Part Number]],Lutron_CFlex_Lookup[],MATCH("Lutron Kit PN",Lutron_CFlex_Lookup[#Headers],0),FALSE),"")</f>
        <v/>
      </c>
      <c r="AH704" s="1" t="str">
        <f>_xlfn.IFNA(VLOOKUP(Master_Reference[[#This Row],[C-Flex 4000K Eco Part Number]],Lutron_CFlex_Lookup[],MATCH("Lutron Kit PN",Lutron_CFlex_Lookup[#Headers],0),FALSE),"")</f>
        <v/>
      </c>
      <c r="AI704" s="1" t="str">
        <f>_xlfn.IFNA(VLOOKUP(Master_Reference[[#This Row],[C-Flex 5000K Eco Part Number]],Lutron_CFlex_Lookup[],MATCH("Lutron Kit PN",Lutron_CFlex_Lookup[#Headers],0),FALSE),"")</f>
        <v/>
      </c>
      <c r="AJ704" s="1" t="str">
        <f>_xlfn.IFNA(VLOOKUP(Master_Reference[[#This Row],[C-Flex 3000K 3W Part Number]],Lutron_CFlex_Lookup[],MATCH("Lutron Kit PN",Lutron_CFlex_Lookup[#Headers],0),FALSE),"")</f>
        <v/>
      </c>
      <c r="AK704" s="1" t="str">
        <f>_xlfn.IFNA(VLOOKUP(Master_Reference[[#This Row],[C-Flex 3500K 3W Part Number]],Lutron_CFlex_Lookup[],MATCH("Lutron Kit PN",Lutron_CFlex_Lookup[#Headers],0),FALSE),"")</f>
        <v/>
      </c>
      <c r="AL704" s="1" t="str">
        <f>_xlfn.IFNA(VLOOKUP(Master_Reference[[#This Row],[C-Flex 4000K 3W Part Number]],Lutron_CFlex_Lookup[],MATCH("Lutron Kit PN",Lutron_CFlex_Lookup[#Headers],0),FALSE),"")</f>
        <v/>
      </c>
      <c r="AM704" s="1" t="str">
        <f>_xlfn.IFNA(VLOOKUP(Master_Reference[[#This Row],[C-Flex 5000K 3W Part Number]],Lutron_CFlex_Lookup[],MATCH("Lutron Kit PN",Lutron_CFlex_Lookup[#Headers],0),FALSE),"")</f>
        <v/>
      </c>
      <c r="AN704" s="1" t="b">
        <f>NOT(ISNA(VLOOKUP(Master_Reference[[#This Row],[Model Number]],ObsoleteModels[],1,FALSE)))</f>
        <v>1</v>
      </c>
      <c r="AO704" s="1" t="str">
        <f>IF(LEFT(Master_Reference[[#This Row],[Model Number]],1)="U",LEFT(Master_Reference[[#This Row],[Model Number]],4),LEFT(Master_Reference[[#This Row],[Model Number]],3))</f>
        <v>FDB</v>
      </c>
    </row>
    <row r="705" spans="1:41" x14ac:dyDescent="0.25">
      <c r="A705" s="2" t="s">
        <v>1006</v>
      </c>
      <c r="B705" s="1"/>
      <c r="C705" s="1" t="b">
        <v>1</v>
      </c>
      <c r="G705" s="1" t="str">
        <f>IF(OR(LEFT(RIGHT(Master_Reference[[#This Row],[Model Number]],3),1)="C",LEFT(RIGHT(Master_Reference[[#This Row],[Model Number]],4),1)="C"),TRUE,"")</f>
        <v/>
      </c>
      <c r="H705" s="1" t="str">
        <f>IF(LEFT(Master_Reference[[#This Row],[Model Number]],1)="U",TRUE,"")</f>
        <v/>
      </c>
      <c r="I705" s="1" t="str">
        <f>IF(Master_Reference[[#This Row],[Lamp Type]]="T4","",IF(Master_Reference[[#This Row],[Case Type]]="M","",TRUE))</f>
        <v/>
      </c>
      <c r="J705" s="1" t="s">
        <v>87</v>
      </c>
      <c r="K705" s="1">
        <v>32</v>
      </c>
      <c r="L705" s="1" t="s">
        <v>88</v>
      </c>
      <c r="M705" s="1">
        <v>2</v>
      </c>
      <c r="N705" s="1">
        <v>277</v>
      </c>
      <c r="O705" s="1" t="s">
        <v>106</v>
      </c>
      <c r="P705" s="1" t="b">
        <v>1</v>
      </c>
      <c r="R705" t="b">
        <f>IF(COUNTBLANK(Master_Reference[[#This Row],[C-Flex 3000K Eco Part Number]:[C-Flex 4000K Eco Part Number]])=3,FALSE,TRUE)</f>
        <v>0</v>
      </c>
      <c r="S705" t="b">
        <f>IF(COUNTBLANK(Master_Reference[[#This Row],[C-Flex 3000K 3W Part Number]:[C-Flex 4000K 3W Part Number]])=3,FALSE,TRUE)</f>
        <v>1</v>
      </c>
      <c r="T705" t="b">
        <f>IF(COUNTBLANK(Master_Reference[[#This Row],[Lutron 3000K Eco Part Number]:[Lutron 4000K Eco Part Number]])=3,FALSE,TRUE)</f>
        <v>0</v>
      </c>
      <c r="U705" t="b">
        <f>IF(COUNTBLANK(Master_Reference[[#This Row],[Lutron 3000K 3W Part Number]:[Lutron 4000K 3W Part Number]])=3,FALSE,TRUE)</f>
        <v>0</v>
      </c>
      <c r="V705" s="12"/>
      <c r="W705" s="12"/>
      <c r="X705" s="12"/>
      <c r="Y705" t="s">
        <v>2125</v>
      </c>
      <c r="Z705" s="12" t="s">
        <v>2274</v>
      </c>
      <c r="AA705" s="12" t="s">
        <v>2275</v>
      </c>
      <c r="AB705" s="12" t="s">
        <v>2276</v>
      </c>
      <c r="AC705" t="s">
        <v>2125</v>
      </c>
      <c r="AD705" t="str">
        <f>SUBSTITUTE(Master_Reference[[#This Row],[C-Flex 4000K Eco Part Number]],"40-","xx-")</f>
        <v/>
      </c>
      <c r="AE705" t="str">
        <f>SUBSTITUTE(Master_Reference[[#This Row],[C-Flex 4000K 3W Part Number]],"40-","xx-")</f>
        <v>RP-G24Q-232m-1L-8xx-3W-K-G2</v>
      </c>
      <c r="AF705" s="1" t="str">
        <f>_xlfn.IFNA(VLOOKUP(Master_Reference[[#This Row],[C-Flex 3000K Eco Part Number]],Lutron_CFlex_Lookup[],MATCH("Lutron Kit PN",Lutron_CFlex_Lookup[#Headers],0),FALSE),"")</f>
        <v/>
      </c>
      <c r="AG705" s="1" t="str">
        <f>_xlfn.IFNA(VLOOKUP(Master_Reference[[#This Row],[C-Flex 3500K Eco Part Number]],Lutron_CFlex_Lookup[],MATCH("Lutron Kit PN",Lutron_CFlex_Lookup[#Headers],0),FALSE),"")</f>
        <v/>
      </c>
      <c r="AH705" s="1" t="str">
        <f>_xlfn.IFNA(VLOOKUP(Master_Reference[[#This Row],[C-Flex 4000K Eco Part Number]],Lutron_CFlex_Lookup[],MATCH("Lutron Kit PN",Lutron_CFlex_Lookup[#Headers],0),FALSE),"")</f>
        <v/>
      </c>
      <c r="AI705" s="1" t="str">
        <f>_xlfn.IFNA(VLOOKUP(Master_Reference[[#This Row],[C-Flex 5000K Eco Part Number]],Lutron_CFlex_Lookup[],MATCH("Lutron Kit PN",Lutron_CFlex_Lookup[#Headers],0),FALSE),"")</f>
        <v/>
      </c>
      <c r="AJ705" s="1" t="str">
        <f>_xlfn.IFNA(VLOOKUP(Master_Reference[[#This Row],[C-Flex 3000K 3W Part Number]],Lutron_CFlex_Lookup[],MATCH("Lutron Kit PN",Lutron_CFlex_Lookup[#Headers],0),FALSE),"")</f>
        <v/>
      </c>
      <c r="AK705" s="1" t="str">
        <f>_xlfn.IFNA(VLOOKUP(Master_Reference[[#This Row],[C-Flex 3500K 3W Part Number]],Lutron_CFlex_Lookup[],MATCH("Lutron Kit PN",Lutron_CFlex_Lookup[#Headers],0),FALSE),"")</f>
        <v/>
      </c>
      <c r="AL705" s="1" t="str">
        <f>_xlfn.IFNA(VLOOKUP(Master_Reference[[#This Row],[C-Flex 4000K 3W Part Number]],Lutron_CFlex_Lookup[],MATCH("Lutron Kit PN",Lutron_CFlex_Lookup[#Headers],0),FALSE),"")</f>
        <v/>
      </c>
      <c r="AM705" s="1" t="str">
        <f>_xlfn.IFNA(VLOOKUP(Master_Reference[[#This Row],[C-Flex 5000K 3W Part Number]],Lutron_CFlex_Lookup[],MATCH("Lutron Kit PN",Lutron_CFlex_Lookup[#Headers],0),FALSE),"")</f>
        <v/>
      </c>
      <c r="AN705" s="1" t="b">
        <f>NOT(ISNA(VLOOKUP(Master_Reference[[#This Row],[Model Number]],ObsoleteModels[],1,FALSE)))</f>
        <v>1</v>
      </c>
      <c r="AO705" s="1" t="str">
        <f>IF(LEFT(Master_Reference[[#This Row],[Model Number]],1)="U",LEFT(Master_Reference[[#This Row],[Model Number]],4),LEFT(Master_Reference[[#This Row],[Model Number]],3))</f>
        <v>FDB</v>
      </c>
    </row>
    <row r="706" spans="1:41" x14ac:dyDescent="0.25">
      <c r="A706" s="2" t="s">
        <v>1007</v>
      </c>
      <c r="B706" s="1"/>
      <c r="C706" s="1" t="b">
        <v>1</v>
      </c>
      <c r="G706" s="1" t="str">
        <f>IF(OR(LEFT(RIGHT(Master_Reference[[#This Row],[Model Number]],3),1)="C",LEFT(RIGHT(Master_Reference[[#This Row],[Model Number]],4),1)="C"),TRUE,"")</f>
        <v/>
      </c>
      <c r="H706" s="1" t="str">
        <f>IF(LEFT(Master_Reference[[#This Row],[Model Number]],1)="U",TRUE,"")</f>
        <v/>
      </c>
      <c r="I706" s="1" t="str">
        <f>IF(Master_Reference[[#This Row],[Lamp Type]]="T4","",IF(Master_Reference[[#This Row],[Case Type]]="M","",TRUE))</f>
        <v/>
      </c>
      <c r="J706" s="1" t="s">
        <v>87</v>
      </c>
      <c r="K706" s="1">
        <v>42</v>
      </c>
      <c r="L706" s="1" t="s">
        <v>88</v>
      </c>
      <c r="M706" s="1">
        <v>1</v>
      </c>
      <c r="N706" s="1">
        <v>120</v>
      </c>
      <c r="O706" s="1" t="s">
        <v>89</v>
      </c>
      <c r="R706" t="b">
        <f>IF(COUNTBLANK(Master_Reference[[#This Row],[C-Flex 3000K Eco Part Number]:[C-Flex 4000K Eco Part Number]])=3,FALSE,TRUE)</f>
        <v>0</v>
      </c>
      <c r="S706" t="b">
        <f>IF(COUNTBLANK(Master_Reference[[#This Row],[C-Flex 3000K 3W Part Number]:[C-Flex 4000K 3W Part Number]])=3,FALSE,TRUE)</f>
        <v>1</v>
      </c>
      <c r="T706" t="b">
        <f>IF(COUNTBLANK(Master_Reference[[#This Row],[Lutron 3000K Eco Part Number]:[Lutron 4000K Eco Part Number]])=3,FALSE,TRUE)</f>
        <v>0</v>
      </c>
      <c r="U706" t="b">
        <f>IF(COUNTBLANK(Master_Reference[[#This Row],[Lutron 3000K 3W Part Number]:[Lutron 4000K 3W Part Number]])=3,FALSE,TRUE)</f>
        <v>0</v>
      </c>
      <c r="V706" s="12"/>
      <c r="W706" s="12"/>
      <c r="X706" s="12"/>
      <c r="Y706" t="s">
        <v>2125</v>
      </c>
      <c r="Z706" s="12" t="s">
        <v>171</v>
      </c>
      <c r="AA706" s="12" t="s">
        <v>172</v>
      </c>
      <c r="AB706" s="12" t="s">
        <v>173</v>
      </c>
      <c r="AC706" t="s">
        <v>2125</v>
      </c>
      <c r="AD706" t="str">
        <f>SUBSTITUTE(Master_Reference[[#This Row],[C-Flex 4000K Eco Part Number]],"40-","xx-")</f>
        <v/>
      </c>
      <c r="AE706" t="str">
        <f>SUBSTITUTE(Master_Reference[[#This Row],[C-Flex 4000K 3W Part Number]],"40-","xx-")</f>
        <v>RP-G24Q-142m-1L-8xx-3W-KN-G2</v>
      </c>
      <c r="AF706" s="1" t="str">
        <f>_xlfn.IFNA(VLOOKUP(Master_Reference[[#This Row],[C-Flex 3000K Eco Part Number]],Lutron_CFlex_Lookup[],MATCH("Lutron Kit PN",Lutron_CFlex_Lookup[#Headers],0),FALSE),"")</f>
        <v/>
      </c>
      <c r="AG706" s="1" t="str">
        <f>_xlfn.IFNA(VLOOKUP(Master_Reference[[#This Row],[C-Flex 3500K Eco Part Number]],Lutron_CFlex_Lookup[],MATCH("Lutron Kit PN",Lutron_CFlex_Lookup[#Headers],0),FALSE),"")</f>
        <v/>
      </c>
      <c r="AH706" s="1" t="str">
        <f>_xlfn.IFNA(VLOOKUP(Master_Reference[[#This Row],[C-Flex 4000K Eco Part Number]],Lutron_CFlex_Lookup[],MATCH("Lutron Kit PN",Lutron_CFlex_Lookup[#Headers],0),FALSE),"")</f>
        <v/>
      </c>
      <c r="AI706" s="1" t="str">
        <f>_xlfn.IFNA(VLOOKUP(Master_Reference[[#This Row],[C-Flex 5000K Eco Part Number]],Lutron_CFlex_Lookup[],MATCH("Lutron Kit PN",Lutron_CFlex_Lookup[#Headers],0),FALSE),"")</f>
        <v/>
      </c>
      <c r="AJ706" s="1" t="str">
        <f>_xlfn.IFNA(VLOOKUP(Master_Reference[[#This Row],[C-Flex 3000K 3W Part Number]],Lutron_CFlex_Lookup[],MATCH("Lutron Kit PN",Lutron_CFlex_Lookup[#Headers],0),FALSE),"")</f>
        <v/>
      </c>
      <c r="AK706" s="1" t="str">
        <f>_xlfn.IFNA(VLOOKUP(Master_Reference[[#This Row],[C-Flex 3500K 3W Part Number]],Lutron_CFlex_Lookup[],MATCH("Lutron Kit PN",Lutron_CFlex_Lookup[#Headers],0),FALSE),"")</f>
        <v/>
      </c>
      <c r="AL706" s="1" t="str">
        <f>_xlfn.IFNA(VLOOKUP(Master_Reference[[#This Row],[C-Flex 4000K 3W Part Number]],Lutron_CFlex_Lookup[],MATCH("Lutron Kit PN",Lutron_CFlex_Lookup[#Headers],0),FALSE),"")</f>
        <v/>
      </c>
      <c r="AM706" s="1" t="str">
        <f>_xlfn.IFNA(VLOOKUP(Master_Reference[[#This Row],[C-Flex 5000K 3W Part Number]],Lutron_CFlex_Lookup[],MATCH("Lutron Kit PN",Lutron_CFlex_Lookup[#Headers],0),FALSE),"")</f>
        <v/>
      </c>
      <c r="AN706" s="1" t="b">
        <f>NOT(ISNA(VLOOKUP(Master_Reference[[#This Row],[Model Number]],ObsoleteModels[],1,FALSE)))</f>
        <v>1</v>
      </c>
      <c r="AO706" s="1" t="str">
        <f>IF(LEFT(Master_Reference[[#This Row],[Model Number]],1)="U",LEFT(Master_Reference[[#This Row],[Model Number]],4),LEFT(Master_Reference[[#This Row],[Model Number]],3))</f>
        <v>FDB</v>
      </c>
    </row>
    <row r="707" spans="1:41" x14ac:dyDescent="0.25">
      <c r="A707" s="2" t="s">
        <v>1008</v>
      </c>
      <c r="B707" s="1"/>
      <c r="C707" s="1" t="b">
        <v>1</v>
      </c>
      <c r="G707" s="1" t="str">
        <f>IF(OR(LEFT(RIGHT(Master_Reference[[#This Row],[Model Number]],3),1)="C",LEFT(RIGHT(Master_Reference[[#This Row],[Model Number]],4),1)="C"),TRUE,"")</f>
        <v/>
      </c>
      <c r="H707" s="1" t="str">
        <f>IF(LEFT(Master_Reference[[#This Row],[Model Number]],1)="U",TRUE,"")</f>
        <v/>
      </c>
      <c r="I707" s="1" t="str">
        <f>IF(Master_Reference[[#This Row],[Lamp Type]]="T4","",IF(Master_Reference[[#This Row],[Case Type]]="M","",TRUE))</f>
        <v/>
      </c>
      <c r="J707" s="1" t="s">
        <v>87</v>
      </c>
      <c r="K707" s="1">
        <v>42</v>
      </c>
      <c r="L707" s="1" t="s">
        <v>88</v>
      </c>
      <c r="M707" s="1">
        <v>1</v>
      </c>
      <c r="N707" s="1">
        <v>120</v>
      </c>
      <c r="O707" s="1" t="s">
        <v>89</v>
      </c>
      <c r="Q707" s="1" t="s">
        <v>91</v>
      </c>
      <c r="R707" t="b">
        <f>IF(COUNTBLANK(Master_Reference[[#This Row],[C-Flex 3000K Eco Part Number]:[C-Flex 4000K Eco Part Number]])=3,FALSE,TRUE)</f>
        <v>0</v>
      </c>
      <c r="S707" t="b">
        <f>IF(COUNTBLANK(Master_Reference[[#This Row],[C-Flex 3000K 3W Part Number]:[C-Flex 4000K 3W Part Number]])=3,FALSE,TRUE)</f>
        <v>0</v>
      </c>
      <c r="T707" s="1" t="b">
        <f>IF(COUNTBLANK(Master_Reference[[#This Row],[Lutron 3000K Eco Part Number]:[Lutron 4000K Eco Part Number]])=3,FALSE,TRUE)</f>
        <v>0</v>
      </c>
      <c r="U707" s="1" t="b">
        <f>IF(COUNTBLANK(Master_Reference[[#This Row],[Lutron 3000K 3W Part Number]:[Lutron 4000K 3W Part Number]])=3,FALSE,TRUE)</f>
        <v>0</v>
      </c>
      <c r="V707" s="13"/>
      <c r="W707" s="13"/>
      <c r="X707" s="12"/>
      <c r="Y707" t="s">
        <v>2125</v>
      </c>
      <c r="Z707" s="12"/>
      <c r="AA707" s="12"/>
      <c r="AB707" s="12"/>
      <c r="AC707" t="s">
        <v>2125</v>
      </c>
      <c r="AD707" t="str">
        <f>SUBSTITUTE(Master_Reference[[#This Row],[C-Flex 4000K Eco Part Number]],"40-","xx-")</f>
        <v/>
      </c>
      <c r="AE707" t="str">
        <f>SUBSTITUTE(Master_Reference[[#This Row],[C-Flex 4000K 3W Part Number]],"40-","xx-")</f>
        <v/>
      </c>
      <c r="AF707" s="1" t="str">
        <f>_xlfn.IFNA(VLOOKUP(Master_Reference[[#This Row],[C-Flex 3000K Eco Part Number]],Lutron_CFlex_Lookup[],MATCH("Lutron Kit PN",Lutron_CFlex_Lookup[#Headers],0),FALSE),"")</f>
        <v/>
      </c>
      <c r="AG707" s="1" t="str">
        <f>_xlfn.IFNA(VLOOKUP(Master_Reference[[#This Row],[C-Flex 3500K Eco Part Number]],Lutron_CFlex_Lookup[],MATCH("Lutron Kit PN",Lutron_CFlex_Lookup[#Headers],0),FALSE),"")</f>
        <v/>
      </c>
      <c r="AH707" s="1" t="str">
        <f>_xlfn.IFNA(VLOOKUP(Master_Reference[[#This Row],[C-Flex 4000K Eco Part Number]],Lutron_CFlex_Lookup[],MATCH("Lutron Kit PN",Lutron_CFlex_Lookup[#Headers],0),FALSE),"")</f>
        <v/>
      </c>
      <c r="AI707" s="1" t="str">
        <f>_xlfn.IFNA(VLOOKUP(Master_Reference[[#This Row],[C-Flex 5000K Eco Part Number]],Lutron_CFlex_Lookup[],MATCH("Lutron Kit PN",Lutron_CFlex_Lookup[#Headers],0),FALSE),"")</f>
        <v/>
      </c>
      <c r="AJ707" s="1" t="str">
        <f>_xlfn.IFNA(VLOOKUP(Master_Reference[[#This Row],[C-Flex 3000K 3W Part Number]],Lutron_CFlex_Lookup[],MATCH("Lutron Kit PN",Lutron_CFlex_Lookup[#Headers],0),FALSE),"")</f>
        <v/>
      </c>
      <c r="AK707" s="1" t="str">
        <f>_xlfn.IFNA(VLOOKUP(Master_Reference[[#This Row],[C-Flex 3500K 3W Part Number]],Lutron_CFlex_Lookup[],MATCH("Lutron Kit PN",Lutron_CFlex_Lookup[#Headers],0),FALSE),"")</f>
        <v/>
      </c>
      <c r="AL707" s="1" t="str">
        <f>_xlfn.IFNA(VLOOKUP(Master_Reference[[#This Row],[C-Flex 4000K 3W Part Number]],Lutron_CFlex_Lookup[],MATCH("Lutron Kit PN",Lutron_CFlex_Lookup[#Headers],0),FALSE),"")</f>
        <v/>
      </c>
      <c r="AM707" s="1" t="str">
        <f>_xlfn.IFNA(VLOOKUP(Master_Reference[[#This Row],[C-Flex 5000K 3W Part Number]],Lutron_CFlex_Lookup[],MATCH("Lutron Kit PN",Lutron_CFlex_Lookup[#Headers],0),FALSE),"")</f>
        <v/>
      </c>
      <c r="AN707" s="1" t="b">
        <f>NOT(ISNA(VLOOKUP(Master_Reference[[#This Row],[Model Number]],ObsoleteModels[],1,FALSE)))</f>
        <v>1</v>
      </c>
      <c r="AO707" s="1" t="str">
        <f>IF(LEFT(Master_Reference[[#This Row],[Model Number]],1)="U",LEFT(Master_Reference[[#This Row],[Model Number]],4),LEFT(Master_Reference[[#This Row],[Model Number]],3))</f>
        <v>FDB</v>
      </c>
    </row>
    <row r="708" spans="1:41" x14ac:dyDescent="0.25">
      <c r="A708" s="2" t="s">
        <v>1009</v>
      </c>
      <c r="B708" s="1"/>
      <c r="C708" s="1" t="b">
        <v>1</v>
      </c>
      <c r="G708" s="1" t="str">
        <f>IF(OR(LEFT(RIGHT(Master_Reference[[#This Row],[Model Number]],3),1)="C",LEFT(RIGHT(Master_Reference[[#This Row],[Model Number]],4),1)="C"),TRUE,"")</f>
        <v/>
      </c>
      <c r="H708" s="1" t="str">
        <f>IF(LEFT(Master_Reference[[#This Row],[Model Number]],1)="U",TRUE,"")</f>
        <v/>
      </c>
      <c r="I708" s="1" t="str">
        <f>IF(Master_Reference[[#This Row],[Lamp Type]]="T4","",IF(Master_Reference[[#This Row],[Case Type]]="M","",TRUE))</f>
        <v/>
      </c>
      <c r="J708" s="1" t="s">
        <v>87</v>
      </c>
      <c r="K708" s="1">
        <v>42</v>
      </c>
      <c r="L708" s="1" t="s">
        <v>88</v>
      </c>
      <c r="M708" s="1">
        <v>1</v>
      </c>
      <c r="N708" s="1">
        <v>120</v>
      </c>
      <c r="O708" s="1" t="s">
        <v>89</v>
      </c>
      <c r="P708" s="1" t="b">
        <v>1</v>
      </c>
      <c r="R708" t="b">
        <f>IF(COUNTBLANK(Master_Reference[[#This Row],[C-Flex 3000K Eco Part Number]:[C-Flex 4000K Eco Part Number]])=3,FALSE,TRUE)</f>
        <v>0</v>
      </c>
      <c r="S708" t="b">
        <f>IF(COUNTBLANK(Master_Reference[[#This Row],[C-Flex 3000K 3W Part Number]:[C-Flex 4000K 3W Part Number]])=3,FALSE,TRUE)</f>
        <v>1</v>
      </c>
      <c r="T708" t="b">
        <f>IF(COUNTBLANK(Master_Reference[[#This Row],[Lutron 3000K Eco Part Number]:[Lutron 4000K Eco Part Number]])=3,FALSE,TRUE)</f>
        <v>0</v>
      </c>
      <c r="U708" t="b">
        <f>IF(COUNTBLANK(Master_Reference[[#This Row],[Lutron 3000K 3W Part Number]:[Lutron 4000K 3W Part Number]])=3,FALSE,TRUE)</f>
        <v>0</v>
      </c>
      <c r="V708" s="12"/>
      <c r="W708" s="12"/>
      <c r="X708" s="12"/>
      <c r="Y708" t="s">
        <v>2125</v>
      </c>
      <c r="Z708" s="12" t="s">
        <v>179</v>
      </c>
      <c r="AA708" s="12" t="s">
        <v>180</v>
      </c>
      <c r="AB708" s="12" t="s">
        <v>181</v>
      </c>
      <c r="AC708" t="s">
        <v>2125</v>
      </c>
      <c r="AD708" t="str">
        <f>SUBSTITUTE(Master_Reference[[#This Row],[C-Flex 4000K Eco Part Number]],"40-","xx-")</f>
        <v/>
      </c>
      <c r="AE708" t="str">
        <f>SUBSTITUTE(Master_Reference[[#This Row],[C-Flex 4000K 3W Part Number]],"40-","xx-")</f>
        <v>RP-G24Q-142m-1L-8xx-3W-K-G2</v>
      </c>
      <c r="AF708" s="1" t="str">
        <f>_xlfn.IFNA(VLOOKUP(Master_Reference[[#This Row],[C-Flex 3000K Eco Part Number]],Lutron_CFlex_Lookup[],MATCH("Lutron Kit PN",Lutron_CFlex_Lookup[#Headers],0),FALSE),"")</f>
        <v/>
      </c>
      <c r="AG708" s="1" t="str">
        <f>_xlfn.IFNA(VLOOKUP(Master_Reference[[#This Row],[C-Flex 3500K Eco Part Number]],Lutron_CFlex_Lookup[],MATCH("Lutron Kit PN",Lutron_CFlex_Lookup[#Headers],0),FALSE),"")</f>
        <v/>
      </c>
      <c r="AH708" s="1" t="str">
        <f>_xlfn.IFNA(VLOOKUP(Master_Reference[[#This Row],[C-Flex 4000K Eco Part Number]],Lutron_CFlex_Lookup[],MATCH("Lutron Kit PN",Lutron_CFlex_Lookup[#Headers],0),FALSE),"")</f>
        <v/>
      </c>
      <c r="AI708" s="1" t="str">
        <f>_xlfn.IFNA(VLOOKUP(Master_Reference[[#This Row],[C-Flex 5000K Eco Part Number]],Lutron_CFlex_Lookup[],MATCH("Lutron Kit PN",Lutron_CFlex_Lookup[#Headers],0),FALSE),"")</f>
        <v/>
      </c>
      <c r="AJ708" s="1" t="str">
        <f>_xlfn.IFNA(VLOOKUP(Master_Reference[[#This Row],[C-Flex 3000K 3W Part Number]],Lutron_CFlex_Lookup[],MATCH("Lutron Kit PN",Lutron_CFlex_Lookup[#Headers],0),FALSE),"")</f>
        <v/>
      </c>
      <c r="AK708" s="1" t="str">
        <f>_xlfn.IFNA(VLOOKUP(Master_Reference[[#This Row],[C-Flex 3500K 3W Part Number]],Lutron_CFlex_Lookup[],MATCH("Lutron Kit PN",Lutron_CFlex_Lookup[#Headers],0),FALSE),"")</f>
        <v/>
      </c>
      <c r="AL708" s="1" t="str">
        <f>_xlfn.IFNA(VLOOKUP(Master_Reference[[#This Row],[C-Flex 4000K 3W Part Number]],Lutron_CFlex_Lookup[],MATCH("Lutron Kit PN",Lutron_CFlex_Lookup[#Headers],0),FALSE),"")</f>
        <v/>
      </c>
      <c r="AM708" s="1" t="str">
        <f>_xlfn.IFNA(VLOOKUP(Master_Reference[[#This Row],[C-Flex 5000K 3W Part Number]],Lutron_CFlex_Lookup[],MATCH("Lutron Kit PN",Lutron_CFlex_Lookup[#Headers],0),FALSE),"")</f>
        <v/>
      </c>
      <c r="AN708" s="1" t="b">
        <f>NOT(ISNA(VLOOKUP(Master_Reference[[#This Row],[Model Number]],ObsoleteModels[],1,FALSE)))</f>
        <v>1</v>
      </c>
      <c r="AO708" s="1" t="str">
        <f>IF(LEFT(Master_Reference[[#This Row],[Model Number]],1)="U",LEFT(Master_Reference[[#This Row],[Model Number]],4),LEFT(Master_Reference[[#This Row],[Model Number]],3))</f>
        <v>FDB</v>
      </c>
    </row>
    <row r="709" spans="1:41" x14ac:dyDescent="0.25">
      <c r="A709" s="2" t="s">
        <v>1010</v>
      </c>
      <c r="B709" s="1"/>
      <c r="C709" s="1" t="b">
        <v>1</v>
      </c>
      <c r="G709" s="1" t="str">
        <f>IF(OR(LEFT(RIGHT(Master_Reference[[#This Row],[Model Number]],3),1)="C",LEFT(RIGHT(Master_Reference[[#This Row],[Model Number]],4),1)="C"),TRUE,"")</f>
        <v/>
      </c>
      <c r="H709" s="1" t="str">
        <f>IF(LEFT(Master_Reference[[#This Row],[Model Number]],1)="U",TRUE,"")</f>
        <v/>
      </c>
      <c r="I709" s="1" t="str">
        <f>IF(Master_Reference[[#This Row],[Lamp Type]]="T4","",IF(Master_Reference[[#This Row],[Case Type]]="M","",TRUE))</f>
        <v/>
      </c>
      <c r="J709" s="1" t="s">
        <v>87</v>
      </c>
      <c r="K709" s="1">
        <v>42</v>
      </c>
      <c r="L709" s="1" t="s">
        <v>88</v>
      </c>
      <c r="M709" s="1">
        <v>1</v>
      </c>
      <c r="N709" s="1">
        <v>120</v>
      </c>
      <c r="O709" s="1" t="s">
        <v>89</v>
      </c>
      <c r="P709" s="1" t="b">
        <v>1</v>
      </c>
      <c r="Q709" s="1" t="s">
        <v>91</v>
      </c>
      <c r="R709" t="b">
        <f>IF(COUNTBLANK(Master_Reference[[#This Row],[C-Flex 3000K Eco Part Number]:[C-Flex 4000K Eco Part Number]])=3,FALSE,TRUE)</f>
        <v>0</v>
      </c>
      <c r="S709" t="b">
        <f>IF(COUNTBLANK(Master_Reference[[#This Row],[C-Flex 3000K 3W Part Number]:[C-Flex 4000K 3W Part Number]])=3,FALSE,TRUE)</f>
        <v>0</v>
      </c>
      <c r="T709" t="b">
        <f>IF(COUNTBLANK(Master_Reference[[#This Row],[Lutron 3000K Eco Part Number]:[Lutron 4000K Eco Part Number]])=3,FALSE,TRUE)</f>
        <v>0</v>
      </c>
      <c r="U709" t="b">
        <f>IF(COUNTBLANK(Master_Reference[[#This Row],[Lutron 3000K 3W Part Number]:[Lutron 4000K 3W Part Number]])=3,FALSE,TRUE)</f>
        <v>0</v>
      </c>
      <c r="V709" s="12"/>
      <c r="W709" s="12"/>
      <c r="X709" s="12"/>
      <c r="Y709" t="s">
        <v>2125</v>
      </c>
      <c r="Z709" s="12"/>
      <c r="AA709" s="12"/>
      <c r="AB709" s="12"/>
      <c r="AC709" t="s">
        <v>2125</v>
      </c>
      <c r="AD709" t="str">
        <f>SUBSTITUTE(Master_Reference[[#This Row],[C-Flex 4000K Eco Part Number]],"40-","xx-")</f>
        <v/>
      </c>
      <c r="AE709" t="str">
        <f>SUBSTITUTE(Master_Reference[[#This Row],[C-Flex 4000K 3W Part Number]],"40-","xx-")</f>
        <v/>
      </c>
      <c r="AF709" s="1" t="str">
        <f>_xlfn.IFNA(VLOOKUP(Master_Reference[[#This Row],[C-Flex 3000K Eco Part Number]],Lutron_CFlex_Lookup[],MATCH("Lutron Kit PN",Lutron_CFlex_Lookup[#Headers],0),FALSE),"")</f>
        <v/>
      </c>
      <c r="AG709" s="1" t="str">
        <f>_xlfn.IFNA(VLOOKUP(Master_Reference[[#This Row],[C-Flex 3500K Eco Part Number]],Lutron_CFlex_Lookup[],MATCH("Lutron Kit PN",Lutron_CFlex_Lookup[#Headers],0),FALSE),"")</f>
        <v/>
      </c>
      <c r="AH709" s="1" t="str">
        <f>_xlfn.IFNA(VLOOKUP(Master_Reference[[#This Row],[C-Flex 4000K Eco Part Number]],Lutron_CFlex_Lookup[],MATCH("Lutron Kit PN",Lutron_CFlex_Lookup[#Headers],0),FALSE),"")</f>
        <v/>
      </c>
      <c r="AI709" s="1" t="str">
        <f>_xlfn.IFNA(VLOOKUP(Master_Reference[[#This Row],[C-Flex 5000K Eco Part Number]],Lutron_CFlex_Lookup[],MATCH("Lutron Kit PN",Lutron_CFlex_Lookup[#Headers],0),FALSE),"")</f>
        <v/>
      </c>
      <c r="AJ709" s="1" t="str">
        <f>_xlfn.IFNA(VLOOKUP(Master_Reference[[#This Row],[C-Flex 3000K 3W Part Number]],Lutron_CFlex_Lookup[],MATCH("Lutron Kit PN",Lutron_CFlex_Lookup[#Headers],0),FALSE),"")</f>
        <v/>
      </c>
      <c r="AK709" s="1" t="str">
        <f>_xlfn.IFNA(VLOOKUP(Master_Reference[[#This Row],[C-Flex 3500K 3W Part Number]],Lutron_CFlex_Lookup[],MATCH("Lutron Kit PN",Lutron_CFlex_Lookup[#Headers],0),FALSE),"")</f>
        <v/>
      </c>
      <c r="AL709" s="1" t="str">
        <f>_xlfn.IFNA(VLOOKUP(Master_Reference[[#This Row],[C-Flex 4000K 3W Part Number]],Lutron_CFlex_Lookup[],MATCH("Lutron Kit PN",Lutron_CFlex_Lookup[#Headers],0),FALSE),"")</f>
        <v/>
      </c>
      <c r="AM709" s="1" t="str">
        <f>_xlfn.IFNA(VLOOKUP(Master_Reference[[#This Row],[C-Flex 5000K 3W Part Number]],Lutron_CFlex_Lookup[],MATCH("Lutron Kit PN",Lutron_CFlex_Lookup[#Headers],0),FALSE),"")</f>
        <v/>
      </c>
      <c r="AN709" s="1" t="b">
        <f>NOT(ISNA(VLOOKUP(Master_Reference[[#This Row],[Model Number]],ObsoleteModels[],1,FALSE)))</f>
        <v>1</v>
      </c>
      <c r="AO709" s="1" t="str">
        <f>IF(LEFT(Master_Reference[[#This Row],[Model Number]],1)="U",LEFT(Master_Reference[[#This Row],[Model Number]],4),LEFT(Master_Reference[[#This Row],[Model Number]],3))</f>
        <v>FDB</v>
      </c>
    </row>
    <row r="710" spans="1:41" x14ac:dyDescent="0.25">
      <c r="A710" s="2" t="s">
        <v>1011</v>
      </c>
      <c r="B710" s="1"/>
      <c r="C710" s="1" t="b">
        <v>1</v>
      </c>
      <c r="G710" s="1" t="str">
        <f>IF(OR(LEFT(RIGHT(Master_Reference[[#This Row],[Model Number]],3),1)="C",LEFT(RIGHT(Master_Reference[[#This Row],[Model Number]],4),1)="C"),TRUE,"")</f>
        <v/>
      </c>
      <c r="H710" s="1" t="str">
        <f>IF(LEFT(Master_Reference[[#This Row],[Model Number]],1)="U",TRUE,"")</f>
        <v/>
      </c>
      <c r="I710" s="1" t="str">
        <f>IF(Master_Reference[[#This Row],[Lamp Type]]="T4","",IF(Master_Reference[[#This Row],[Case Type]]="M","",TRUE))</f>
        <v/>
      </c>
      <c r="J710" s="1" t="s">
        <v>87</v>
      </c>
      <c r="K710" s="1">
        <v>42</v>
      </c>
      <c r="L710" s="1" t="s">
        <v>88</v>
      </c>
      <c r="M710" s="1">
        <v>2</v>
      </c>
      <c r="N710" s="1">
        <v>120</v>
      </c>
      <c r="O710" s="1" t="s">
        <v>106</v>
      </c>
      <c r="R710" t="b">
        <f>IF(COUNTBLANK(Master_Reference[[#This Row],[C-Flex 3000K Eco Part Number]:[C-Flex 4000K Eco Part Number]])=3,FALSE,TRUE)</f>
        <v>0</v>
      </c>
      <c r="S710" t="b">
        <f>IF(COUNTBLANK(Master_Reference[[#This Row],[C-Flex 3000K 3W Part Number]:[C-Flex 4000K 3W Part Number]])=3,FALSE,TRUE)</f>
        <v>1</v>
      </c>
      <c r="T710" t="b">
        <f>IF(COUNTBLANK(Master_Reference[[#This Row],[Lutron 3000K Eco Part Number]:[Lutron 4000K Eco Part Number]])=3,FALSE,TRUE)</f>
        <v>0</v>
      </c>
      <c r="U710" t="b">
        <f>IF(COUNTBLANK(Master_Reference[[#This Row],[Lutron 3000K 3W Part Number]:[Lutron 4000K 3W Part Number]])=3,FALSE,TRUE)</f>
        <v>1</v>
      </c>
      <c r="V710" s="12"/>
      <c r="W710" s="12"/>
      <c r="X710" s="12"/>
      <c r="Y710" t="s">
        <v>2125</v>
      </c>
      <c r="Z710" s="12" t="s">
        <v>1595</v>
      </c>
      <c r="AA710" s="12" t="s">
        <v>1596</v>
      </c>
      <c r="AB710" s="12" t="s">
        <v>1597</v>
      </c>
      <c r="AC710" t="s">
        <v>2125</v>
      </c>
      <c r="AD710" t="str">
        <f>SUBSTITUTE(Master_Reference[[#This Row],[C-Flex 4000K Eco Part Number]],"40-","xx-")</f>
        <v/>
      </c>
      <c r="AE710" t="str">
        <f>SUBSTITUTE(Master_Reference[[#This Row],[C-Flex 4000K 3W Part Number]],"40-","xx-")</f>
        <v>RP-G24Q-242H-1L-8xx-3W-KN-G2</v>
      </c>
      <c r="AF710" s="1" t="str">
        <f>_xlfn.IFNA(VLOOKUP(Master_Reference[[#This Row],[C-Flex 3000K Eco Part Number]],Lutron_CFlex_Lookup[],MATCH("Lutron Kit PN",Lutron_CFlex_Lookup[#Headers],0),FALSE),"")</f>
        <v/>
      </c>
      <c r="AG710" s="1" t="str">
        <f>_xlfn.IFNA(VLOOKUP(Master_Reference[[#This Row],[C-Flex 3500K Eco Part Number]],Lutron_CFlex_Lookup[],MATCH("Lutron Kit PN",Lutron_CFlex_Lookup[#Headers],0),FALSE),"")</f>
        <v/>
      </c>
      <c r="AH710" s="1" t="str">
        <f>_xlfn.IFNA(VLOOKUP(Master_Reference[[#This Row],[C-Flex 4000K Eco Part Number]],Lutron_CFlex_Lookup[],MATCH("Lutron Kit PN",Lutron_CFlex_Lookup[#Headers],0),FALSE),"")</f>
        <v/>
      </c>
      <c r="AI710" s="1" t="str">
        <f>_xlfn.IFNA(VLOOKUP(Master_Reference[[#This Row],[C-Flex 5000K Eco Part Number]],Lutron_CFlex_Lookup[],MATCH("Lutron Kit PN",Lutron_CFlex_Lookup[#Headers],0),FALSE),"")</f>
        <v/>
      </c>
      <c r="AJ710" s="1" t="str">
        <f>_xlfn.IFNA(VLOOKUP(Master_Reference[[#This Row],[C-Flex 3000K 3W Part Number]],Lutron_CFlex_Lookup[],MATCH("Lutron Kit PN",Lutron_CFlex_Lookup[#Headers],0),FALSE),"")</f>
        <v>3LDPCAH-1C30-q</v>
      </c>
      <c r="AK710" s="1" t="str">
        <f>_xlfn.IFNA(VLOOKUP(Master_Reference[[#This Row],[C-Flex 3500K 3W Part Number]],Lutron_CFlex_Lookup[],MATCH("Lutron Kit PN",Lutron_CFlex_Lookup[#Headers],0),FALSE),"")</f>
        <v>3LDPCAH-1C35-q</v>
      </c>
      <c r="AL710" s="1" t="str">
        <f>_xlfn.IFNA(VLOOKUP(Master_Reference[[#This Row],[C-Flex 4000K 3W Part Number]],Lutron_CFlex_Lookup[],MATCH("Lutron Kit PN",Lutron_CFlex_Lookup[#Headers],0),FALSE),"")</f>
        <v>3LDPCAH-1C40-q</v>
      </c>
      <c r="AM710" s="1" t="str">
        <f>_xlfn.IFNA(VLOOKUP(Master_Reference[[#This Row],[C-Flex 5000K 3W Part Number]],Lutron_CFlex_Lookup[],MATCH("Lutron Kit PN",Lutron_CFlex_Lookup[#Headers],0),FALSE),"")</f>
        <v/>
      </c>
      <c r="AN710" s="1" t="b">
        <f>NOT(ISNA(VLOOKUP(Master_Reference[[#This Row],[Model Number]],ObsoleteModels[],1,FALSE)))</f>
        <v>1</v>
      </c>
      <c r="AO710" s="1" t="str">
        <f>IF(LEFT(Master_Reference[[#This Row],[Model Number]],1)="U",LEFT(Master_Reference[[#This Row],[Model Number]],4),LEFT(Master_Reference[[#This Row],[Model Number]],3))</f>
        <v>FDB</v>
      </c>
    </row>
    <row r="711" spans="1:41" x14ac:dyDescent="0.25">
      <c r="A711" s="2" t="s">
        <v>1012</v>
      </c>
      <c r="B711" s="1"/>
      <c r="C711" s="1" t="b">
        <v>1</v>
      </c>
      <c r="G711" s="1" t="str">
        <f>IF(OR(LEFT(RIGHT(Master_Reference[[#This Row],[Model Number]],3),1)="C",LEFT(RIGHT(Master_Reference[[#This Row],[Model Number]],4),1)="C"),TRUE,"")</f>
        <v/>
      </c>
      <c r="H711" s="1" t="str">
        <f>IF(LEFT(Master_Reference[[#This Row],[Model Number]],1)="U",TRUE,"")</f>
        <v/>
      </c>
      <c r="I711" s="1" t="str">
        <f>IF(Master_Reference[[#This Row],[Lamp Type]]="T4","",IF(Master_Reference[[#This Row],[Case Type]]="M","",TRUE))</f>
        <v/>
      </c>
      <c r="J711" s="1" t="s">
        <v>87</v>
      </c>
      <c r="K711" s="1">
        <v>42</v>
      </c>
      <c r="L711" s="1" t="s">
        <v>88</v>
      </c>
      <c r="M711" s="1">
        <v>2</v>
      </c>
      <c r="N711" s="1">
        <v>120</v>
      </c>
      <c r="O711" s="1" t="s">
        <v>106</v>
      </c>
      <c r="Q711" s="1" t="s">
        <v>91</v>
      </c>
      <c r="R711" t="b">
        <f>IF(COUNTBLANK(Master_Reference[[#This Row],[C-Flex 3000K Eco Part Number]:[C-Flex 4000K Eco Part Number]])=3,FALSE,TRUE)</f>
        <v>0</v>
      </c>
      <c r="S711" t="b">
        <f>IF(COUNTBLANK(Master_Reference[[#This Row],[C-Flex 3000K 3W Part Number]:[C-Flex 4000K 3W Part Number]])=3,FALSE,TRUE)</f>
        <v>0</v>
      </c>
      <c r="T711" t="b">
        <f>IF(COUNTBLANK(Master_Reference[[#This Row],[Lutron 3000K Eco Part Number]:[Lutron 4000K Eco Part Number]])=3,FALSE,TRUE)</f>
        <v>0</v>
      </c>
      <c r="U711" t="b">
        <f>IF(COUNTBLANK(Master_Reference[[#This Row],[Lutron 3000K 3W Part Number]:[Lutron 4000K 3W Part Number]])=3,FALSE,TRUE)</f>
        <v>0</v>
      </c>
      <c r="V711" s="12"/>
      <c r="W711" s="12"/>
      <c r="X711" s="12"/>
      <c r="Y711" t="s">
        <v>2125</v>
      </c>
      <c r="Z711" s="12"/>
      <c r="AA711" s="12"/>
      <c r="AB711" s="12"/>
      <c r="AC711" t="s">
        <v>2125</v>
      </c>
      <c r="AD711" t="str">
        <f>SUBSTITUTE(Master_Reference[[#This Row],[C-Flex 4000K Eco Part Number]],"40-","xx-")</f>
        <v/>
      </c>
      <c r="AE711" t="str">
        <f>SUBSTITUTE(Master_Reference[[#This Row],[C-Flex 4000K 3W Part Number]],"40-","xx-")</f>
        <v/>
      </c>
      <c r="AF711" s="1" t="str">
        <f>_xlfn.IFNA(VLOOKUP(Master_Reference[[#This Row],[C-Flex 3000K Eco Part Number]],Lutron_CFlex_Lookup[],MATCH("Lutron Kit PN",Lutron_CFlex_Lookup[#Headers],0),FALSE),"")</f>
        <v/>
      </c>
      <c r="AG711" s="1" t="str">
        <f>_xlfn.IFNA(VLOOKUP(Master_Reference[[#This Row],[C-Flex 3500K Eco Part Number]],Lutron_CFlex_Lookup[],MATCH("Lutron Kit PN",Lutron_CFlex_Lookup[#Headers],0),FALSE),"")</f>
        <v/>
      </c>
      <c r="AH711" s="1" t="str">
        <f>_xlfn.IFNA(VLOOKUP(Master_Reference[[#This Row],[C-Flex 4000K Eco Part Number]],Lutron_CFlex_Lookup[],MATCH("Lutron Kit PN",Lutron_CFlex_Lookup[#Headers],0),FALSE),"")</f>
        <v/>
      </c>
      <c r="AI711" s="1" t="str">
        <f>_xlfn.IFNA(VLOOKUP(Master_Reference[[#This Row],[C-Flex 5000K Eco Part Number]],Lutron_CFlex_Lookup[],MATCH("Lutron Kit PN",Lutron_CFlex_Lookup[#Headers],0),FALSE),"")</f>
        <v/>
      </c>
      <c r="AJ711" s="1" t="str">
        <f>_xlfn.IFNA(VLOOKUP(Master_Reference[[#This Row],[C-Flex 3000K 3W Part Number]],Lutron_CFlex_Lookup[],MATCH("Lutron Kit PN",Lutron_CFlex_Lookup[#Headers],0),FALSE),"")</f>
        <v/>
      </c>
      <c r="AK711" s="1" t="str">
        <f>_xlfn.IFNA(VLOOKUP(Master_Reference[[#This Row],[C-Flex 3500K 3W Part Number]],Lutron_CFlex_Lookup[],MATCH("Lutron Kit PN",Lutron_CFlex_Lookup[#Headers],0),FALSE),"")</f>
        <v/>
      </c>
      <c r="AL711" s="1" t="str">
        <f>_xlfn.IFNA(VLOOKUP(Master_Reference[[#This Row],[C-Flex 4000K 3W Part Number]],Lutron_CFlex_Lookup[],MATCH("Lutron Kit PN",Lutron_CFlex_Lookup[#Headers],0),FALSE),"")</f>
        <v/>
      </c>
      <c r="AM711" s="1" t="str">
        <f>_xlfn.IFNA(VLOOKUP(Master_Reference[[#This Row],[C-Flex 5000K 3W Part Number]],Lutron_CFlex_Lookup[],MATCH("Lutron Kit PN",Lutron_CFlex_Lookup[#Headers],0),FALSE),"")</f>
        <v/>
      </c>
      <c r="AN711" s="1" t="b">
        <f>NOT(ISNA(VLOOKUP(Master_Reference[[#This Row],[Model Number]],ObsoleteModels[],1,FALSE)))</f>
        <v>1</v>
      </c>
      <c r="AO711" s="1" t="str">
        <f>IF(LEFT(Master_Reference[[#This Row],[Model Number]],1)="U",LEFT(Master_Reference[[#This Row],[Model Number]],4),LEFT(Master_Reference[[#This Row],[Model Number]],3))</f>
        <v>FDB</v>
      </c>
    </row>
    <row r="712" spans="1:41" x14ac:dyDescent="0.25">
      <c r="A712" s="2" t="s">
        <v>1013</v>
      </c>
      <c r="B712" s="1"/>
      <c r="C712" s="1" t="b">
        <v>1</v>
      </c>
      <c r="G712" s="1" t="str">
        <f>IF(OR(LEFT(RIGHT(Master_Reference[[#This Row],[Model Number]],3),1)="C",LEFT(RIGHT(Master_Reference[[#This Row],[Model Number]],4),1)="C"),TRUE,"")</f>
        <v/>
      </c>
      <c r="H712" s="1" t="str">
        <f>IF(LEFT(Master_Reference[[#This Row],[Model Number]],1)="U",TRUE,"")</f>
        <v/>
      </c>
      <c r="I712" s="1" t="str">
        <f>IF(Master_Reference[[#This Row],[Lamp Type]]="T4","",IF(Master_Reference[[#This Row],[Case Type]]="M","",TRUE))</f>
        <v/>
      </c>
      <c r="J712" s="1" t="s">
        <v>87</v>
      </c>
      <c r="K712" s="1">
        <v>42</v>
      </c>
      <c r="L712" s="1" t="s">
        <v>88</v>
      </c>
      <c r="M712" s="1">
        <v>2</v>
      </c>
      <c r="N712" s="1">
        <v>120</v>
      </c>
      <c r="O712" s="1" t="s">
        <v>106</v>
      </c>
      <c r="P712" s="1" t="b">
        <v>1</v>
      </c>
      <c r="R712" t="b">
        <f>IF(COUNTBLANK(Master_Reference[[#This Row],[C-Flex 3000K Eco Part Number]:[C-Flex 4000K Eco Part Number]])=3,FALSE,TRUE)</f>
        <v>0</v>
      </c>
      <c r="S712" t="b">
        <f>IF(COUNTBLANK(Master_Reference[[#This Row],[C-Flex 3000K 3W Part Number]:[C-Flex 4000K 3W Part Number]])=3,FALSE,TRUE)</f>
        <v>1</v>
      </c>
      <c r="T712" t="b">
        <f>IF(COUNTBLANK(Master_Reference[[#This Row],[Lutron 3000K Eco Part Number]:[Lutron 4000K Eco Part Number]])=3,FALSE,TRUE)</f>
        <v>0</v>
      </c>
      <c r="U712" t="b">
        <f>IF(COUNTBLANK(Master_Reference[[#This Row],[Lutron 3000K 3W Part Number]:[Lutron 4000K 3W Part Number]])=3,FALSE,TRUE)</f>
        <v>1</v>
      </c>
      <c r="V712" s="12"/>
      <c r="W712" s="12"/>
      <c r="X712" s="12"/>
      <c r="Y712" t="s">
        <v>2125</v>
      </c>
      <c r="Z712" s="12" t="s">
        <v>1601</v>
      </c>
      <c r="AA712" s="12" t="s">
        <v>1602</v>
      </c>
      <c r="AB712" s="12" t="s">
        <v>1603</v>
      </c>
      <c r="AC712" t="s">
        <v>2125</v>
      </c>
      <c r="AD712" t="str">
        <f>SUBSTITUTE(Master_Reference[[#This Row],[C-Flex 4000K Eco Part Number]],"40-","xx-")</f>
        <v/>
      </c>
      <c r="AE712" t="str">
        <f>SUBSTITUTE(Master_Reference[[#This Row],[C-Flex 4000K 3W Part Number]],"40-","xx-")</f>
        <v>RP-G24Q-242H-1L-8xx-3W-K-G2</v>
      </c>
      <c r="AF712" s="1" t="str">
        <f>_xlfn.IFNA(VLOOKUP(Master_Reference[[#This Row],[C-Flex 3000K Eco Part Number]],Lutron_CFlex_Lookup[],MATCH("Lutron Kit PN",Lutron_CFlex_Lookup[#Headers],0),FALSE),"")</f>
        <v/>
      </c>
      <c r="AG712" s="1" t="str">
        <f>_xlfn.IFNA(VLOOKUP(Master_Reference[[#This Row],[C-Flex 3500K Eco Part Number]],Lutron_CFlex_Lookup[],MATCH("Lutron Kit PN",Lutron_CFlex_Lookup[#Headers],0),FALSE),"")</f>
        <v/>
      </c>
      <c r="AH712" s="1" t="str">
        <f>_xlfn.IFNA(VLOOKUP(Master_Reference[[#This Row],[C-Flex 4000K Eco Part Number]],Lutron_CFlex_Lookup[],MATCH("Lutron Kit PN",Lutron_CFlex_Lookup[#Headers],0),FALSE),"")</f>
        <v/>
      </c>
      <c r="AI712" s="1" t="str">
        <f>_xlfn.IFNA(VLOOKUP(Master_Reference[[#This Row],[C-Flex 5000K Eco Part Number]],Lutron_CFlex_Lookup[],MATCH("Lutron Kit PN",Lutron_CFlex_Lookup[#Headers],0),FALSE),"")</f>
        <v/>
      </c>
      <c r="AJ712" s="1" t="str">
        <f>_xlfn.IFNA(VLOOKUP(Master_Reference[[#This Row],[C-Flex 3000K 3W Part Number]],Lutron_CFlex_Lookup[],MATCH("Lutron Kit PN",Lutron_CFlex_Lookup[#Headers],0),FALSE),"")</f>
        <v>3LDPCAH-1K30-q</v>
      </c>
      <c r="AK712" s="1" t="str">
        <f>_xlfn.IFNA(VLOOKUP(Master_Reference[[#This Row],[C-Flex 3500K 3W Part Number]],Lutron_CFlex_Lookup[],MATCH("Lutron Kit PN",Lutron_CFlex_Lookup[#Headers],0),FALSE),"")</f>
        <v>3LDPCAH-1K35-q</v>
      </c>
      <c r="AL712" s="1" t="str">
        <f>_xlfn.IFNA(VLOOKUP(Master_Reference[[#This Row],[C-Flex 4000K 3W Part Number]],Lutron_CFlex_Lookup[],MATCH("Lutron Kit PN",Lutron_CFlex_Lookup[#Headers],0),FALSE),"")</f>
        <v>3LDPCAH-1K40-q</v>
      </c>
      <c r="AM712" s="1" t="str">
        <f>_xlfn.IFNA(VLOOKUP(Master_Reference[[#This Row],[C-Flex 5000K 3W Part Number]],Lutron_CFlex_Lookup[],MATCH("Lutron Kit PN",Lutron_CFlex_Lookup[#Headers],0),FALSE),"")</f>
        <v/>
      </c>
      <c r="AN712" s="1" t="b">
        <f>NOT(ISNA(VLOOKUP(Master_Reference[[#This Row],[Model Number]],ObsoleteModels[],1,FALSE)))</f>
        <v>1</v>
      </c>
      <c r="AO712" s="1" t="str">
        <f>IF(LEFT(Master_Reference[[#This Row],[Model Number]],1)="U",LEFT(Master_Reference[[#This Row],[Model Number]],4),LEFT(Master_Reference[[#This Row],[Model Number]],3))</f>
        <v>FDB</v>
      </c>
    </row>
    <row r="713" spans="1:41" x14ac:dyDescent="0.25">
      <c r="A713" s="2" t="s">
        <v>1014</v>
      </c>
      <c r="B713" s="1"/>
      <c r="C713" s="1" t="b">
        <v>1</v>
      </c>
      <c r="G713" s="1" t="str">
        <f>IF(OR(LEFT(RIGHT(Master_Reference[[#This Row],[Model Number]],3),1)="C",LEFT(RIGHT(Master_Reference[[#This Row],[Model Number]],4),1)="C"),TRUE,"")</f>
        <v/>
      </c>
      <c r="H713" s="1" t="str">
        <f>IF(LEFT(Master_Reference[[#This Row],[Model Number]],1)="U",TRUE,"")</f>
        <v/>
      </c>
      <c r="I713" s="1" t="str">
        <f>IF(Master_Reference[[#This Row],[Lamp Type]]="T4","",IF(Master_Reference[[#This Row],[Case Type]]="M","",TRUE))</f>
        <v/>
      </c>
      <c r="J713" s="1" t="s">
        <v>87</v>
      </c>
      <c r="K713" s="1">
        <v>42</v>
      </c>
      <c r="L713" s="1" t="s">
        <v>88</v>
      </c>
      <c r="M713" s="1">
        <v>2</v>
      </c>
      <c r="N713" s="1">
        <v>120</v>
      </c>
      <c r="O713" s="1" t="s">
        <v>106</v>
      </c>
      <c r="P713" s="1" t="b">
        <v>1</v>
      </c>
      <c r="Q713" s="1" t="s">
        <v>91</v>
      </c>
      <c r="R713" t="b">
        <f>IF(COUNTBLANK(Master_Reference[[#This Row],[C-Flex 3000K Eco Part Number]:[C-Flex 4000K Eco Part Number]])=3,FALSE,TRUE)</f>
        <v>0</v>
      </c>
      <c r="S713" t="b">
        <f>IF(COUNTBLANK(Master_Reference[[#This Row],[C-Flex 3000K 3W Part Number]:[C-Flex 4000K 3W Part Number]])=3,FALSE,TRUE)</f>
        <v>0</v>
      </c>
      <c r="T713" t="b">
        <f>IF(COUNTBLANK(Master_Reference[[#This Row],[Lutron 3000K Eco Part Number]:[Lutron 4000K Eco Part Number]])=3,FALSE,TRUE)</f>
        <v>0</v>
      </c>
      <c r="U713" t="b">
        <f>IF(COUNTBLANK(Master_Reference[[#This Row],[Lutron 3000K 3W Part Number]:[Lutron 4000K 3W Part Number]])=3,FALSE,TRUE)</f>
        <v>0</v>
      </c>
      <c r="V713" s="12"/>
      <c r="W713" s="12"/>
      <c r="X713" s="12"/>
      <c r="Y713" t="s">
        <v>2125</v>
      </c>
      <c r="Z713" s="12"/>
      <c r="AA713" s="12"/>
      <c r="AB713" s="12"/>
      <c r="AC713" t="s">
        <v>2125</v>
      </c>
      <c r="AD713" t="str">
        <f>SUBSTITUTE(Master_Reference[[#This Row],[C-Flex 4000K Eco Part Number]],"40-","xx-")</f>
        <v/>
      </c>
      <c r="AE713" t="str">
        <f>SUBSTITUTE(Master_Reference[[#This Row],[C-Flex 4000K 3W Part Number]],"40-","xx-")</f>
        <v/>
      </c>
      <c r="AF713" s="1" t="str">
        <f>_xlfn.IFNA(VLOOKUP(Master_Reference[[#This Row],[C-Flex 3000K Eco Part Number]],Lutron_CFlex_Lookup[],MATCH("Lutron Kit PN",Lutron_CFlex_Lookup[#Headers],0),FALSE),"")</f>
        <v/>
      </c>
      <c r="AG713" s="1" t="str">
        <f>_xlfn.IFNA(VLOOKUP(Master_Reference[[#This Row],[C-Flex 3500K Eco Part Number]],Lutron_CFlex_Lookup[],MATCH("Lutron Kit PN",Lutron_CFlex_Lookup[#Headers],0),FALSE),"")</f>
        <v/>
      </c>
      <c r="AH713" s="1" t="str">
        <f>_xlfn.IFNA(VLOOKUP(Master_Reference[[#This Row],[C-Flex 4000K Eco Part Number]],Lutron_CFlex_Lookup[],MATCH("Lutron Kit PN",Lutron_CFlex_Lookup[#Headers],0),FALSE),"")</f>
        <v/>
      </c>
      <c r="AI713" s="1" t="str">
        <f>_xlfn.IFNA(VLOOKUP(Master_Reference[[#This Row],[C-Flex 5000K Eco Part Number]],Lutron_CFlex_Lookup[],MATCH("Lutron Kit PN",Lutron_CFlex_Lookup[#Headers],0),FALSE),"")</f>
        <v/>
      </c>
      <c r="AJ713" s="1" t="str">
        <f>_xlfn.IFNA(VLOOKUP(Master_Reference[[#This Row],[C-Flex 3000K 3W Part Number]],Lutron_CFlex_Lookup[],MATCH("Lutron Kit PN",Lutron_CFlex_Lookup[#Headers],0),FALSE),"")</f>
        <v/>
      </c>
      <c r="AK713" s="1" t="str">
        <f>_xlfn.IFNA(VLOOKUP(Master_Reference[[#This Row],[C-Flex 3500K 3W Part Number]],Lutron_CFlex_Lookup[],MATCH("Lutron Kit PN",Lutron_CFlex_Lookup[#Headers],0),FALSE),"")</f>
        <v/>
      </c>
      <c r="AL713" s="1" t="str">
        <f>_xlfn.IFNA(VLOOKUP(Master_Reference[[#This Row],[C-Flex 4000K 3W Part Number]],Lutron_CFlex_Lookup[],MATCH("Lutron Kit PN",Lutron_CFlex_Lookup[#Headers],0),FALSE),"")</f>
        <v/>
      </c>
      <c r="AM713" s="1" t="str">
        <f>_xlfn.IFNA(VLOOKUP(Master_Reference[[#This Row],[C-Flex 5000K 3W Part Number]],Lutron_CFlex_Lookup[],MATCH("Lutron Kit PN",Lutron_CFlex_Lookup[#Headers],0),FALSE),"")</f>
        <v/>
      </c>
      <c r="AN713" s="1" t="b">
        <f>NOT(ISNA(VLOOKUP(Master_Reference[[#This Row],[Model Number]],ObsoleteModels[],1,FALSE)))</f>
        <v>1</v>
      </c>
      <c r="AO713" s="1" t="str">
        <f>IF(LEFT(Master_Reference[[#This Row],[Model Number]],1)="U",LEFT(Master_Reference[[#This Row],[Model Number]],4),LEFT(Master_Reference[[#This Row],[Model Number]],3))</f>
        <v>FDB</v>
      </c>
    </row>
    <row r="714" spans="1:41" x14ac:dyDescent="0.25">
      <c r="A714" s="2" t="s">
        <v>1015</v>
      </c>
      <c r="B714" s="1"/>
      <c r="C714" s="1" t="b">
        <v>1</v>
      </c>
      <c r="G714" s="1" t="str">
        <f>IF(OR(LEFT(RIGHT(Master_Reference[[#This Row],[Model Number]],3),1)="C",LEFT(RIGHT(Master_Reference[[#This Row],[Model Number]],4),1)="C"),TRUE,"")</f>
        <v/>
      </c>
      <c r="H714" s="1" t="str">
        <f>IF(LEFT(Master_Reference[[#This Row],[Model Number]],1)="U",TRUE,"")</f>
        <v/>
      </c>
      <c r="I714" s="1" t="str">
        <f>IF(Master_Reference[[#This Row],[Lamp Type]]="T4","",IF(Master_Reference[[#This Row],[Case Type]]="M","",TRUE))</f>
        <v/>
      </c>
      <c r="J714" s="1" t="s">
        <v>87</v>
      </c>
      <c r="K714" s="1">
        <v>42</v>
      </c>
      <c r="L714" s="1" t="s">
        <v>88</v>
      </c>
      <c r="M714" s="1">
        <v>1</v>
      </c>
      <c r="N714" s="1">
        <v>277</v>
      </c>
      <c r="O714" s="1" t="s">
        <v>89</v>
      </c>
      <c r="R714" t="b">
        <f>IF(COUNTBLANK(Master_Reference[[#This Row],[C-Flex 3000K Eco Part Number]:[C-Flex 4000K Eco Part Number]])=3,FALSE,TRUE)</f>
        <v>0</v>
      </c>
      <c r="S714" t="b">
        <f>IF(COUNTBLANK(Master_Reference[[#This Row],[C-Flex 3000K 3W Part Number]:[C-Flex 4000K 3W Part Number]])=3,FALSE,TRUE)</f>
        <v>1</v>
      </c>
      <c r="T714" t="b">
        <f>IF(COUNTBLANK(Master_Reference[[#This Row],[Lutron 3000K Eco Part Number]:[Lutron 4000K Eco Part Number]])=3,FALSE,TRUE)</f>
        <v>0</v>
      </c>
      <c r="U714" t="b">
        <f>IF(COUNTBLANK(Master_Reference[[#This Row],[Lutron 3000K 3W Part Number]:[Lutron 4000K 3W Part Number]])=3,FALSE,TRUE)</f>
        <v>0</v>
      </c>
      <c r="V714" s="12"/>
      <c r="W714" s="12"/>
      <c r="X714" s="12"/>
      <c r="Y714" t="s">
        <v>2125</v>
      </c>
      <c r="Z714" s="12" t="s">
        <v>171</v>
      </c>
      <c r="AA714" s="12" t="s">
        <v>172</v>
      </c>
      <c r="AB714" s="12" t="s">
        <v>173</v>
      </c>
      <c r="AC714" t="s">
        <v>2125</v>
      </c>
      <c r="AD714" t="str">
        <f>SUBSTITUTE(Master_Reference[[#This Row],[C-Flex 4000K Eco Part Number]],"40-","xx-")</f>
        <v/>
      </c>
      <c r="AE714" t="str">
        <f>SUBSTITUTE(Master_Reference[[#This Row],[C-Flex 4000K 3W Part Number]],"40-","xx-")</f>
        <v>RP-G24Q-142m-1L-8xx-3W-KN-G2</v>
      </c>
      <c r="AF714" s="1" t="str">
        <f>_xlfn.IFNA(VLOOKUP(Master_Reference[[#This Row],[C-Flex 3000K Eco Part Number]],Lutron_CFlex_Lookup[],MATCH("Lutron Kit PN",Lutron_CFlex_Lookup[#Headers],0),FALSE),"")</f>
        <v/>
      </c>
      <c r="AG714" s="1" t="str">
        <f>_xlfn.IFNA(VLOOKUP(Master_Reference[[#This Row],[C-Flex 3500K Eco Part Number]],Lutron_CFlex_Lookup[],MATCH("Lutron Kit PN",Lutron_CFlex_Lookup[#Headers],0),FALSE),"")</f>
        <v/>
      </c>
      <c r="AH714" s="1" t="str">
        <f>_xlfn.IFNA(VLOOKUP(Master_Reference[[#This Row],[C-Flex 4000K Eco Part Number]],Lutron_CFlex_Lookup[],MATCH("Lutron Kit PN",Lutron_CFlex_Lookup[#Headers],0),FALSE),"")</f>
        <v/>
      </c>
      <c r="AI714" s="1" t="str">
        <f>_xlfn.IFNA(VLOOKUP(Master_Reference[[#This Row],[C-Flex 5000K Eco Part Number]],Lutron_CFlex_Lookup[],MATCH("Lutron Kit PN",Lutron_CFlex_Lookup[#Headers],0),FALSE),"")</f>
        <v/>
      </c>
      <c r="AJ714" s="1" t="str">
        <f>_xlfn.IFNA(VLOOKUP(Master_Reference[[#This Row],[C-Flex 3000K 3W Part Number]],Lutron_CFlex_Lookup[],MATCH("Lutron Kit PN",Lutron_CFlex_Lookup[#Headers],0),FALSE),"")</f>
        <v/>
      </c>
      <c r="AK714" s="1" t="str">
        <f>_xlfn.IFNA(VLOOKUP(Master_Reference[[#This Row],[C-Flex 3500K 3W Part Number]],Lutron_CFlex_Lookup[],MATCH("Lutron Kit PN",Lutron_CFlex_Lookup[#Headers],0),FALSE),"")</f>
        <v/>
      </c>
      <c r="AL714" s="1" t="str">
        <f>_xlfn.IFNA(VLOOKUP(Master_Reference[[#This Row],[C-Flex 4000K 3W Part Number]],Lutron_CFlex_Lookup[],MATCH("Lutron Kit PN",Lutron_CFlex_Lookup[#Headers],0),FALSE),"")</f>
        <v/>
      </c>
      <c r="AM714" s="1" t="str">
        <f>_xlfn.IFNA(VLOOKUP(Master_Reference[[#This Row],[C-Flex 5000K 3W Part Number]],Lutron_CFlex_Lookup[],MATCH("Lutron Kit PN",Lutron_CFlex_Lookup[#Headers],0),FALSE),"")</f>
        <v/>
      </c>
      <c r="AN714" s="1" t="b">
        <f>NOT(ISNA(VLOOKUP(Master_Reference[[#This Row],[Model Number]],ObsoleteModels[],1,FALSE)))</f>
        <v>1</v>
      </c>
      <c r="AO714" s="1" t="str">
        <f>IF(LEFT(Master_Reference[[#This Row],[Model Number]],1)="U",LEFT(Master_Reference[[#This Row],[Model Number]],4),LEFT(Master_Reference[[#This Row],[Model Number]],3))</f>
        <v>FDB</v>
      </c>
    </row>
    <row r="715" spans="1:41" x14ac:dyDescent="0.25">
      <c r="A715" s="2" t="s">
        <v>1016</v>
      </c>
      <c r="B715" s="1"/>
      <c r="C715" s="1" t="b">
        <v>1</v>
      </c>
      <c r="G715" s="1" t="str">
        <f>IF(OR(LEFT(RIGHT(Master_Reference[[#This Row],[Model Number]],3),1)="C",LEFT(RIGHT(Master_Reference[[#This Row],[Model Number]],4),1)="C"),TRUE,"")</f>
        <v/>
      </c>
      <c r="H715" s="1" t="str">
        <f>IF(LEFT(Master_Reference[[#This Row],[Model Number]],1)="U",TRUE,"")</f>
        <v/>
      </c>
      <c r="I715" s="1" t="str">
        <f>IF(Master_Reference[[#This Row],[Lamp Type]]="T4","",IF(Master_Reference[[#This Row],[Case Type]]="M","",TRUE))</f>
        <v/>
      </c>
      <c r="J715" s="1" t="s">
        <v>87</v>
      </c>
      <c r="K715" s="1">
        <v>42</v>
      </c>
      <c r="L715" s="1" t="s">
        <v>88</v>
      </c>
      <c r="M715" s="1">
        <v>1</v>
      </c>
      <c r="N715" s="1">
        <v>277</v>
      </c>
      <c r="O715" s="1" t="s">
        <v>89</v>
      </c>
      <c r="P715" s="1" t="b">
        <v>1</v>
      </c>
      <c r="R715" t="b">
        <f>IF(COUNTBLANK(Master_Reference[[#This Row],[C-Flex 3000K Eco Part Number]:[C-Flex 4000K Eco Part Number]])=3,FALSE,TRUE)</f>
        <v>0</v>
      </c>
      <c r="S715" t="b">
        <f>IF(COUNTBLANK(Master_Reference[[#This Row],[C-Flex 3000K 3W Part Number]:[C-Flex 4000K 3W Part Number]])=3,FALSE,TRUE)</f>
        <v>1</v>
      </c>
      <c r="T715" t="b">
        <f>IF(COUNTBLANK(Master_Reference[[#This Row],[Lutron 3000K Eco Part Number]:[Lutron 4000K Eco Part Number]])=3,FALSE,TRUE)</f>
        <v>0</v>
      </c>
      <c r="U715" t="b">
        <f>IF(COUNTBLANK(Master_Reference[[#This Row],[Lutron 3000K 3W Part Number]:[Lutron 4000K 3W Part Number]])=3,FALSE,TRUE)</f>
        <v>0</v>
      </c>
      <c r="V715" s="12"/>
      <c r="W715" s="12"/>
      <c r="X715" s="12"/>
      <c r="Y715" t="s">
        <v>2125</v>
      </c>
      <c r="Z715" s="12" t="s">
        <v>179</v>
      </c>
      <c r="AA715" s="12" t="s">
        <v>180</v>
      </c>
      <c r="AB715" s="12" t="s">
        <v>181</v>
      </c>
      <c r="AC715" t="s">
        <v>2125</v>
      </c>
      <c r="AD715" t="str">
        <f>SUBSTITUTE(Master_Reference[[#This Row],[C-Flex 4000K Eco Part Number]],"40-","xx-")</f>
        <v/>
      </c>
      <c r="AE715" t="str">
        <f>SUBSTITUTE(Master_Reference[[#This Row],[C-Flex 4000K 3W Part Number]],"40-","xx-")</f>
        <v>RP-G24Q-142m-1L-8xx-3W-K-G2</v>
      </c>
      <c r="AF715" s="1" t="str">
        <f>_xlfn.IFNA(VLOOKUP(Master_Reference[[#This Row],[C-Flex 3000K Eco Part Number]],Lutron_CFlex_Lookup[],MATCH("Lutron Kit PN",Lutron_CFlex_Lookup[#Headers],0),FALSE),"")</f>
        <v/>
      </c>
      <c r="AG715" s="1" t="str">
        <f>_xlfn.IFNA(VLOOKUP(Master_Reference[[#This Row],[C-Flex 3500K Eco Part Number]],Lutron_CFlex_Lookup[],MATCH("Lutron Kit PN",Lutron_CFlex_Lookup[#Headers],0),FALSE),"")</f>
        <v/>
      </c>
      <c r="AH715" s="1" t="str">
        <f>_xlfn.IFNA(VLOOKUP(Master_Reference[[#This Row],[C-Flex 4000K Eco Part Number]],Lutron_CFlex_Lookup[],MATCH("Lutron Kit PN",Lutron_CFlex_Lookup[#Headers],0),FALSE),"")</f>
        <v/>
      </c>
      <c r="AI715" s="1" t="str">
        <f>_xlfn.IFNA(VLOOKUP(Master_Reference[[#This Row],[C-Flex 5000K Eco Part Number]],Lutron_CFlex_Lookup[],MATCH("Lutron Kit PN",Lutron_CFlex_Lookup[#Headers],0),FALSE),"")</f>
        <v/>
      </c>
      <c r="AJ715" s="1" t="str">
        <f>_xlfn.IFNA(VLOOKUP(Master_Reference[[#This Row],[C-Flex 3000K 3W Part Number]],Lutron_CFlex_Lookup[],MATCH("Lutron Kit PN",Lutron_CFlex_Lookup[#Headers],0),FALSE),"")</f>
        <v/>
      </c>
      <c r="AK715" s="1" t="str">
        <f>_xlfn.IFNA(VLOOKUP(Master_Reference[[#This Row],[C-Flex 3500K 3W Part Number]],Lutron_CFlex_Lookup[],MATCH("Lutron Kit PN",Lutron_CFlex_Lookup[#Headers],0),FALSE),"")</f>
        <v/>
      </c>
      <c r="AL715" s="1" t="str">
        <f>_xlfn.IFNA(VLOOKUP(Master_Reference[[#This Row],[C-Flex 4000K 3W Part Number]],Lutron_CFlex_Lookup[],MATCH("Lutron Kit PN",Lutron_CFlex_Lookup[#Headers],0),FALSE),"")</f>
        <v/>
      </c>
      <c r="AM715" s="1" t="str">
        <f>_xlfn.IFNA(VLOOKUP(Master_Reference[[#This Row],[C-Flex 5000K 3W Part Number]],Lutron_CFlex_Lookup[],MATCH("Lutron Kit PN",Lutron_CFlex_Lookup[#Headers],0),FALSE),"")</f>
        <v/>
      </c>
      <c r="AN715" s="1" t="b">
        <f>NOT(ISNA(VLOOKUP(Master_Reference[[#This Row],[Model Number]],ObsoleteModels[],1,FALSE)))</f>
        <v>1</v>
      </c>
      <c r="AO715" s="1" t="str">
        <f>IF(LEFT(Master_Reference[[#This Row],[Model Number]],1)="U",LEFT(Master_Reference[[#This Row],[Model Number]],4),LEFT(Master_Reference[[#This Row],[Model Number]],3))</f>
        <v>FDB</v>
      </c>
    </row>
    <row r="716" spans="1:41" x14ac:dyDescent="0.25">
      <c r="A716" s="2" t="s">
        <v>1017</v>
      </c>
      <c r="B716" s="1"/>
      <c r="C716" s="1" t="b">
        <v>1</v>
      </c>
      <c r="G716" s="1" t="str">
        <f>IF(OR(LEFT(RIGHT(Master_Reference[[#This Row],[Model Number]],3),1)="C",LEFT(RIGHT(Master_Reference[[#This Row],[Model Number]],4),1)="C"),TRUE,"")</f>
        <v/>
      </c>
      <c r="H716" s="1" t="str">
        <f>IF(LEFT(Master_Reference[[#This Row],[Model Number]],1)="U",TRUE,"")</f>
        <v/>
      </c>
      <c r="I716" s="1" t="str">
        <f>IF(Master_Reference[[#This Row],[Lamp Type]]="T4","",IF(Master_Reference[[#This Row],[Case Type]]="M","",TRUE))</f>
        <v/>
      </c>
      <c r="J716" s="1" t="s">
        <v>87</v>
      </c>
      <c r="K716" s="1">
        <v>42</v>
      </c>
      <c r="L716" s="1" t="s">
        <v>88</v>
      </c>
      <c r="M716" s="1">
        <v>2</v>
      </c>
      <c r="N716" s="1">
        <v>277</v>
      </c>
      <c r="O716" s="1" t="s">
        <v>106</v>
      </c>
      <c r="R716" t="b">
        <f>IF(COUNTBLANK(Master_Reference[[#This Row],[C-Flex 3000K Eco Part Number]:[C-Flex 4000K Eco Part Number]])=3,FALSE,TRUE)</f>
        <v>0</v>
      </c>
      <c r="S716" t="b">
        <f>IF(COUNTBLANK(Master_Reference[[#This Row],[C-Flex 3000K 3W Part Number]:[C-Flex 4000K 3W Part Number]])=3,FALSE,TRUE)</f>
        <v>1</v>
      </c>
      <c r="T716" t="b">
        <f>IF(COUNTBLANK(Master_Reference[[#This Row],[Lutron 3000K Eco Part Number]:[Lutron 4000K Eco Part Number]])=3,FALSE,TRUE)</f>
        <v>0</v>
      </c>
      <c r="U716" t="b">
        <f>IF(COUNTBLANK(Master_Reference[[#This Row],[Lutron 3000K 3W Part Number]:[Lutron 4000K 3W Part Number]])=3,FALSE,TRUE)</f>
        <v>1</v>
      </c>
      <c r="V716" s="12"/>
      <c r="W716" s="12"/>
      <c r="X716" s="12"/>
      <c r="Y716" t="s">
        <v>2125</v>
      </c>
      <c r="Z716" s="12" t="s">
        <v>1595</v>
      </c>
      <c r="AA716" s="12" t="s">
        <v>1596</v>
      </c>
      <c r="AB716" s="12" t="s">
        <v>1597</v>
      </c>
      <c r="AC716" t="s">
        <v>2125</v>
      </c>
      <c r="AD716" t="str">
        <f>SUBSTITUTE(Master_Reference[[#This Row],[C-Flex 4000K Eco Part Number]],"40-","xx-")</f>
        <v/>
      </c>
      <c r="AE716" t="str">
        <f>SUBSTITUTE(Master_Reference[[#This Row],[C-Flex 4000K 3W Part Number]],"40-","xx-")</f>
        <v>RP-G24Q-242H-1L-8xx-3W-KN-G2</v>
      </c>
      <c r="AF716" s="1" t="str">
        <f>_xlfn.IFNA(VLOOKUP(Master_Reference[[#This Row],[C-Flex 3000K Eco Part Number]],Lutron_CFlex_Lookup[],MATCH("Lutron Kit PN",Lutron_CFlex_Lookup[#Headers],0),FALSE),"")</f>
        <v/>
      </c>
      <c r="AG716" s="1" t="str">
        <f>_xlfn.IFNA(VLOOKUP(Master_Reference[[#This Row],[C-Flex 3500K Eco Part Number]],Lutron_CFlex_Lookup[],MATCH("Lutron Kit PN",Lutron_CFlex_Lookup[#Headers],0),FALSE),"")</f>
        <v/>
      </c>
      <c r="AH716" s="1" t="str">
        <f>_xlfn.IFNA(VLOOKUP(Master_Reference[[#This Row],[C-Flex 4000K Eco Part Number]],Lutron_CFlex_Lookup[],MATCH("Lutron Kit PN",Lutron_CFlex_Lookup[#Headers],0),FALSE),"")</f>
        <v/>
      </c>
      <c r="AI716" s="1" t="str">
        <f>_xlfn.IFNA(VLOOKUP(Master_Reference[[#This Row],[C-Flex 5000K Eco Part Number]],Lutron_CFlex_Lookup[],MATCH("Lutron Kit PN",Lutron_CFlex_Lookup[#Headers],0),FALSE),"")</f>
        <v/>
      </c>
      <c r="AJ716" s="1" t="str">
        <f>_xlfn.IFNA(VLOOKUP(Master_Reference[[#This Row],[C-Flex 3000K 3W Part Number]],Lutron_CFlex_Lookup[],MATCH("Lutron Kit PN",Lutron_CFlex_Lookup[#Headers],0),FALSE),"")</f>
        <v>3LDPCAH-1C30-q</v>
      </c>
      <c r="AK716" s="1" t="str">
        <f>_xlfn.IFNA(VLOOKUP(Master_Reference[[#This Row],[C-Flex 3500K 3W Part Number]],Lutron_CFlex_Lookup[],MATCH("Lutron Kit PN",Lutron_CFlex_Lookup[#Headers],0),FALSE),"")</f>
        <v>3LDPCAH-1C35-q</v>
      </c>
      <c r="AL716" s="1" t="str">
        <f>_xlfn.IFNA(VLOOKUP(Master_Reference[[#This Row],[C-Flex 4000K 3W Part Number]],Lutron_CFlex_Lookup[],MATCH("Lutron Kit PN",Lutron_CFlex_Lookup[#Headers],0),FALSE),"")</f>
        <v>3LDPCAH-1C40-q</v>
      </c>
      <c r="AM716" s="1" t="str">
        <f>_xlfn.IFNA(VLOOKUP(Master_Reference[[#This Row],[C-Flex 5000K 3W Part Number]],Lutron_CFlex_Lookup[],MATCH("Lutron Kit PN",Lutron_CFlex_Lookup[#Headers],0),FALSE),"")</f>
        <v/>
      </c>
      <c r="AN716" s="1" t="b">
        <f>NOT(ISNA(VLOOKUP(Master_Reference[[#This Row],[Model Number]],ObsoleteModels[],1,FALSE)))</f>
        <v>1</v>
      </c>
      <c r="AO716" s="1" t="str">
        <f>IF(LEFT(Master_Reference[[#This Row],[Model Number]],1)="U",LEFT(Master_Reference[[#This Row],[Model Number]],4),LEFT(Master_Reference[[#This Row],[Model Number]],3))</f>
        <v>FDB</v>
      </c>
    </row>
    <row r="717" spans="1:41" x14ac:dyDescent="0.25">
      <c r="A717" s="2" t="s">
        <v>1018</v>
      </c>
      <c r="B717" s="1"/>
      <c r="C717" s="1" t="b">
        <v>1</v>
      </c>
      <c r="G717" s="1" t="str">
        <f>IF(OR(LEFT(RIGHT(Master_Reference[[#This Row],[Model Number]],3),1)="C",LEFT(RIGHT(Master_Reference[[#This Row],[Model Number]],4),1)="C"),TRUE,"")</f>
        <v/>
      </c>
      <c r="H717" s="1" t="str">
        <f>IF(LEFT(Master_Reference[[#This Row],[Model Number]],1)="U",TRUE,"")</f>
        <v/>
      </c>
      <c r="I717" s="1" t="str">
        <f>IF(Master_Reference[[#This Row],[Lamp Type]]="T4","",IF(Master_Reference[[#This Row],[Case Type]]="M","",TRUE))</f>
        <v/>
      </c>
      <c r="J717" s="1" t="s">
        <v>87</v>
      </c>
      <c r="K717" s="1">
        <v>42</v>
      </c>
      <c r="L717" s="1" t="s">
        <v>88</v>
      </c>
      <c r="M717" s="1">
        <v>2</v>
      </c>
      <c r="N717" s="1">
        <v>277</v>
      </c>
      <c r="O717" s="1" t="s">
        <v>106</v>
      </c>
      <c r="P717" s="1" t="b">
        <v>1</v>
      </c>
      <c r="R717" t="b">
        <f>IF(COUNTBLANK(Master_Reference[[#This Row],[C-Flex 3000K Eco Part Number]:[C-Flex 4000K Eco Part Number]])=3,FALSE,TRUE)</f>
        <v>0</v>
      </c>
      <c r="S717" t="b">
        <f>IF(COUNTBLANK(Master_Reference[[#This Row],[C-Flex 3000K 3W Part Number]:[C-Flex 4000K 3W Part Number]])=3,FALSE,TRUE)</f>
        <v>1</v>
      </c>
      <c r="T717" t="b">
        <f>IF(COUNTBLANK(Master_Reference[[#This Row],[Lutron 3000K Eco Part Number]:[Lutron 4000K Eco Part Number]])=3,FALSE,TRUE)</f>
        <v>0</v>
      </c>
      <c r="U717" t="b">
        <f>IF(COUNTBLANK(Master_Reference[[#This Row],[Lutron 3000K 3W Part Number]:[Lutron 4000K 3W Part Number]])=3,FALSE,TRUE)</f>
        <v>1</v>
      </c>
      <c r="V717" s="12"/>
      <c r="W717" s="12"/>
      <c r="X717" s="12"/>
      <c r="Y717" t="s">
        <v>2125</v>
      </c>
      <c r="Z717" s="12" t="s">
        <v>1601</v>
      </c>
      <c r="AA717" s="12" t="s">
        <v>1602</v>
      </c>
      <c r="AB717" s="12" t="s">
        <v>1603</v>
      </c>
      <c r="AC717" t="s">
        <v>2125</v>
      </c>
      <c r="AD717" t="str">
        <f>SUBSTITUTE(Master_Reference[[#This Row],[C-Flex 4000K Eco Part Number]],"40-","xx-")</f>
        <v/>
      </c>
      <c r="AE717" t="str">
        <f>SUBSTITUTE(Master_Reference[[#This Row],[C-Flex 4000K 3W Part Number]],"40-","xx-")</f>
        <v>RP-G24Q-242H-1L-8xx-3W-K-G2</v>
      </c>
      <c r="AF717" s="1" t="str">
        <f>_xlfn.IFNA(VLOOKUP(Master_Reference[[#This Row],[C-Flex 3000K Eco Part Number]],Lutron_CFlex_Lookup[],MATCH("Lutron Kit PN",Lutron_CFlex_Lookup[#Headers],0),FALSE),"")</f>
        <v/>
      </c>
      <c r="AG717" s="1" t="str">
        <f>_xlfn.IFNA(VLOOKUP(Master_Reference[[#This Row],[C-Flex 3500K Eco Part Number]],Lutron_CFlex_Lookup[],MATCH("Lutron Kit PN",Lutron_CFlex_Lookup[#Headers],0),FALSE),"")</f>
        <v/>
      </c>
      <c r="AH717" s="1" t="str">
        <f>_xlfn.IFNA(VLOOKUP(Master_Reference[[#This Row],[C-Flex 4000K Eco Part Number]],Lutron_CFlex_Lookup[],MATCH("Lutron Kit PN",Lutron_CFlex_Lookup[#Headers],0),FALSE),"")</f>
        <v/>
      </c>
      <c r="AI717" s="1" t="str">
        <f>_xlfn.IFNA(VLOOKUP(Master_Reference[[#This Row],[C-Flex 5000K Eco Part Number]],Lutron_CFlex_Lookup[],MATCH("Lutron Kit PN",Lutron_CFlex_Lookup[#Headers],0),FALSE),"")</f>
        <v/>
      </c>
      <c r="AJ717" s="1" t="str">
        <f>_xlfn.IFNA(VLOOKUP(Master_Reference[[#This Row],[C-Flex 3000K 3W Part Number]],Lutron_CFlex_Lookup[],MATCH("Lutron Kit PN",Lutron_CFlex_Lookup[#Headers],0),FALSE),"")</f>
        <v>3LDPCAH-1K30-q</v>
      </c>
      <c r="AK717" s="1" t="str">
        <f>_xlfn.IFNA(VLOOKUP(Master_Reference[[#This Row],[C-Flex 3500K 3W Part Number]],Lutron_CFlex_Lookup[],MATCH("Lutron Kit PN",Lutron_CFlex_Lookup[#Headers],0),FALSE),"")</f>
        <v>3LDPCAH-1K35-q</v>
      </c>
      <c r="AL717" s="1" t="str">
        <f>_xlfn.IFNA(VLOOKUP(Master_Reference[[#This Row],[C-Flex 4000K 3W Part Number]],Lutron_CFlex_Lookup[],MATCH("Lutron Kit PN",Lutron_CFlex_Lookup[#Headers],0),FALSE),"")</f>
        <v>3LDPCAH-1K40-q</v>
      </c>
      <c r="AM717" s="1" t="str">
        <f>_xlfn.IFNA(VLOOKUP(Master_Reference[[#This Row],[C-Flex 5000K 3W Part Number]],Lutron_CFlex_Lookup[],MATCH("Lutron Kit PN",Lutron_CFlex_Lookup[#Headers],0),FALSE),"")</f>
        <v/>
      </c>
      <c r="AN717" s="1" t="b">
        <f>NOT(ISNA(VLOOKUP(Master_Reference[[#This Row],[Model Number]],ObsoleteModels[],1,FALSE)))</f>
        <v>1</v>
      </c>
      <c r="AO717" s="1" t="str">
        <f>IF(LEFT(Master_Reference[[#This Row],[Model Number]],1)="U",LEFT(Master_Reference[[#This Row],[Model Number]],4),LEFT(Master_Reference[[#This Row],[Model Number]],3))</f>
        <v>FDB</v>
      </c>
    </row>
    <row r="718" spans="1:41" x14ac:dyDescent="0.25">
      <c r="A718" s="2" t="s">
        <v>1019</v>
      </c>
      <c r="B718" s="1"/>
      <c r="C718" s="1" t="b">
        <v>1</v>
      </c>
      <c r="G718" s="1" t="str">
        <f>IF(OR(LEFT(RIGHT(Master_Reference[[#This Row],[Model Number]],3),1)="C",LEFT(RIGHT(Master_Reference[[#This Row],[Model Number]],4),1)="C"),TRUE,"")</f>
        <v/>
      </c>
      <c r="H718" s="1" t="str">
        <f>IF(LEFT(Master_Reference[[#This Row],[Model Number]],1)="U",TRUE,"")</f>
        <v/>
      </c>
      <c r="I718" s="1" t="b">
        <f>IF(Master_Reference[[#This Row],[Lamp Type]]="T4","",IF(Master_Reference[[#This Row],[Case Type]]="M","",TRUE))</f>
        <v>1</v>
      </c>
      <c r="J718" s="1" t="s">
        <v>297</v>
      </c>
      <c r="K718" s="1">
        <v>24</v>
      </c>
      <c r="L718" s="1" t="s">
        <v>112</v>
      </c>
      <c r="M718" s="1">
        <v>1</v>
      </c>
      <c r="N718" s="1">
        <v>120</v>
      </c>
      <c r="O718" s="1" t="s">
        <v>113</v>
      </c>
      <c r="R718" t="b">
        <f>IF(COUNTBLANK(Master_Reference[[#This Row],[C-Flex 3000K Eco Part Number]:[C-Flex 4000K Eco Part Number]])=3,FALSE,TRUE)</f>
        <v>0</v>
      </c>
      <c r="S718" t="b">
        <f>IF(COUNTBLANK(Master_Reference[[#This Row],[C-Flex 3000K 3W Part Number]:[C-Flex 4000K 3W Part Number]])=3,FALSE,TRUE)</f>
        <v>1</v>
      </c>
      <c r="T718" t="b">
        <f>IF(COUNTBLANK(Master_Reference[[#This Row],[Lutron 3000K Eco Part Number]:[Lutron 4000K Eco Part Number]])=3,FALSE,TRUE)</f>
        <v>0</v>
      </c>
      <c r="U718" t="b">
        <f>IF(COUNTBLANK(Master_Reference[[#This Row],[Lutron 3000K 3W Part Number]:[Lutron 4000K 3W Part Number]])=3,FALSE,TRUE)</f>
        <v>1</v>
      </c>
      <c r="V718" s="12"/>
      <c r="W718" s="12"/>
      <c r="X718" s="12"/>
      <c r="Y718" t="s">
        <v>2125</v>
      </c>
      <c r="Z718" s="12" t="s">
        <v>358</v>
      </c>
      <c r="AA718" s="12" t="s">
        <v>359</v>
      </c>
      <c r="AB718" s="12" t="s">
        <v>360</v>
      </c>
      <c r="AC718" t="s">
        <v>1809</v>
      </c>
      <c r="AD718" t="str">
        <f>SUBSTITUTE(Master_Reference[[#This Row],[C-Flex 4000K Eco Part Number]],"40-","xx-")</f>
        <v/>
      </c>
      <c r="AE718" t="str">
        <f>SUBSTITUTE(Master_Reference[[#This Row],[C-Flex 4000K 3W Part Number]],"40-","xx-")</f>
        <v>RP-T5HO-2FT-1L-8xx-3W-M-G2</v>
      </c>
      <c r="AF718" s="1" t="str">
        <f>_xlfn.IFNA(VLOOKUP(Master_Reference[[#This Row],[C-Flex 3000K Eco Part Number]],Lutron_CFlex_Lookup[],MATCH("Lutron Kit PN",Lutron_CFlex_Lookup[#Headers],0),FALSE),"")</f>
        <v/>
      </c>
      <c r="AG718" s="1" t="str">
        <f>_xlfn.IFNA(VLOOKUP(Master_Reference[[#This Row],[C-Flex 3500K Eco Part Number]],Lutron_CFlex_Lookup[],MATCH("Lutron Kit PN",Lutron_CFlex_Lookup[#Headers],0),FALSE),"")</f>
        <v/>
      </c>
      <c r="AH718" s="1" t="str">
        <f>_xlfn.IFNA(VLOOKUP(Master_Reference[[#This Row],[C-Flex 4000K Eco Part Number]],Lutron_CFlex_Lookup[],MATCH("Lutron Kit PN",Lutron_CFlex_Lookup[#Headers],0),FALSE),"")</f>
        <v/>
      </c>
      <c r="AI718" s="1" t="str">
        <f>_xlfn.IFNA(VLOOKUP(Master_Reference[[#This Row],[C-Flex 5000K Eco Part Number]],Lutron_CFlex_Lookup[],MATCH("Lutron Kit PN",Lutron_CFlex_Lookup[#Headers],0),FALSE),"")</f>
        <v/>
      </c>
      <c r="AJ718" s="1" t="str">
        <f>_xlfn.IFNA(VLOOKUP(Master_Reference[[#This Row],[C-Flex 3000K 3W Part Number]],Lutron_CFlex_Lookup[],MATCH("Lutron Kit PN",Lutron_CFlex_Lookup[#Headers],0),FALSE),"")</f>
        <v>3LD2T5H-1M30-q</v>
      </c>
      <c r="AK718" s="1" t="str">
        <f>_xlfn.IFNA(VLOOKUP(Master_Reference[[#This Row],[C-Flex 3500K 3W Part Number]],Lutron_CFlex_Lookup[],MATCH("Lutron Kit PN",Lutron_CFlex_Lookup[#Headers],0),FALSE),"")</f>
        <v>3LD2T5H-1M35-q</v>
      </c>
      <c r="AL718" s="1" t="str">
        <f>_xlfn.IFNA(VLOOKUP(Master_Reference[[#This Row],[C-Flex 4000K 3W Part Number]],Lutron_CFlex_Lookup[],MATCH("Lutron Kit PN",Lutron_CFlex_Lookup[#Headers],0),FALSE),"")</f>
        <v>3LD2T5H-1M40-q</v>
      </c>
      <c r="AM718" s="1" t="str">
        <f>_xlfn.IFNA(VLOOKUP(Master_Reference[[#This Row],[C-Flex 5000K 3W Part Number]],Lutron_CFlex_Lookup[],MATCH("Lutron Kit PN",Lutron_CFlex_Lookup[#Headers],0),FALSE),"")</f>
        <v>3LD2T5H-1M50-q</v>
      </c>
      <c r="AN718" s="1" t="b">
        <f>NOT(ISNA(VLOOKUP(Master_Reference[[#This Row],[Model Number]],ObsoleteModels[],1,FALSE)))</f>
        <v>1</v>
      </c>
      <c r="AO718" s="1" t="str">
        <f>IF(LEFT(Master_Reference[[#This Row],[Model Number]],1)="U",LEFT(Master_Reference[[#This Row],[Model Number]],4),LEFT(Master_Reference[[#This Row],[Model Number]],3))</f>
        <v>FDB</v>
      </c>
    </row>
    <row r="719" spans="1:41" x14ac:dyDescent="0.25">
      <c r="A719" s="2" t="s">
        <v>1020</v>
      </c>
      <c r="B719" s="1"/>
      <c r="C719" s="1" t="b">
        <v>1</v>
      </c>
      <c r="G719" s="1" t="str">
        <f>IF(OR(LEFT(RIGHT(Master_Reference[[#This Row],[Model Number]],3),1)="C",LEFT(RIGHT(Master_Reference[[#This Row],[Model Number]],4),1)="C"),TRUE,"")</f>
        <v/>
      </c>
      <c r="H719" s="1" t="str">
        <f>IF(LEFT(Master_Reference[[#This Row],[Model Number]],1)="U",TRUE,"")</f>
        <v/>
      </c>
      <c r="I719" s="1" t="b">
        <f>IF(Master_Reference[[#This Row],[Lamp Type]]="T4","",IF(Master_Reference[[#This Row],[Case Type]]="M","",TRUE))</f>
        <v>1</v>
      </c>
      <c r="J719" s="1" t="s">
        <v>297</v>
      </c>
      <c r="K719" s="1">
        <v>24</v>
      </c>
      <c r="L719" s="1" t="s">
        <v>112</v>
      </c>
      <c r="M719" s="1">
        <v>2</v>
      </c>
      <c r="N719" s="1">
        <v>120</v>
      </c>
      <c r="O719" s="1" t="s">
        <v>113</v>
      </c>
      <c r="R719" t="b">
        <f>IF(COUNTBLANK(Master_Reference[[#This Row],[C-Flex 3000K Eco Part Number]:[C-Flex 4000K Eco Part Number]])=3,FALSE,TRUE)</f>
        <v>0</v>
      </c>
      <c r="S719" t="b">
        <f>IF(COUNTBLANK(Master_Reference[[#This Row],[C-Flex 3000K 3W Part Number]:[C-Flex 4000K 3W Part Number]])=3,FALSE,TRUE)</f>
        <v>1</v>
      </c>
      <c r="T719" t="b">
        <f>IF(COUNTBLANK(Master_Reference[[#This Row],[Lutron 3000K Eco Part Number]:[Lutron 4000K Eco Part Number]])=3,FALSE,TRUE)</f>
        <v>0</v>
      </c>
      <c r="U719" t="b">
        <f>IF(COUNTBLANK(Master_Reference[[#This Row],[Lutron 3000K 3W Part Number]:[Lutron 4000K 3W Part Number]])=3,FALSE,TRUE)</f>
        <v>1</v>
      </c>
      <c r="V719" s="12"/>
      <c r="W719" s="12"/>
      <c r="X719" s="12"/>
      <c r="Y719" t="s">
        <v>2125</v>
      </c>
      <c r="Z719" s="12" t="s">
        <v>365</v>
      </c>
      <c r="AA719" s="12" t="s">
        <v>366</v>
      </c>
      <c r="AB719" s="12" t="s">
        <v>367</v>
      </c>
      <c r="AC719" t="s">
        <v>1810</v>
      </c>
      <c r="AD719" t="str">
        <f>SUBSTITUTE(Master_Reference[[#This Row],[C-Flex 4000K Eco Part Number]],"40-","xx-")</f>
        <v/>
      </c>
      <c r="AE719" t="str">
        <f>SUBSTITUTE(Master_Reference[[#This Row],[C-Flex 4000K 3W Part Number]],"40-","xx-")</f>
        <v>RP-T5HO-2FT-2L-8xx-3W-M-G2</v>
      </c>
      <c r="AF719" s="1" t="str">
        <f>_xlfn.IFNA(VLOOKUP(Master_Reference[[#This Row],[C-Flex 3000K Eco Part Number]],Lutron_CFlex_Lookup[],MATCH("Lutron Kit PN",Lutron_CFlex_Lookup[#Headers],0),FALSE),"")</f>
        <v/>
      </c>
      <c r="AG719" s="1" t="str">
        <f>_xlfn.IFNA(VLOOKUP(Master_Reference[[#This Row],[C-Flex 3500K Eco Part Number]],Lutron_CFlex_Lookup[],MATCH("Lutron Kit PN",Lutron_CFlex_Lookup[#Headers],0),FALSE),"")</f>
        <v/>
      </c>
      <c r="AH719" s="1" t="str">
        <f>_xlfn.IFNA(VLOOKUP(Master_Reference[[#This Row],[C-Flex 4000K Eco Part Number]],Lutron_CFlex_Lookup[],MATCH("Lutron Kit PN",Lutron_CFlex_Lookup[#Headers],0),FALSE),"")</f>
        <v/>
      </c>
      <c r="AI719" s="1" t="str">
        <f>_xlfn.IFNA(VLOOKUP(Master_Reference[[#This Row],[C-Flex 5000K Eco Part Number]],Lutron_CFlex_Lookup[],MATCH("Lutron Kit PN",Lutron_CFlex_Lookup[#Headers],0),FALSE),"")</f>
        <v/>
      </c>
      <c r="AJ719" s="1" t="str">
        <f>_xlfn.IFNA(VLOOKUP(Master_Reference[[#This Row],[C-Flex 3000K 3W Part Number]],Lutron_CFlex_Lookup[],MATCH("Lutron Kit PN",Lutron_CFlex_Lookup[#Headers],0),FALSE),"")</f>
        <v>3LD2T5H-2M30-q</v>
      </c>
      <c r="AK719" s="1" t="str">
        <f>_xlfn.IFNA(VLOOKUP(Master_Reference[[#This Row],[C-Flex 3500K 3W Part Number]],Lutron_CFlex_Lookup[],MATCH("Lutron Kit PN",Lutron_CFlex_Lookup[#Headers],0),FALSE),"")</f>
        <v>3LD2T5H-2M35-q</v>
      </c>
      <c r="AL719" s="1" t="str">
        <f>_xlfn.IFNA(VLOOKUP(Master_Reference[[#This Row],[C-Flex 4000K 3W Part Number]],Lutron_CFlex_Lookup[],MATCH("Lutron Kit PN",Lutron_CFlex_Lookup[#Headers],0),FALSE),"")</f>
        <v>3LD2T5H-2M40-q</v>
      </c>
      <c r="AM719" s="1" t="str">
        <f>_xlfn.IFNA(VLOOKUP(Master_Reference[[#This Row],[C-Flex 5000K 3W Part Number]],Lutron_CFlex_Lookup[],MATCH("Lutron Kit PN",Lutron_CFlex_Lookup[#Headers],0),FALSE),"")</f>
        <v>3LD2T5H-2M50-q</v>
      </c>
      <c r="AN719" s="1" t="b">
        <f>NOT(ISNA(VLOOKUP(Master_Reference[[#This Row],[Model Number]],ObsoleteModels[],1,FALSE)))</f>
        <v>1</v>
      </c>
      <c r="AO719" s="1" t="str">
        <f>IF(LEFT(Master_Reference[[#This Row],[Model Number]],1)="U",LEFT(Master_Reference[[#This Row],[Model Number]],4),LEFT(Master_Reference[[#This Row],[Model Number]],3))</f>
        <v>FDB</v>
      </c>
    </row>
    <row r="720" spans="1:41" x14ac:dyDescent="0.25">
      <c r="A720" s="2" t="s">
        <v>1021</v>
      </c>
      <c r="B720" s="1"/>
      <c r="C720" s="1" t="b">
        <v>1</v>
      </c>
      <c r="G720" s="1" t="str">
        <f>IF(OR(LEFT(RIGHT(Master_Reference[[#This Row],[Model Number]],3),1)="C",LEFT(RIGHT(Master_Reference[[#This Row],[Model Number]],4),1)="C"),TRUE,"")</f>
        <v/>
      </c>
      <c r="H720" s="1" t="str">
        <f>IF(LEFT(Master_Reference[[#This Row],[Model Number]],1)="U",TRUE,"")</f>
        <v/>
      </c>
      <c r="I720" s="1" t="b">
        <f>IF(Master_Reference[[#This Row],[Lamp Type]]="T4","",IF(Master_Reference[[#This Row],[Case Type]]="M","",TRUE))</f>
        <v>1</v>
      </c>
      <c r="J720" s="1" t="s">
        <v>297</v>
      </c>
      <c r="K720" s="1">
        <v>24</v>
      </c>
      <c r="L720" s="1" t="s">
        <v>112</v>
      </c>
      <c r="M720" s="1">
        <v>1</v>
      </c>
      <c r="N720" s="1">
        <v>277</v>
      </c>
      <c r="O720" s="1" t="s">
        <v>113</v>
      </c>
      <c r="R720" t="b">
        <f>IF(COUNTBLANK(Master_Reference[[#This Row],[C-Flex 3000K Eco Part Number]:[C-Flex 4000K Eco Part Number]])=3,FALSE,TRUE)</f>
        <v>0</v>
      </c>
      <c r="S720" t="b">
        <f>IF(COUNTBLANK(Master_Reference[[#This Row],[C-Flex 3000K 3W Part Number]:[C-Flex 4000K 3W Part Number]])=3,FALSE,TRUE)</f>
        <v>1</v>
      </c>
      <c r="T720" t="b">
        <f>IF(COUNTBLANK(Master_Reference[[#This Row],[Lutron 3000K Eco Part Number]:[Lutron 4000K Eco Part Number]])=3,FALSE,TRUE)</f>
        <v>0</v>
      </c>
      <c r="U720" t="b">
        <f>IF(COUNTBLANK(Master_Reference[[#This Row],[Lutron 3000K 3W Part Number]:[Lutron 4000K 3W Part Number]])=3,FALSE,TRUE)</f>
        <v>1</v>
      </c>
      <c r="V720" s="12"/>
      <c r="W720" s="12"/>
      <c r="X720" s="12"/>
      <c r="Y720" t="s">
        <v>2125</v>
      </c>
      <c r="Z720" s="12" t="s">
        <v>358</v>
      </c>
      <c r="AA720" s="12" t="s">
        <v>359</v>
      </c>
      <c r="AB720" s="12" t="s">
        <v>360</v>
      </c>
      <c r="AC720" t="s">
        <v>1809</v>
      </c>
      <c r="AD720" t="str">
        <f>SUBSTITUTE(Master_Reference[[#This Row],[C-Flex 4000K Eco Part Number]],"40-","xx-")</f>
        <v/>
      </c>
      <c r="AE720" t="str">
        <f>SUBSTITUTE(Master_Reference[[#This Row],[C-Flex 4000K 3W Part Number]],"40-","xx-")</f>
        <v>RP-T5HO-2FT-1L-8xx-3W-M-G2</v>
      </c>
      <c r="AF720" s="1" t="str">
        <f>_xlfn.IFNA(VLOOKUP(Master_Reference[[#This Row],[C-Flex 3000K Eco Part Number]],Lutron_CFlex_Lookup[],MATCH("Lutron Kit PN",Lutron_CFlex_Lookup[#Headers],0),FALSE),"")</f>
        <v/>
      </c>
      <c r="AG720" s="1" t="str">
        <f>_xlfn.IFNA(VLOOKUP(Master_Reference[[#This Row],[C-Flex 3500K Eco Part Number]],Lutron_CFlex_Lookup[],MATCH("Lutron Kit PN",Lutron_CFlex_Lookup[#Headers],0),FALSE),"")</f>
        <v/>
      </c>
      <c r="AH720" s="1" t="str">
        <f>_xlfn.IFNA(VLOOKUP(Master_Reference[[#This Row],[C-Flex 4000K Eco Part Number]],Lutron_CFlex_Lookup[],MATCH("Lutron Kit PN",Lutron_CFlex_Lookup[#Headers],0),FALSE),"")</f>
        <v/>
      </c>
      <c r="AI720" s="1" t="str">
        <f>_xlfn.IFNA(VLOOKUP(Master_Reference[[#This Row],[C-Flex 5000K Eco Part Number]],Lutron_CFlex_Lookup[],MATCH("Lutron Kit PN",Lutron_CFlex_Lookup[#Headers],0),FALSE),"")</f>
        <v/>
      </c>
      <c r="AJ720" s="1" t="str">
        <f>_xlfn.IFNA(VLOOKUP(Master_Reference[[#This Row],[C-Flex 3000K 3W Part Number]],Lutron_CFlex_Lookup[],MATCH("Lutron Kit PN",Lutron_CFlex_Lookup[#Headers],0),FALSE),"")</f>
        <v>3LD2T5H-1M30-q</v>
      </c>
      <c r="AK720" s="1" t="str">
        <f>_xlfn.IFNA(VLOOKUP(Master_Reference[[#This Row],[C-Flex 3500K 3W Part Number]],Lutron_CFlex_Lookup[],MATCH("Lutron Kit PN",Lutron_CFlex_Lookup[#Headers],0),FALSE),"")</f>
        <v>3LD2T5H-1M35-q</v>
      </c>
      <c r="AL720" s="1" t="str">
        <f>_xlfn.IFNA(VLOOKUP(Master_Reference[[#This Row],[C-Flex 4000K 3W Part Number]],Lutron_CFlex_Lookup[],MATCH("Lutron Kit PN",Lutron_CFlex_Lookup[#Headers],0),FALSE),"")</f>
        <v>3LD2T5H-1M40-q</v>
      </c>
      <c r="AM720" s="1" t="str">
        <f>_xlfn.IFNA(VLOOKUP(Master_Reference[[#This Row],[C-Flex 5000K 3W Part Number]],Lutron_CFlex_Lookup[],MATCH("Lutron Kit PN",Lutron_CFlex_Lookup[#Headers],0),FALSE),"")</f>
        <v>3LD2T5H-1M50-q</v>
      </c>
      <c r="AN720" s="1" t="b">
        <f>NOT(ISNA(VLOOKUP(Master_Reference[[#This Row],[Model Number]],ObsoleteModels[],1,FALSE)))</f>
        <v>1</v>
      </c>
      <c r="AO720" s="1" t="str">
        <f>IF(LEFT(Master_Reference[[#This Row],[Model Number]],1)="U",LEFT(Master_Reference[[#This Row],[Model Number]],4),LEFT(Master_Reference[[#This Row],[Model Number]],3))</f>
        <v>FDB</v>
      </c>
    </row>
    <row r="721" spans="1:41" x14ac:dyDescent="0.25">
      <c r="A721" s="2" t="s">
        <v>1022</v>
      </c>
      <c r="B721" s="1"/>
      <c r="C721" s="1" t="b">
        <v>1</v>
      </c>
      <c r="G721" s="1" t="str">
        <f>IF(OR(LEFT(RIGHT(Master_Reference[[#This Row],[Model Number]],3),1)="C",LEFT(RIGHT(Master_Reference[[#This Row],[Model Number]],4),1)="C"),TRUE,"")</f>
        <v/>
      </c>
      <c r="H721" s="1" t="str">
        <f>IF(LEFT(Master_Reference[[#This Row],[Model Number]],1)="U",TRUE,"")</f>
        <v/>
      </c>
      <c r="I721" s="1" t="b">
        <f>IF(Master_Reference[[#This Row],[Lamp Type]]="T4","",IF(Master_Reference[[#This Row],[Case Type]]="M","",TRUE))</f>
        <v>1</v>
      </c>
      <c r="J721" s="1" t="s">
        <v>297</v>
      </c>
      <c r="K721" s="1">
        <v>24</v>
      </c>
      <c r="L721" s="1" t="s">
        <v>112</v>
      </c>
      <c r="M721" s="1">
        <v>2</v>
      </c>
      <c r="N721" s="1">
        <v>277</v>
      </c>
      <c r="O721" s="1" t="s">
        <v>113</v>
      </c>
      <c r="R721" t="b">
        <f>IF(COUNTBLANK(Master_Reference[[#This Row],[C-Flex 3000K Eco Part Number]:[C-Flex 4000K Eco Part Number]])=3,FALSE,TRUE)</f>
        <v>0</v>
      </c>
      <c r="S721" t="b">
        <f>IF(COUNTBLANK(Master_Reference[[#This Row],[C-Flex 3000K 3W Part Number]:[C-Flex 4000K 3W Part Number]])=3,FALSE,TRUE)</f>
        <v>1</v>
      </c>
      <c r="T721" t="b">
        <f>IF(COUNTBLANK(Master_Reference[[#This Row],[Lutron 3000K Eco Part Number]:[Lutron 4000K Eco Part Number]])=3,FALSE,TRUE)</f>
        <v>0</v>
      </c>
      <c r="U721" t="b">
        <f>IF(COUNTBLANK(Master_Reference[[#This Row],[Lutron 3000K 3W Part Number]:[Lutron 4000K 3W Part Number]])=3,FALSE,TRUE)</f>
        <v>1</v>
      </c>
      <c r="V721" s="12"/>
      <c r="W721" s="12"/>
      <c r="X721" s="12"/>
      <c r="Y721" t="s">
        <v>2125</v>
      </c>
      <c r="Z721" s="12" t="s">
        <v>365</v>
      </c>
      <c r="AA721" s="12" t="s">
        <v>366</v>
      </c>
      <c r="AB721" s="12" t="s">
        <v>367</v>
      </c>
      <c r="AC721" t="s">
        <v>1810</v>
      </c>
      <c r="AD721" t="str">
        <f>SUBSTITUTE(Master_Reference[[#This Row],[C-Flex 4000K Eco Part Number]],"40-","xx-")</f>
        <v/>
      </c>
      <c r="AE721" t="str">
        <f>SUBSTITUTE(Master_Reference[[#This Row],[C-Flex 4000K 3W Part Number]],"40-","xx-")</f>
        <v>RP-T5HO-2FT-2L-8xx-3W-M-G2</v>
      </c>
      <c r="AF721" s="1" t="str">
        <f>_xlfn.IFNA(VLOOKUP(Master_Reference[[#This Row],[C-Flex 3000K Eco Part Number]],Lutron_CFlex_Lookup[],MATCH("Lutron Kit PN",Lutron_CFlex_Lookup[#Headers],0),FALSE),"")</f>
        <v/>
      </c>
      <c r="AG721" s="1" t="str">
        <f>_xlfn.IFNA(VLOOKUP(Master_Reference[[#This Row],[C-Flex 3500K Eco Part Number]],Lutron_CFlex_Lookup[],MATCH("Lutron Kit PN",Lutron_CFlex_Lookup[#Headers],0),FALSE),"")</f>
        <v/>
      </c>
      <c r="AH721" s="1" t="str">
        <f>_xlfn.IFNA(VLOOKUP(Master_Reference[[#This Row],[C-Flex 4000K Eco Part Number]],Lutron_CFlex_Lookup[],MATCH("Lutron Kit PN",Lutron_CFlex_Lookup[#Headers],0),FALSE),"")</f>
        <v/>
      </c>
      <c r="AI721" s="1" t="str">
        <f>_xlfn.IFNA(VLOOKUP(Master_Reference[[#This Row],[C-Flex 5000K Eco Part Number]],Lutron_CFlex_Lookup[],MATCH("Lutron Kit PN",Lutron_CFlex_Lookup[#Headers],0),FALSE),"")</f>
        <v/>
      </c>
      <c r="AJ721" s="1" t="str">
        <f>_xlfn.IFNA(VLOOKUP(Master_Reference[[#This Row],[C-Flex 3000K 3W Part Number]],Lutron_CFlex_Lookup[],MATCH("Lutron Kit PN",Lutron_CFlex_Lookup[#Headers],0),FALSE),"")</f>
        <v>3LD2T5H-2M30-q</v>
      </c>
      <c r="AK721" s="1" t="str">
        <f>_xlfn.IFNA(VLOOKUP(Master_Reference[[#This Row],[C-Flex 3500K 3W Part Number]],Lutron_CFlex_Lookup[],MATCH("Lutron Kit PN",Lutron_CFlex_Lookup[#Headers],0),FALSE),"")</f>
        <v>3LD2T5H-2M35-q</v>
      </c>
      <c r="AL721" s="1" t="str">
        <f>_xlfn.IFNA(VLOOKUP(Master_Reference[[#This Row],[C-Flex 4000K 3W Part Number]],Lutron_CFlex_Lookup[],MATCH("Lutron Kit PN",Lutron_CFlex_Lookup[#Headers],0),FALSE),"")</f>
        <v>3LD2T5H-2M40-q</v>
      </c>
      <c r="AM721" s="1" t="str">
        <f>_xlfn.IFNA(VLOOKUP(Master_Reference[[#This Row],[C-Flex 5000K 3W Part Number]],Lutron_CFlex_Lookup[],MATCH("Lutron Kit PN",Lutron_CFlex_Lookup[#Headers],0),FALSE),"")</f>
        <v>3LD2T5H-2M50-q</v>
      </c>
      <c r="AN721" s="1" t="b">
        <f>NOT(ISNA(VLOOKUP(Master_Reference[[#This Row],[Model Number]],ObsoleteModels[],1,FALSE)))</f>
        <v>1</v>
      </c>
      <c r="AO721" s="1" t="str">
        <f>IF(LEFT(Master_Reference[[#This Row],[Model Number]],1)="U",LEFT(Master_Reference[[#This Row],[Model Number]],4),LEFT(Master_Reference[[#This Row],[Model Number]],3))</f>
        <v>FDB</v>
      </c>
    </row>
    <row r="722" spans="1:41" x14ac:dyDescent="0.25">
      <c r="A722" s="2" t="s">
        <v>1023</v>
      </c>
      <c r="B722" s="1"/>
      <c r="C722" s="1" t="b">
        <v>1</v>
      </c>
      <c r="G722" s="1" t="str">
        <f>IF(OR(LEFT(RIGHT(Master_Reference[[#This Row],[Model Number]],3),1)="C",LEFT(RIGHT(Master_Reference[[#This Row],[Model Number]],4),1)="C"),TRUE,"")</f>
        <v/>
      </c>
      <c r="H722" s="1" t="str">
        <f>IF(LEFT(Master_Reference[[#This Row],[Model Number]],1)="U",TRUE,"")</f>
        <v/>
      </c>
      <c r="I722" s="1" t="b">
        <f>IF(Master_Reference[[#This Row],[Lamp Type]]="T4","",IF(Master_Reference[[#This Row],[Case Type]]="M","",TRUE))</f>
        <v>1</v>
      </c>
      <c r="J722" s="1" t="s">
        <v>297</v>
      </c>
      <c r="K722" s="1">
        <v>39</v>
      </c>
      <c r="L722" s="1" t="s">
        <v>115</v>
      </c>
      <c r="M722" s="1">
        <v>1</v>
      </c>
      <c r="N722" s="1">
        <v>120</v>
      </c>
      <c r="O722" s="1" t="s">
        <v>113</v>
      </c>
      <c r="R722" t="b">
        <f>IF(COUNTBLANK(Master_Reference[[#This Row],[C-Flex 3000K Eco Part Number]:[C-Flex 4000K Eco Part Number]])=3,FALSE,TRUE)</f>
        <v>0</v>
      </c>
      <c r="S722" t="b">
        <f>IF(COUNTBLANK(Master_Reference[[#This Row],[C-Flex 3000K 3W Part Number]:[C-Flex 4000K 3W Part Number]])=3,FALSE,TRUE)</f>
        <v>1</v>
      </c>
      <c r="T722" t="b">
        <f>IF(COUNTBLANK(Master_Reference[[#This Row],[Lutron 3000K Eco Part Number]:[Lutron 4000K Eco Part Number]])=3,FALSE,TRUE)</f>
        <v>0</v>
      </c>
      <c r="U722" t="b">
        <f>IF(COUNTBLANK(Master_Reference[[#This Row],[Lutron 3000K 3W Part Number]:[Lutron 4000K 3W Part Number]])=3,FALSE,TRUE)</f>
        <v>1</v>
      </c>
      <c r="V722" s="12"/>
      <c r="W722" s="12"/>
      <c r="X722" s="12"/>
      <c r="Y722" t="s">
        <v>2125</v>
      </c>
      <c r="Z722" s="12" t="s">
        <v>408</v>
      </c>
      <c r="AA722" s="12" t="s">
        <v>409</v>
      </c>
      <c r="AB722" s="12" t="s">
        <v>410</v>
      </c>
      <c r="AC722" t="s">
        <v>1815</v>
      </c>
      <c r="AD722" t="str">
        <f>SUBSTITUTE(Master_Reference[[#This Row],[C-Flex 4000K Eco Part Number]],"40-","xx-")</f>
        <v/>
      </c>
      <c r="AE722" t="str">
        <f>SUBSTITUTE(Master_Reference[[#This Row],[C-Flex 4000K 3W Part Number]],"40-","xx-")</f>
        <v>RP-T5HO-3FT-1L-8xx-3W-M-G2</v>
      </c>
      <c r="AF722" s="1" t="str">
        <f>_xlfn.IFNA(VLOOKUP(Master_Reference[[#This Row],[C-Flex 3000K Eco Part Number]],Lutron_CFlex_Lookup[],MATCH("Lutron Kit PN",Lutron_CFlex_Lookup[#Headers],0),FALSE),"")</f>
        <v/>
      </c>
      <c r="AG722" s="1" t="str">
        <f>_xlfn.IFNA(VLOOKUP(Master_Reference[[#This Row],[C-Flex 3500K Eco Part Number]],Lutron_CFlex_Lookup[],MATCH("Lutron Kit PN",Lutron_CFlex_Lookup[#Headers],0),FALSE),"")</f>
        <v/>
      </c>
      <c r="AH722" s="1" t="str">
        <f>_xlfn.IFNA(VLOOKUP(Master_Reference[[#This Row],[C-Flex 4000K Eco Part Number]],Lutron_CFlex_Lookup[],MATCH("Lutron Kit PN",Lutron_CFlex_Lookup[#Headers],0),FALSE),"")</f>
        <v/>
      </c>
      <c r="AI722" s="1" t="str">
        <f>_xlfn.IFNA(VLOOKUP(Master_Reference[[#This Row],[C-Flex 5000K Eco Part Number]],Lutron_CFlex_Lookup[],MATCH("Lutron Kit PN",Lutron_CFlex_Lookup[#Headers],0),FALSE),"")</f>
        <v/>
      </c>
      <c r="AJ722" s="1" t="str">
        <f>_xlfn.IFNA(VLOOKUP(Master_Reference[[#This Row],[C-Flex 3000K 3W Part Number]],Lutron_CFlex_Lookup[],MATCH("Lutron Kit PN",Lutron_CFlex_Lookup[#Headers],0),FALSE),"")</f>
        <v>3LD3T5H-1M30-q</v>
      </c>
      <c r="AK722" s="1" t="str">
        <f>_xlfn.IFNA(VLOOKUP(Master_Reference[[#This Row],[C-Flex 3500K 3W Part Number]],Lutron_CFlex_Lookup[],MATCH("Lutron Kit PN",Lutron_CFlex_Lookup[#Headers],0),FALSE),"")</f>
        <v>3LD3T5H-1M35-q</v>
      </c>
      <c r="AL722" s="1" t="str">
        <f>_xlfn.IFNA(VLOOKUP(Master_Reference[[#This Row],[C-Flex 4000K 3W Part Number]],Lutron_CFlex_Lookup[],MATCH("Lutron Kit PN",Lutron_CFlex_Lookup[#Headers],0),FALSE),"")</f>
        <v>3LD3T5H-1M40-q</v>
      </c>
      <c r="AM722" s="1" t="str">
        <f>_xlfn.IFNA(VLOOKUP(Master_Reference[[#This Row],[C-Flex 5000K 3W Part Number]],Lutron_CFlex_Lookup[],MATCH("Lutron Kit PN",Lutron_CFlex_Lookup[#Headers],0),FALSE),"")</f>
        <v>3LD3T5H-1M50-q</v>
      </c>
      <c r="AN722" s="1" t="b">
        <f>NOT(ISNA(VLOOKUP(Master_Reference[[#This Row],[Model Number]],ObsoleteModels[],1,FALSE)))</f>
        <v>1</v>
      </c>
      <c r="AO722" s="1" t="str">
        <f>IF(LEFT(Master_Reference[[#This Row],[Model Number]],1)="U",LEFT(Master_Reference[[#This Row],[Model Number]],4),LEFT(Master_Reference[[#This Row],[Model Number]],3))</f>
        <v>FDB</v>
      </c>
    </row>
    <row r="723" spans="1:41" x14ac:dyDescent="0.25">
      <c r="A723" s="2" t="s">
        <v>1024</v>
      </c>
      <c r="B723" s="1"/>
      <c r="C723" s="1" t="b">
        <v>1</v>
      </c>
      <c r="G723" s="1" t="str">
        <f>IF(OR(LEFT(RIGHT(Master_Reference[[#This Row],[Model Number]],3),1)="C",LEFT(RIGHT(Master_Reference[[#This Row],[Model Number]],4),1)="C"),TRUE,"")</f>
        <v/>
      </c>
      <c r="H723" s="1" t="str">
        <f>IF(LEFT(Master_Reference[[#This Row],[Model Number]],1)="U",TRUE,"")</f>
        <v/>
      </c>
      <c r="I723" s="1" t="b">
        <f>IF(Master_Reference[[#This Row],[Lamp Type]]="T4","",IF(Master_Reference[[#This Row],[Case Type]]="M","",TRUE))</f>
        <v>1</v>
      </c>
      <c r="J723" s="1" t="s">
        <v>297</v>
      </c>
      <c r="K723" s="1">
        <v>39</v>
      </c>
      <c r="L723" s="1" t="s">
        <v>115</v>
      </c>
      <c r="M723" s="1">
        <v>2</v>
      </c>
      <c r="N723" s="1">
        <v>120</v>
      </c>
      <c r="O723" s="1" t="s">
        <v>113</v>
      </c>
      <c r="R723" t="b">
        <f>IF(COUNTBLANK(Master_Reference[[#This Row],[C-Flex 3000K Eco Part Number]:[C-Flex 4000K Eco Part Number]])=3,FALSE,TRUE)</f>
        <v>0</v>
      </c>
      <c r="S723" t="b">
        <f>IF(COUNTBLANK(Master_Reference[[#This Row],[C-Flex 3000K 3W Part Number]:[C-Flex 4000K 3W Part Number]])=3,FALSE,TRUE)</f>
        <v>1</v>
      </c>
      <c r="T723" t="b">
        <f>IF(COUNTBLANK(Master_Reference[[#This Row],[Lutron 3000K Eco Part Number]:[Lutron 4000K Eco Part Number]])=3,FALSE,TRUE)</f>
        <v>0</v>
      </c>
      <c r="U723" t="b">
        <f>IF(COUNTBLANK(Master_Reference[[#This Row],[Lutron 3000K 3W Part Number]:[Lutron 4000K 3W Part Number]])=3,FALSE,TRUE)</f>
        <v>1</v>
      </c>
      <c r="V723" s="12"/>
      <c r="W723" s="12"/>
      <c r="X723" s="12"/>
      <c r="Y723" t="s">
        <v>2125</v>
      </c>
      <c r="Z723" s="12" t="s">
        <v>415</v>
      </c>
      <c r="AA723" s="12" t="s">
        <v>416</v>
      </c>
      <c r="AB723" s="12" t="s">
        <v>417</v>
      </c>
      <c r="AC723" t="s">
        <v>1816</v>
      </c>
      <c r="AD723" t="str">
        <f>SUBSTITUTE(Master_Reference[[#This Row],[C-Flex 4000K Eco Part Number]],"40-","xx-")</f>
        <v/>
      </c>
      <c r="AE723" t="str">
        <f>SUBSTITUTE(Master_Reference[[#This Row],[C-Flex 4000K 3W Part Number]],"40-","xx-")</f>
        <v>RP-T5HO-3FT-2L-8xx-3W-M-G2</v>
      </c>
      <c r="AF723" s="1" t="str">
        <f>_xlfn.IFNA(VLOOKUP(Master_Reference[[#This Row],[C-Flex 3000K Eco Part Number]],Lutron_CFlex_Lookup[],MATCH("Lutron Kit PN",Lutron_CFlex_Lookup[#Headers],0),FALSE),"")</f>
        <v/>
      </c>
      <c r="AG723" s="1" t="str">
        <f>_xlfn.IFNA(VLOOKUP(Master_Reference[[#This Row],[C-Flex 3500K Eco Part Number]],Lutron_CFlex_Lookup[],MATCH("Lutron Kit PN",Lutron_CFlex_Lookup[#Headers],0),FALSE),"")</f>
        <v/>
      </c>
      <c r="AH723" s="1" t="str">
        <f>_xlfn.IFNA(VLOOKUP(Master_Reference[[#This Row],[C-Flex 4000K Eco Part Number]],Lutron_CFlex_Lookup[],MATCH("Lutron Kit PN",Lutron_CFlex_Lookup[#Headers],0),FALSE),"")</f>
        <v/>
      </c>
      <c r="AI723" s="1" t="str">
        <f>_xlfn.IFNA(VLOOKUP(Master_Reference[[#This Row],[C-Flex 5000K Eco Part Number]],Lutron_CFlex_Lookup[],MATCH("Lutron Kit PN",Lutron_CFlex_Lookup[#Headers],0),FALSE),"")</f>
        <v/>
      </c>
      <c r="AJ723" s="1" t="str">
        <f>_xlfn.IFNA(VLOOKUP(Master_Reference[[#This Row],[C-Flex 3000K 3W Part Number]],Lutron_CFlex_Lookup[],MATCH("Lutron Kit PN",Lutron_CFlex_Lookup[#Headers],0),FALSE),"")</f>
        <v>3LD3T5H-2M30-q</v>
      </c>
      <c r="AK723" s="1" t="str">
        <f>_xlfn.IFNA(VLOOKUP(Master_Reference[[#This Row],[C-Flex 3500K 3W Part Number]],Lutron_CFlex_Lookup[],MATCH("Lutron Kit PN",Lutron_CFlex_Lookup[#Headers],0),FALSE),"")</f>
        <v>3LD3T5H-2M35-q</v>
      </c>
      <c r="AL723" s="1" t="str">
        <f>_xlfn.IFNA(VLOOKUP(Master_Reference[[#This Row],[C-Flex 4000K 3W Part Number]],Lutron_CFlex_Lookup[],MATCH("Lutron Kit PN",Lutron_CFlex_Lookup[#Headers],0),FALSE),"")</f>
        <v>3LD3T5H-2M40-q</v>
      </c>
      <c r="AM723" s="1" t="str">
        <f>_xlfn.IFNA(VLOOKUP(Master_Reference[[#This Row],[C-Flex 5000K 3W Part Number]],Lutron_CFlex_Lookup[],MATCH("Lutron Kit PN",Lutron_CFlex_Lookup[#Headers],0),FALSE),"")</f>
        <v>3LD3T5H-2M50-q</v>
      </c>
      <c r="AN723" s="1" t="b">
        <f>NOT(ISNA(VLOOKUP(Master_Reference[[#This Row],[Model Number]],ObsoleteModels[],1,FALSE)))</f>
        <v>1</v>
      </c>
      <c r="AO723" s="1" t="str">
        <f>IF(LEFT(Master_Reference[[#This Row],[Model Number]],1)="U",LEFT(Master_Reference[[#This Row],[Model Number]],4),LEFT(Master_Reference[[#This Row],[Model Number]],3))</f>
        <v>FDB</v>
      </c>
    </row>
    <row r="724" spans="1:41" x14ac:dyDescent="0.25">
      <c r="A724" s="2" t="s">
        <v>1025</v>
      </c>
      <c r="B724" s="1"/>
      <c r="C724" s="1" t="b">
        <v>1</v>
      </c>
      <c r="G724" s="1" t="str">
        <f>IF(OR(LEFT(RIGHT(Master_Reference[[#This Row],[Model Number]],3),1)="C",LEFT(RIGHT(Master_Reference[[#This Row],[Model Number]],4),1)="C"),TRUE,"")</f>
        <v/>
      </c>
      <c r="H724" s="1" t="str">
        <f>IF(LEFT(Master_Reference[[#This Row],[Model Number]],1)="U",TRUE,"")</f>
        <v/>
      </c>
      <c r="I724" s="1" t="b">
        <f>IF(Master_Reference[[#This Row],[Lamp Type]]="T4","",IF(Master_Reference[[#This Row],[Case Type]]="M","",TRUE))</f>
        <v>1</v>
      </c>
      <c r="J724" s="1" t="s">
        <v>297</v>
      </c>
      <c r="K724" s="1">
        <v>39</v>
      </c>
      <c r="L724" s="1" t="s">
        <v>115</v>
      </c>
      <c r="M724" s="1">
        <v>1</v>
      </c>
      <c r="N724" s="1">
        <v>277</v>
      </c>
      <c r="O724" s="1" t="s">
        <v>113</v>
      </c>
      <c r="R724" t="b">
        <f>IF(COUNTBLANK(Master_Reference[[#This Row],[C-Flex 3000K Eco Part Number]:[C-Flex 4000K Eco Part Number]])=3,FALSE,TRUE)</f>
        <v>0</v>
      </c>
      <c r="S724" t="b">
        <f>IF(COUNTBLANK(Master_Reference[[#This Row],[C-Flex 3000K 3W Part Number]:[C-Flex 4000K 3W Part Number]])=3,FALSE,TRUE)</f>
        <v>1</v>
      </c>
      <c r="T724" t="b">
        <f>IF(COUNTBLANK(Master_Reference[[#This Row],[Lutron 3000K Eco Part Number]:[Lutron 4000K Eco Part Number]])=3,FALSE,TRUE)</f>
        <v>0</v>
      </c>
      <c r="U724" t="b">
        <f>IF(COUNTBLANK(Master_Reference[[#This Row],[Lutron 3000K 3W Part Number]:[Lutron 4000K 3W Part Number]])=3,FALSE,TRUE)</f>
        <v>1</v>
      </c>
      <c r="V724" s="12"/>
      <c r="W724" s="12"/>
      <c r="X724" s="12"/>
      <c r="Y724" t="s">
        <v>2125</v>
      </c>
      <c r="Z724" s="12" t="s">
        <v>408</v>
      </c>
      <c r="AA724" s="12" t="s">
        <v>409</v>
      </c>
      <c r="AB724" s="12" t="s">
        <v>410</v>
      </c>
      <c r="AC724" t="s">
        <v>1815</v>
      </c>
      <c r="AD724" t="str">
        <f>SUBSTITUTE(Master_Reference[[#This Row],[C-Flex 4000K Eco Part Number]],"40-","xx-")</f>
        <v/>
      </c>
      <c r="AE724" t="str">
        <f>SUBSTITUTE(Master_Reference[[#This Row],[C-Flex 4000K 3W Part Number]],"40-","xx-")</f>
        <v>RP-T5HO-3FT-1L-8xx-3W-M-G2</v>
      </c>
      <c r="AF724" s="1" t="str">
        <f>_xlfn.IFNA(VLOOKUP(Master_Reference[[#This Row],[C-Flex 3000K Eco Part Number]],Lutron_CFlex_Lookup[],MATCH("Lutron Kit PN",Lutron_CFlex_Lookup[#Headers],0),FALSE),"")</f>
        <v/>
      </c>
      <c r="AG724" s="1" t="str">
        <f>_xlfn.IFNA(VLOOKUP(Master_Reference[[#This Row],[C-Flex 3500K Eco Part Number]],Lutron_CFlex_Lookup[],MATCH("Lutron Kit PN",Lutron_CFlex_Lookup[#Headers],0),FALSE),"")</f>
        <v/>
      </c>
      <c r="AH724" s="1" t="str">
        <f>_xlfn.IFNA(VLOOKUP(Master_Reference[[#This Row],[C-Flex 4000K Eco Part Number]],Lutron_CFlex_Lookup[],MATCH("Lutron Kit PN",Lutron_CFlex_Lookup[#Headers],0),FALSE),"")</f>
        <v/>
      </c>
      <c r="AI724" s="1" t="str">
        <f>_xlfn.IFNA(VLOOKUP(Master_Reference[[#This Row],[C-Flex 5000K Eco Part Number]],Lutron_CFlex_Lookup[],MATCH("Lutron Kit PN",Lutron_CFlex_Lookup[#Headers],0),FALSE),"")</f>
        <v/>
      </c>
      <c r="AJ724" s="1" t="str">
        <f>_xlfn.IFNA(VLOOKUP(Master_Reference[[#This Row],[C-Flex 3000K 3W Part Number]],Lutron_CFlex_Lookup[],MATCH("Lutron Kit PN",Lutron_CFlex_Lookup[#Headers],0),FALSE),"")</f>
        <v>3LD3T5H-1M30-q</v>
      </c>
      <c r="AK724" s="1" t="str">
        <f>_xlfn.IFNA(VLOOKUP(Master_Reference[[#This Row],[C-Flex 3500K 3W Part Number]],Lutron_CFlex_Lookup[],MATCH("Lutron Kit PN",Lutron_CFlex_Lookup[#Headers],0),FALSE),"")</f>
        <v>3LD3T5H-1M35-q</v>
      </c>
      <c r="AL724" s="1" t="str">
        <f>_xlfn.IFNA(VLOOKUP(Master_Reference[[#This Row],[C-Flex 4000K 3W Part Number]],Lutron_CFlex_Lookup[],MATCH("Lutron Kit PN",Lutron_CFlex_Lookup[#Headers],0),FALSE),"")</f>
        <v>3LD3T5H-1M40-q</v>
      </c>
      <c r="AM724" s="1" t="str">
        <f>_xlfn.IFNA(VLOOKUP(Master_Reference[[#This Row],[C-Flex 5000K 3W Part Number]],Lutron_CFlex_Lookup[],MATCH("Lutron Kit PN",Lutron_CFlex_Lookup[#Headers],0),FALSE),"")</f>
        <v>3LD3T5H-1M50-q</v>
      </c>
      <c r="AN724" s="1" t="b">
        <f>NOT(ISNA(VLOOKUP(Master_Reference[[#This Row],[Model Number]],ObsoleteModels[],1,FALSE)))</f>
        <v>1</v>
      </c>
      <c r="AO724" s="1" t="str">
        <f>IF(LEFT(Master_Reference[[#This Row],[Model Number]],1)="U",LEFT(Master_Reference[[#This Row],[Model Number]],4),LEFT(Master_Reference[[#This Row],[Model Number]],3))</f>
        <v>FDB</v>
      </c>
    </row>
    <row r="725" spans="1:41" x14ac:dyDescent="0.25">
      <c r="A725" s="2" t="s">
        <v>1026</v>
      </c>
      <c r="B725" s="1"/>
      <c r="C725" s="1" t="b">
        <v>1</v>
      </c>
      <c r="G725" s="1" t="str">
        <f>IF(OR(LEFT(RIGHT(Master_Reference[[#This Row],[Model Number]],3),1)="C",LEFT(RIGHT(Master_Reference[[#This Row],[Model Number]],4),1)="C"),TRUE,"")</f>
        <v/>
      </c>
      <c r="H725" s="1" t="str">
        <f>IF(LEFT(Master_Reference[[#This Row],[Model Number]],1)="U",TRUE,"")</f>
        <v/>
      </c>
      <c r="I725" s="1" t="b">
        <f>IF(Master_Reference[[#This Row],[Lamp Type]]="T4","",IF(Master_Reference[[#This Row],[Case Type]]="M","",TRUE))</f>
        <v>1</v>
      </c>
      <c r="J725" s="1" t="s">
        <v>297</v>
      </c>
      <c r="K725" s="1">
        <v>39</v>
      </c>
      <c r="L725" s="1" t="s">
        <v>115</v>
      </c>
      <c r="M725" s="1">
        <v>2</v>
      </c>
      <c r="N725" s="1">
        <v>277</v>
      </c>
      <c r="O725" s="1" t="s">
        <v>113</v>
      </c>
      <c r="R725" t="b">
        <f>IF(COUNTBLANK(Master_Reference[[#This Row],[C-Flex 3000K Eco Part Number]:[C-Flex 4000K Eco Part Number]])=3,FALSE,TRUE)</f>
        <v>0</v>
      </c>
      <c r="S725" t="b">
        <f>IF(COUNTBLANK(Master_Reference[[#This Row],[C-Flex 3000K 3W Part Number]:[C-Flex 4000K 3W Part Number]])=3,FALSE,TRUE)</f>
        <v>1</v>
      </c>
      <c r="T725" t="b">
        <f>IF(COUNTBLANK(Master_Reference[[#This Row],[Lutron 3000K Eco Part Number]:[Lutron 4000K Eco Part Number]])=3,FALSE,TRUE)</f>
        <v>0</v>
      </c>
      <c r="U725" t="b">
        <f>IF(COUNTBLANK(Master_Reference[[#This Row],[Lutron 3000K 3W Part Number]:[Lutron 4000K 3W Part Number]])=3,FALSE,TRUE)</f>
        <v>1</v>
      </c>
      <c r="V725" s="12"/>
      <c r="W725" s="12"/>
      <c r="X725" s="12"/>
      <c r="Y725" t="s">
        <v>2125</v>
      </c>
      <c r="Z725" s="12" t="s">
        <v>415</v>
      </c>
      <c r="AA725" s="12" t="s">
        <v>416</v>
      </c>
      <c r="AB725" s="12" t="s">
        <v>417</v>
      </c>
      <c r="AC725" t="s">
        <v>1816</v>
      </c>
      <c r="AD725" t="str">
        <f>SUBSTITUTE(Master_Reference[[#This Row],[C-Flex 4000K Eco Part Number]],"40-","xx-")</f>
        <v/>
      </c>
      <c r="AE725" t="str">
        <f>SUBSTITUTE(Master_Reference[[#This Row],[C-Flex 4000K 3W Part Number]],"40-","xx-")</f>
        <v>RP-T5HO-3FT-2L-8xx-3W-M-G2</v>
      </c>
      <c r="AF725" s="1" t="str">
        <f>_xlfn.IFNA(VLOOKUP(Master_Reference[[#This Row],[C-Flex 3000K Eco Part Number]],Lutron_CFlex_Lookup[],MATCH("Lutron Kit PN",Lutron_CFlex_Lookup[#Headers],0),FALSE),"")</f>
        <v/>
      </c>
      <c r="AG725" s="1" t="str">
        <f>_xlfn.IFNA(VLOOKUP(Master_Reference[[#This Row],[C-Flex 3500K Eco Part Number]],Lutron_CFlex_Lookup[],MATCH("Lutron Kit PN",Lutron_CFlex_Lookup[#Headers],0),FALSE),"")</f>
        <v/>
      </c>
      <c r="AH725" s="1" t="str">
        <f>_xlfn.IFNA(VLOOKUP(Master_Reference[[#This Row],[C-Flex 4000K Eco Part Number]],Lutron_CFlex_Lookup[],MATCH("Lutron Kit PN",Lutron_CFlex_Lookup[#Headers],0),FALSE),"")</f>
        <v/>
      </c>
      <c r="AI725" s="1" t="str">
        <f>_xlfn.IFNA(VLOOKUP(Master_Reference[[#This Row],[C-Flex 5000K Eco Part Number]],Lutron_CFlex_Lookup[],MATCH("Lutron Kit PN",Lutron_CFlex_Lookup[#Headers],0),FALSE),"")</f>
        <v/>
      </c>
      <c r="AJ725" s="1" t="str">
        <f>_xlfn.IFNA(VLOOKUP(Master_Reference[[#This Row],[C-Flex 3000K 3W Part Number]],Lutron_CFlex_Lookup[],MATCH("Lutron Kit PN",Lutron_CFlex_Lookup[#Headers],0),FALSE),"")</f>
        <v>3LD3T5H-2M30-q</v>
      </c>
      <c r="AK725" s="1" t="str">
        <f>_xlfn.IFNA(VLOOKUP(Master_Reference[[#This Row],[C-Flex 3500K 3W Part Number]],Lutron_CFlex_Lookup[],MATCH("Lutron Kit PN",Lutron_CFlex_Lookup[#Headers],0),FALSE),"")</f>
        <v>3LD3T5H-2M35-q</v>
      </c>
      <c r="AL725" s="1" t="str">
        <f>_xlfn.IFNA(VLOOKUP(Master_Reference[[#This Row],[C-Flex 4000K 3W Part Number]],Lutron_CFlex_Lookup[],MATCH("Lutron Kit PN",Lutron_CFlex_Lookup[#Headers],0),FALSE),"")</f>
        <v>3LD3T5H-2M40-q</v>
      </c>
      <c r="AM725" s="1" t="str">
        <f>_xlfn.IFNA(VLOOKUP(Master_Reference[[#This Row],[C-Flex 5000K 3W Part Number]],Lutron_CFlex_Lookup[],MATCH("Lutron Kit PN",Lutron_CFlex_Lookup[#Headers],0),FALSE),"")</f>
        <v>3LD3T5H-2M50-q</v>
      </c>
      <c r="AN725" s="1" t="b">
        <f>NOT(ISNA(VLOOKUP(Master_Reference[[#This Row],[Model Number]],ObsoleteModels[],1,FALSE)))</f>
        <v>1</v>
      </c>
      <c r="AO725" s="1" t="str">
        <f>IF(LEFT(Master_Reference[[#This Row],[Model Number]],1)="U",LEFT(Master_Reference[[#This Row],[Model Number]],4),LEFT(Master_Reference[[#This Row],[Model Number]],3))</f>
        <v>FDB</v>
      </c>
    </row>
    <row r="726" spans="1:41" x14ac:dyDescent="0.25">
      <c r="A726" s="2" t="s">
        <v>1027</v>
      </c>
      <c r="B726" s="1"/>
      <c r="C726" s="1" t="b">
        <v>1</v>
      </c>
      <c r="G726" s="1" t="str">
        <f>IF(OR(LEFT(RIGHT(Master_Reference[[#This Row],[Model Number]],3),1)="C",LEFT(RIGHT(Master_Reference[[#This Row],[Model Number]],4),1)="C"),TRUE,"")</f>
        <v/>
      </c>
      <c r="H726" s="1" t="str">
        <f>IF(LEFT(Master_Reference[[#This Row],[Model Number]],1)="U",TRUE,"")</f>
        <v/>
      </c>
      <c r="I726" s="1" t="b">
        <f>IF(Master_Reference[[#This Row],[Lamp Type]]="T4","",IF(Master_Reference[[#This Row],[Case Type]]="M","",TRUE))</f>
        <v>1</v>
      </c>
      <c r="J726" s="1" t="s">
        <v>297</v>
      </c>
      <c r="K726" s="1">
        <v>54</v>
      </c>
      <c r="L726" s="1" t="s">
        <v>118</v>
      </c>
      <c r="M726" s="1">
        <v>1</v>
      </c>
      <c r="N726" s="1">
        <v>120</v>
      </c>
      <c r="O726" s="1" t="s">
        <v>113</v>
      </c>
      <c r="R726" t="b">
        <f>IF(COUNTBLANK(Master_Reference[[#This Row],[C-Flex 3000K Eco Part Number]:[C-Flex 4000K Eco Part Number]])=3,FALSE,TRUE)</f>
        <v>0</v>
      </c>
      <c r="S726" t="b">
        <f>IF(COUNTBLANK(Master_Reference[[#This Row],[C-Flex 3000K 3W Part Number]:[C-Flex 4000K 3W Part Number]])=3,FALSE,TRUE)</f>
        <v>1</v>
      </c>
      <c r="T726" t="b">
        <f>IF(COUNTBLANK(Master_Reference[[#This Row],[Lutron 3000K Eco Part Number]:[Lutron 4000K Eco Part Number]])=3,FALSE,TRUE)</f>
        <v>0</v>
      </c>
      <c r="U726" t="b">
        <f>IF(COUNTBLANK(Master_Reference[[#This Row],[Lutron 3000K 3W Part Number]:[Lutron 4000K 3W Part Number]])=3,FALSE,TRUE)</f>
        <v>1</v>
      </c>
      <c r="V726" s="12"/>
      <c r="W726" s="12"/>
      <c r="X726" s="12"/>
      <c r="Y726" t="s">
        <v>2125</v>
      </c>
      <c r="Z726" s="12" t="s">
        <v>301</v>
      </c>
      <c r="AA726" s="12" t="s">
        <v>302</v>
      </c>
      <c r="AB726" s="12" t="s">
        <v>303</v>
      </c>
      <c r="AC726" t="s">
        <v>1821</v>
      </c>
      <c r="AD726" t="str">
        <f>SUBSTITUTE(Master_Reference[[#This Row],[C-Flex 4000K Eco Part Number]],"40-","xx-")</f>
        <v/>
      </c>
      <c r="AE726" t="str">
        <f>SUBSTITUTE(Master_Reference[[#This Row],[C-Flex 4000K 3W Part Number]],"40-","xx-")</f>
        <v>RP-T5HO-4FT-1L-8xx-3W-M-G2</v>
      </c>
      <c r="AF726" s="1" t="str">
        <f>_xlfn.IFNA(VLOOKUP(Master_Reference[[#This Row],[C-Flex 3000K Eco Part Number]],Lutron_CFlex_Lookup[],MATCH("Lutron Kit PN",Lutron_CFlex_Lookup[#Headers],0),FALSE),"")</f>
        <v/>
      </c>
      <c r="AG726" s="1" t="str">
        <f>_xlfn.IFNA(VLOOKUP(Master_Reference[[#This Row],[C-Flex 3500K Eco Part Number]],Lutron_CFlex_Lookup[],MATCH("Lutron Kit PN",Lutron_CFlex_Lookup[#Headers],0),FALSE),"")</f>
        <v/>
      </c>
      <c r="AH726" s="1" t="str">
        <f>_xlfn.IFNA(VLOOKUP(Master_Reference[[#This Row],[C-Flex 4000K Eco Part Number]],Lutron_CFlex_Lookup[],MATCH("Lutron Kit PN",Lutron_CFlex_Lookup[#Headers],0),FALSE),"")</f>
        <v/>
      </c>
      <c r="AI726" s="1" t="str">
        <f>_xlfn.IFNA(VLOOKUP(Master_Reference[[#This Row],[C-Flex 5000K Eco Part Number]],Lutron_CFlex_Lookup[],MATCH("Lutron Kit PN",Lutron_CFlex_Lookup[#Headers],0),FALSE),"")</f>
        <v/>
      </c>
      <c r="AJ726" s="1" t="str">
        <f>_xlfn.IFNA(VLOOKUP(Master_Reference[[#This Row],[C-Flex 3000K 3W Part Number]],Lutron_CFlex_Lookup[],MATCH("Lutron Kit PN",Lutron_CFlex_Lookup[#Headers],0),FALSE),"")</f>
        <v>3LD4T5H-1M30-q</v>
      </c>
      <c r="AK726" s="1" t="str">
        <f>_xlfn.IFNA(VLOOKUP(Master_Reference[[#This Row],[C-Flex 3500K 3W Part Number]],Lutron_CFlex_Lookup[],MATCH("Lutron Kit PN",Lutron_CFlex_Lookup[#Headers],0),FALSE),"")</f>
        <v>3LD4T5H-1M35-q</v>
      </c>
      <c r="AL726" s="1" t="str">
        <f>_xlfn.IFNA(VLOOKUP(Master_Reference[[#This Row],[C-Flex 4000K 3W Part Number]],Lutron_CFlex_Lookup[],MATCH("Lutron Kit PN",Lutron_CFlex_Lookup[#Headers],0),FALSE),"")</f>
        <v>3LD4T5H-1M40-q</v>
      </c>
      <c r="AM726" s="1" t="str">
        <f>_xlfn.IFNA(VLOOKUP(Master_Reference[[#This Row],[C-Flex 5000K 3W Part Number]],Lutron_CFlex_Lookup[],MATCH("Lutron Kit PN",Lutron_CFlex_Lookup[#Headers],0),FALSE),"")</f>
        <v>3LD4T5H-1M50-q</v>
      </c>
      <c r="AN726" s="1" t="b">
        <f>NOT(ISNA(VLOOKUP(Master_Reference[[#This Row],[Model Number]],ObsoleteModels[],1,FALSE)))</f>
        <v>1</v>
      </c>
      <c r="AO726" s="1" t="str">
        <f>IF(LEFT(Master_Reference[[#This Row],[Model Number]],1)="U",LEFT(Master_Reference[[#This Row],[Model Number]],4),LEFT(Master_Reference[[#This Row],[Model Number]],3))</f>
        <v>FDB</v>
      </c>
    </row>
    <row r="727" spans="1:41" x14ac:dyDescent="0.25">
      <c r="A727" s="2" t="s">
        <v>1028</v>
      </c>
      <c r="B727" s="1"/>
      <c r="C727" s="1" t="b">
        <v>1</v>
      </c>
      <c r="G727" s="1" t="str">
        <f>IF(OR(LEFT(RIGHT(Master_Reference[[#This Row],[Model Number]],3),1)="C",LEFT(RIGHT(Master_Reference[[#This Row],[Model Number]],4),1)="C"),TRUE,"")</f>
        <v/>
      </c>
      <c r="H727" s="1" t="str">
        <f>IF(LEFT(Master_Reference[[#This Row],[Model Number]],1)="U",TRUE,"")</f>
        <v/>
      </c>
      <c r="I727" s="1" t="b">
        <f>IF(Master_Reference[[#This Row],[Lamp Type]]="T4","",IF(Master_Reference[[#This Row],[Case Type]]="M","",TRUE))</f>
        <v>1</v>
      </c>
      <c r="J727" s="1" t="s">
        <v>297</v>
      </c>
      <c r="K727" s="1">
        <v>54</v>
      </c>
      <c r="L727" s="1" t="s">
        <v>118</v>
      </c>
      <c r="M727" s="1">
        <v>1</v>
      </c>
      <c r="N727" s="1">
        <v>120</v>
      </c>
      <c r="O727" s="1" t="s">
        <v>113</v>
      </c>
      <c r="Q727" s="1" t="s">
        <v>91</v>
      </c>
      <c r="R727" t="b">
        <f>IF(COUNTBLANK(Master_Reference[[#This Row],[C-Flex 3000K Eco Part Number]:[C-Flex 4000K Eco Part Number]])=3,FALSE,TRUE)</f>
        <v>0</v>
      </c>
      <c r="S727" t="b">
        <f>IF(COUNTBLANK(Master_Reference[[#This Row],[C-Flex 3000K 3W Part Number]:[C-Flex 4000K 3W Part Number]])=3,FALSE,TRUE)</f>
        <v>0</v>
      </c>
      <c r="T727" t="b">
        <f>IF(COUNTBLANK(Master_Reference[[#This Row],[Lutron 3000K Eco Part Number]:[Lutron 4000K Eco Part Number]])=3,FALSE,TRUE)</f>
        <v>0</v>
      </c>
      <c r="U727" t="b">
        <f>IF(COUNTBLANK(Master_Reference[[#This Row],[Lutron 3000K 3W Part Number]:[Lutron 4000K 3W Part Number]])=3,FALSE,TRUE)</f>
        <v>0</v>
      </c>
      <c r="V727" s="12"/>
      <c r="W727" s="12"/>
      <c r="X727" s="12"/>
      <c r="Y727" t="s">
        <v>2125</v>
      </c>
      <c r="Z727" s="12"/>
      <c r="AA727" s="12"/>
      <c r="AB727" s="12"/>
      <c r="AC727" t="s">
        <v>2125</v>
      </c>
      <c r="AD727" t="str">
        <f>SUBSTITUTE(Master_Reference[[#This Row],[C-Flex 4000K Eco Part Number]],"40-","xx-")</f>
        <v/>
      </c>
      <c r="AE727" t="str">
        <f>SUBSTITUTE(Master_Reference[[#This Row],[C-Flex 4000K 3W Part Number]],"40-","xx-")</f>
        <v/>
      </c>
      <c r="AF727" s="1" t="str">
        <f>_xlfn.IFNA(VLOOKUP(Master_Reference[[#This Row],[C-Flex 3000K Eco Part Number]],Lutron_CFlex_Lookup[],MATCH("Lutron Kit PN",Lutron_CFlex_Lookup[#Headers],0),FALSE),"")</f>
        <v/>
      </c>
      <c r="AG727" s="1" t="str">
        <f>_xlfn.IFNA(VLOOKUP(Master_Reference[[#This Row],[C-Flex 3500K Eco Part Number]],Lutron_CFlex_Lookup[],MATCH("Lutron Kit PN",Lutron_CFlex_Lookup[#Headers],0),FALSE),"")</f>
        <v/>
      </c>
      <c r="AH727" s="1" t="str">
        <f>_xlfn.IFNA(VLOOKUP(Master_Reference[[#This Row],[C-Flex 4000K Eco Part Number]],Lutron_CFlex_Lookup[],MATCH("Lutron Kit PN",Lutron_CFlex_Lookup[#Headers],0),FALSE),"")</f>
        <v/>
      </c>
      <c r="AI727" s="1" t="str">
        <f>_xlfn.IFNA(VLOOKUP(Master_Reference[[#This Row],[C-Flex 5000K Eco Part Number]],Lutron_CFlex_Lookup[],MATCH("Lutron Kit PN",Lutron_CFlex_Lookup[#Headers],0),FALSE),"")</f>
        <v/>
      </c>
      <c r="AJ727" s="1" t="str">
        <f>_xlfn.IFNA(VLOOKUP(Master_Reference[[#This Row],[C-Flex 3000K 3W Part Number]],Lutron_CFlex_Lookup[],MATCH("Lutron Kit PN",Lutron_CFlex_Lookup[#Headers],0),FALSE),"")</f>
        <v/>
      </c>
      <c r="AK727" s="1" t="str">
        <f>_xlfn.IFNA(VLOOKUP(Master_Reference[[#This Row],[C-Flex 3500K 3W Part Number]],Lutron_CFlex_Lookup[],MATCH("Lutron Kit PN",Lutron_CFlex_Lookup[#Headers],0),FALSE),"")</f>
        <v/>
      </c>
      <c r="AL727" s="1" t="str">
        <f>_xlfn.IFNA(VLOOKUP(Master_Reference[[#This Row],[C-Flex 4000K 3W Part Number]],Lutron_CFlex_Lookup[],MATCH("Lutron Kit PN",Lutron_CFlex_Lookup[#Headers],0),FALSE),"")</f>
        <v/>
      </c>
      <c r="AM727" s="1" t="str">
        <f>_xlfn.IFNA(VLOOKUP(Master_Reference[[#This Row],[C-Flex 5000K 3W Part Number]],Lutron_CFlex_Lookup[],MATCH("Lutron Kit PN",Lutron_CFlex_Lookup[#Headers],0),FALSE),"")</f>
        <v/>
      </c>
      <c r="AN727" s="1" t="b">
        <f>NOT(ISNA(VLOOKUP(Master_Reference[[#This Row],[Model Number]],ObsoleteModels[],1,FALSE)))</f>
        <v>1</v>
      </c>
      <c r="AO727" s="1" t="str">
        <f>IF(LEFT(Master_Reference[[#This Row],[Model Number]],1)="U",LEFT(Master_Reference[[#This Row],[Model Number]],4),LEFT(Master_Reference[[#This Row],[Model Number]],3))</f>
        <v>FDB</v>
      </c>
    </row>
    <row r="728" spans="1:41" x14ac:dyDescent="0.25">
      <c r="A728" s="2" t="s">
        <v>1029</v>
      </c>
      <c r="B728" s="1"/>
      <c r="C728" s="1" t="b">
        <v>1</v>
      </c>
      <c r="G728" s="1" t="str">
        <f>IF(OR(LEFT(RIGHT(Master_Reference[[#This Row],[Model Number]],3),1)="C",LEFT(RIGHT(Master_Reference[[#This Row],[Model Number]],4),1)="C"),TRUE,"")</f>
        <v/>
      </c>
      <c r="H728" s="1" t="str">
        <f>IF(LEFT(Master_Reference[[#This Row],[Model Number]],1)="U",TRUE,"")</f>
        <v/>
      </c>
      <c r="I728" s="1" t="b">
        <f>IF(Master_Reference[[#This Row],[Lamp Type]]="T4","",IF(Master_Reference[[#This Row],[Case Type]]="M","",TRUE))</f>
        <v>1</v>
      </c>
      <c r="J728" s="1" t="s">
        <v>297</v>
      </c>
      <c r="K728" s="1">
        <v>54</v>
      </c>
      <c r="L728" s="1" t="s">
        <v>118</v>
      </c>
      <c r="M728" s="1">
        <v>2</v>
      </c>
      <c r="N728" s="1">
        <v>120</v>
      </c>
      <c r="O728" s="1" t="s">
        <v>113</v>
      </c>
      <c r="R728" t="b">
        <f>IF(COUNTBLANK(Master_Reference[[#This Row],[C-Flex 3000K Eco Part Number]:[C-Flex 4000K Eco Part Number]])=3,FALSE,TRUE)</f>
        <v>0</v>
      </c>
      <c r="S728" t="b">
        <f>IF(COUNTBLANK(Master_Reference[[#This Row],[C-Flex 3000K 3W Part Number]:[C-Flex 4000K 3W Part Number]])=3,FALSE,TRUE)</f>
        <v>1</v>
      </c>
      <c r="T728" t="b">
        <f>IF(COUNTBLANK(Master_Reference[[#This Row],[Lutron 3000K Eco Part Number]:[Lutron 4000K Eco Part Number]])=3,FALSE,TRUE)</f>
        <v>0</v>
      </c>
      <c r="U728" t="b">
        <f>IF(COUNTBLANK(Master_Reference[[#This Row],[Lutron 3000K 3W Part Number]:[Lutron 4000K 3W Part Number]])=3,FALSE,TRUE)</f>
        <v>1</v>
      </c>
      <c r="V728" s="12"/>
      <c r="W728" s="12"/>
      <c r="X728" s="12"/>
      <c r="Y728" t="s">
        <v>2125</v>
      </c>
      <c r="Z728" s="12" t="s">
        <v>308</v>
      </c>
      <c r="AA728" s="12" t="s">
        <v>309</v>
      </c>
      <c r="AB728" s="12" t="s">
        <v>310</v>
      </c>
      <c r="AC728" t="s">
        <v>1822</v>
      </c>
      <c r="AD728" t="str">
        <f>SUBSTITUTE(Master_Reference[[#This Row],[C-Flex 4000K Eco Part Number]],"40-","xx-")</f>
        <v/>
      </c>
      <c r="AE728" t="str">
        <f>SUBSTITUTE(Master_Reference[[#This Row],[C-Flex 4000K 3W Part Number]],"40-","xx-")</f>
        <v>RP-T5HO-4FT-2L-8xx-3W-M-G2</v>
      </c>
      <c r="AF728" s="1" t="str">
        <f>_xlfn.IFNA(VLOOKUP(Master_Reference[[#This Row],[C-Flex 3000K Eco Part Number]],Lutron_CFlex_Lookup[],MATCH("Lutron Kit PN",Lutron_CFlex_Lookup[#Headers],0),FALSE),"")</f>
        <v/>
      </c>
      <c r="AG728" s="1" t="str">
        <f>_xlfn.IFNA(VLOOKUP(Master_Reference[[#This Row],[C-Flex 3500K Eco Part Number]],Lutron_CFlex_Lookup[],MATCH("Lutron Kit PN",Lutron_CFlex_Lookup[#Headers],0),FALSE),"")</f>
        <v/>
      </c>
      <c r="AH728" s="1" t="str">
        <f>_xlfn.IFNA(VLOOKUP(Master_Reference[[#This Row],[C-Flex 4000K Eco Part Number]],Lutron_CFlex_Lookup[],MATCH("Lutron Kit PN",Lutron_CFlex_Lookup[#Headers],0),FALSE),"")</f>
        <v/>
      </c>
      <c r="AI728" s="1" t="str">
        <f>_xlfn.IFNA(VLOOKUP(Master_Reference[[#This Row],[C-Flex 5000K Eco Part Number]],Lutron_CFlex_Lookup[],MATCH("Lutron Kit PN",Lutron_CFlex_Lookup[#Headers],0),FALSE),"")</f>
        <v/>
      </c>
      <c r="AJ728" s="1" t="str">
        <f>_xlfn.IFNA(VLOOKUP(Master_Reference[[#This Row],[C-Flex 3000K 3W Part Number]],Lutron_CFlex_Lookup[],MATCH("Lutron Kit PN",Lutron_CFlex_Lookup[#Headers],0),FALSE),"")</f>
        <v>3LD4T5H-2M30-q</v>
      </c>
      <c r="AK728" s="1" t="str">
        <f>_xlfn.IFNA(VLOOKUP(Master_Reference[[#This Row],[C-Flex 3500K 3W Part Number]],Lutron_CFlex_Lookup[],MATCH("Lutron Kit PN",Lutron_CFlex_Lookup[#Headers],0),FALSE),"")</f>
        <v>3LD4T5H-2M35-q</v>
      </c>
      <c r="AL728" s="1" t="str">
        <f>_xlfn.IFNA(VLOOKUP(Master_Reference[[#This Row],[C-Flex 4000K 3W Part Number]],Lutron_CFlex_Lookup[],MATCH("Lutron Kit PN",Lutron_CFlex_Lookup[#Headers],0),FALSE),"")</f>
        <v>3LD4T5H-2M40-q</v>
      </c>
      <c r="AM728" s="1" t="str">
        <f>_xlfn.IFNA(VLOOKUP(Master_Reference[[#This Row],[C-Flex 5000K 3W Part Number]],Lutron_CFlex_Lookup[],MATCH("Lutron Kit PN",Lutron_CFlex_Lookup[#Headers],0),FALSE),"")</f>
        <v>3LD4T5H-2M50-q</v>
      </c>
      <c r="AN728" s="1" t="b">
        <f>NOT(ISNA(VLOOKUP(Master_Reference[[#This Row],[Model Number]],ObsoleteModels[],1,FALSE)))</f>
        <v>1</v>
      </c>
      <c r="AO728" s="1" t="str">
        <f>IF(LEFT(Master_Reference[[#This Row],[Model Number]],1)="U",LEFT(Master_Reference[[#This Row],[Model Number]],4),LEFT(Master_Reference[[#This Row],[Model Number]],3))</f>
        <v>FDB</v>
      </c>
    </row>
    <row r="729" spans="1:41" x14ac:dyDescent="0.25">
      <c r="A729" s="2" t="s">
        <v>1030</v>
      </c>
      <c r="B729" s="1"/>
      <c r="C729" s="1" t="b">
        <v>1</v>
      </c>
      <c r="G729" s="1" t="str">
        <f>IF(OR(LEFT(RIGHT(Master_Reference[[#This Row],[Model Number]],3),1)="C",LEFT(RIGHT(Master_Reference[[#This Row],[Model Number]],4),1)="C"),TRUE,"")</f>
        <v/>
      </c>
      <c r="H729" s="1" t="str">
        <f>IF(LEFT(Master_Reference[[#This Row],[Model Number]],1)="U",TRUE,"")</f>
        <v/>
      </c>
      <c r="I729" s="1" t="b">
        <f>IF(Master_Reference[[#This Row],[Lamp Type]]="T4","",IF(Master_Reference[[#This Row],[Case Type]]="M","",TRUE))</f>
        <v>1</v>
      </c>
      <c r="J729" s="1" t="s">
        <v>297</v>
      </c>
      <c r="K729" s="1">
        <v>54</v>
      </c>
      <c r="L729" s="1" t="s">
        <v>118</v>
      </c>
      <c r="M729" s="1">
        <v>2</v>
      </c>
      <c r="N729" s="1">
        <v>120</v>
      </c>
      <c r="O729" s="1" t="s">
        <v>113</v>
      </c>
      <c r="R729" t="b">
        <f>IF(COUNTBLANK(Master_Reference[[#This Row],[C-Flex 3000K Eco Part Number]:[C-Flex 4000K Eco Part Number]])=3,FALSE,TRUE)</f>
        <v>0</v>
      </c>
      <c r="S729" t="b">
        <f>IF(COUNTBLANK(Master_Reference[[#This Row],[C-Flex 3000K 3W Part Number]:[C-Flex 4000K 3W Part Number]])=3,FALSE,TRUE)</f>
        <v>1</v>
      </c>
      <c r="T729" s="1" t="b">
        <f>IF(COUNTBLANK(Master_Reference[[#This Row],[Lutron 3000K Eco Part Number]:[Lutron 4000K Eco Part Number]])=3,FALSE,TRUE)</f>
        <v>0</v>
      </c>
      <c r="U729" s="1" t="b">
        <f>IF(COUNTBLANK(Master_Reference[[#This Row],[Lutron 3000K 3W Part Number]:[Lutron 4000K 3W Part Number]])=3,FALSE,TRUE)</f>
        <v>1</v>
      </c>
      <c r="V729" s="13"/>
      <c r="W729" s="13"/>
      <c r="X729" s="12"/>
      <c r="Y729" t="s">
        <v>2125</v>
      </c>
      <c r="Z729" s="12" t="s">
        <v>308</v>
      </c>
      <c r="AA729" s="12" t="s">
        <v>309</v>
      </c>
      <c r="AB729" s="12" t="s">
        <v>310</v>
      </c>
      <c r="AC729" t="s">
        <v>1822</v>
      </c>
      <c r="AD729" t="str">
        <f>SUBSTITUTE(Master_Reference[[#This Row],[C-Flex 4000K Eco Part Number]],"40-","xx-")</f>
        <v/>
      </c>
      <c r="AE729" t="str">
        <f>SUBSTITUTE(Master_Reference[[#This Row],[C-Flex 4000K 3W Part Number]],"40-","xx-")</f>
        <v>RP-T5HO-4FT-2L-8xx-3W-M-G2</v>
      </c>
      <c r="AF729" s="1" t="str">
        <f>_xlfn.IFNA(VLOOKUP(Master_Reference[[#This Row],[C-Flex 3000K Eco Part Number]],Lutron_CFlex_Lookup[],MATCH("Lutron Kit PN",Lutron_CFlex_Lookup[#Headers],0),FALSE),"")</f>
        <v/>
      </c>
      <c r="AG729" s="1" t="str">
        <f>_xlfn.IFNA(VLOOKUP(Master_Reference[[#This Row],[C-Flex 3500K Eco Part Number]],Lutron_CFlex_Lookup[],MATCH("Lutron Kit PN",Lutron_CFlex_Lookup[#Headers],0),FALSE),"")</f>
        <v/>
      </c>
      <c r="AH729" s="1" t="str">
        <f>_xlfn.IFNA(VLOOKUP(Master_Reference[[#This Row],[C-Flex 4000K Eco Part Number]],Lutron_CFlex_Lookup[],MATCH("Lutron Kit PN",Lutron_CFlex_Lookup[#Headers],0),FALSE),"")</f>
        <v/>
      </c>
      <c r="AI729" s="1" t="str">
        <f>_xlfn.IFNA(VLOOKUP(Master_Reference[[#This Row],[C-Flex 5000K Eco Part Number]],Lutron_CFlex_Lookup[],MATCH("Lutron Kit PN",Lutron_CFlex_Lookup[#Headers],0),FALSE),"")</f>
        <v/>
      </c>
      <c r="AJ729" s="1" t="str">
        <f>_xlfn.IFNA(VLOOKUP(Master_Reference[[#This Row],[C-Flex 3000K 3W Part Number]],Lutron_CFlex_Lookup[],MATCH("Lutron Kit PN",Lutron_CFlex_Lookup[#Headers],0),FALSE),"")</f>
        <v>3LD4T5H-2M30-q</v>
      </c>
      <c r="AK729" s="1" t="str">
        <f>_xlfn.IFNA(VLOOKUP(Master_Reference[[#This Row],[C-Flex 3500K 3W Part Number]],Lutron_CFlex_Lookup[],MATCH("Lutron Kit PN",Lutron_CFlex_Lookup[#Headers],0),FALSE),"")</f>
        <v>3LD4T5H-2M35-q</v>
      </c>
      <c r="AL729" s="1" t="str">
        <f>_xlfn.IFNA(VLOOKUP(Master_Reference[[#This Row],[C-Flex 4000K 3W Part Number]],Lutron_CFlex_Lookup[],MATCH("Lutron Kit PN",Lutron_CFlex_Lookup[#Headers],0),FALSE),"")</f>
        <v>3LD4T5H-2M40-q</v>
      </c>
      <c r="AM729" s="1" t="str">
        <f>_xlfn.IFNA(VLOOKUP(Master_Reference[[#This Row],[C-Flex 5000K 3W Part Number]],Lutron_CFlex_Lookup[],MATCH("Lutron Kit PN",Lutron_CFlex_Lookup[#Headers],0),FALSE),"")</f>
        <v>3LD4T5H-2M50-q</v>
      </c>
      <c r="AN729" s="1" t="b">
        <f>NOT(ISNA(VLOOKUP(Master_Reference[[#This Row],[Model Number]],ObsoleteModels[],1,FALSE)))</f>
        <v>1</v>
      </c>
      <c r="AO729" s="1" t="str">
        <f>IF(LEFT(Master_Reference[[#This Row],[Model Number]],1)="U",LEFT(Master_Reference[[#This Row],[Model Number]],4),LEFT(Master_Reference[[#This Row],[Model Number]],3))</f>
        <v>FDB</v>
      </c>
    </row>
    <row r="730" spans="1:41" x14ac:dyDescent="0.25">
      <c r="A730" s="2" t="s">
        <v>1031</v>
      </c>
      <c r="B730" s="1"/>
      <c r="C730" s="1" t="b">
        <v>1</v>
      </c>
      <c r="G730" s="1" t="str">
        <f>IF(OR(LEFT(RIGHT(Master_Reference[[#This Row],[Model Number]],3),1)="C",LEFT(RIGHT(Master_Reference[[#This Row],[Model Number]],4),1)="C"),TRUE,"")</f>
        <v/>
      </c>
      <c r="H730" s="1" t="str">
        <f>IF(LEFT(Master_Reference[[#This Row],[Model Number]],1)="U",TRUE,"")</f>
        <v/>
      </c>
      <c r="I730" s="1" t="b">
        <f>IF(Master_Reference[[#This Row],[Lamp Type]]="T4","",IF(Master_Reference[[#This Row],[Case Type]]="M","",TRUE))</f>
        <v>1</v>
      </c>
      <c r="J730" s="1" t="s">
        <v>297</v>
      </c>
      <c r="K730" s="1">
        <v>54</v>
      </c>
      <c r="L730" s="1" t="s">
        <v>118</v>
      </c>
      <c r="M730" s="1">
        <v>2</v>
      </c>
      <c r="N730" s="1">
        <v>120</v>
      </c>
      <c r="O730" s="1" t="s">
        <v>113</v>
      </c>
      <c r="Q730" s="1" t="s">
        <v>91</v>
      </c>
      <c r="R730" t="b">
        <f>IF(COUNTBLANK(Master_Reference[[#This Row],[C-Flex 3000K Eco Part Number]:[C-Flex 4000K Eco Part Number]])=3,FALSE,TRUE)</f>
        <v>0</v>
      </c>
      <c r="S730" t="b">
        <f>IF(COUNTBLANK(Master_Reference[[#This Row],[C-Flex 3000K 3W Part Number]:[C-Flex 4000K 3W Part Number]])=3,FALSE,TRUE)</f>
        <v>0</v>
      </c>
      <c r="T730" t="b">
        <f>IF(COUNTBLANK(Master_Reference[[#This Row],[Lutron 3000K Eco Part Number]:[Lutron 4000K Eco Part Number]])=3,FALSE,TRUE)</f>
        <v>0</v>
      </c>
      <c r="U730" t="b">
        <f>IF(COUNTBLANK(Master_Reference[[#This Row],[Lutron 3000K 3W Part Number]:[Lutron 4000K 3W Part Number]])=3,FALSE,TRUE)</f>
        <v>0</v>
      </c>
      <c r="V730" s="12"/>
      <c r="W730" s="12"/>
      <c r="X730" s="12"/>
      <c r="Y730" t="s">
        <v>2125</v>
      </c>
      <c r="Z730" s="12"/>
      <c r="AA730" s="12"/>
      <c r="AB730" s="12"/>
      <c r="AC730" t="s">
        <v>2125</v>
      </c>
      <c r="AD730" t="str">
        <f>SUBSTITUTE(Master_Reference[[#This Row],[C-Flex 4000K Eco Part Number]],"40-","xx-")</f>
        <v/>
      </c>
      <c r="AE730" t="str">
        <f>SUBSTITUTE(Master_Reference[[#This Row],[C-Flex 4000K 3W Part Number]],"40-","xx-")</f>
        <v/>
      </c>
      <c r="AF730" s="1" t="str">
        <f>_xlfn.IFNA(VLOOKUP(Master_Reference[[#This Row],[C-Flex 3000K Eco Part Number]],Lutron_CFlex_Lookup[],MATCH("Lutron Kit PN",Lutron_CFlex_Lookup[#Headers],0),FALSE),"")</f>
        <v/>
      </c>
      <c r="AG730" s="1" t="str">
        <f>_xlfn.IFNA(VLOOKUP(Master_Reference[[#This Row],[C-Flex 3500K Eco Part Number]],Lutron_CFlex_Lookup[],MATCH("Lutron Kit PN",Lutron_CFlex_Lookup[#Headers],0),FALSE),"")</f>
        <v/>
      </c>
      <c r="AH730" s="1" t="str">
        <f>_xlfn.IFNA(VLOOKUP(Master_Reference[[#This Row],[C-Flex 4000K Eco Part Number]],Lutron_CFlex_Lookup[],MATCH("Lutron Kit PN",Lutron_CFlex_Lookup[#Headers],0),FALSE),"")</f>
        <v/>
      </c>
      <c r="AI730" s="1" t="str">
        <f>_xlfn.IFNA(VLOOKUP(Master_Reference[[#This Row],[C-Flex 5000K Eco Part Number]],Lutron_CFlex_Lookup[],MATCH("Lutron Kit PN",Lutron_CFlex_Lookup[#Headers],0),FALSE),"")</f>
        <v/>
      </c>
      <c r="AJ730" s="1" t="str">
        <f>_xlfn.IFNA(VLOOKUP(Master_Reference[[#This Row],[C-Flex 3000K 3W Part Number]],Lutron_CFlex_Lookup[],MATCH("Lutron Kit PN",Lutron_CFlex_Lookup[#Headers],0),FALSE),"")</f>
        <v/>
      </c>
      <c r="AK730" s="1" t="str">
        <f>_xlfn.IFNA(VLOOKUP(Master_Reference[[#This Row],[C-Flex 3500K 3W Part Number]],Lutron_CFlex_Lookup[],MATCH("Lutron Kit PN",Lutron_CFlex_Lookup[#Headers],0),FALSE),"")</f>
        <v/>
      </c>
      <c r="AL730" s="1" t="str">
        <f>_xlfn.IFNA(VLOOKUP(Master_Reference[[#This Row],[C-Flex 4000K 3W Part Number]],Lutron_CFlex_Lookup[],MATCH("Lutron Kit PN",Lutron_CFlex_Lookup[#Headers],0),FALSE),"")</f>
        <v/>
      </c>
      <c r="AM730" s="1" t="str">
        <f>_xlfn.IFNA(VLOOKUP(Master_Reference[[#This Row],[C-Flex 5000K 3W Part Number]],Lutron_CFlex_Lookup[],MATCH("Lutron Kit PN",Lutron_CFlex_Lookup[#Headers],0),FALSE),"")</f>
        <v/>
      </c>
      <c r="AN730" s="1" t="b">
        <f>NOT(ISNA(VLOOKUP(Master_Reference[[#This Row],[Model Number]],ObsoleteModels[],1,FALSE)))</f>
        <v>1</v>
      </c>
      <c r="AO730" s="1" t="str">
        <f>IF(LEFT(Master_Reference[[#This Row],[Model Number]],1)="U",LEFT(Master_Reference[[#This Row],[Model Number]],4),LEFT(Master_Reference[[#This Row],[Model Number]],3))</f>
        <v>FDB</v>
      </c>
    </row>
    <row r="731" spans="1:41" x14ac:dyDescent="0.25">
      <c r="A731" s="2" t="s">
        <v>1032</v>
      </c>
      <c r="B731" s="1"/>
      <c r="C731" s="1" t="b">
        <v>1</v>
      </c>
      <c r="G731" s="1" t="str">
        <f>IF(OR(LEFT(RIGHT(Master_Reference[[#This Row],[Model Number]],3),1)="C",LEFT(RIGHT(Master_Reference[[#This Row],[Model Number]],4),1)="C"),TRUE,"")</f>
        <v/>
      </c>
      <c r="H731" s="1" t="str">
        <f>IF(LEFT(Master_Reference[[#This Row],[Model Number]],1)="U",TRUE,"")</f>
        <v/>
      </c>
      <c r="I731" s="1" t="b">
        <f>IF(Master_Reference[[#This Row],[Lamp Type]]="T4","",IF(Master_Reference[[#This Row],[Case Type]]="M","",TRUE))</f>
        <v>1</v>
      </c>
      <c r="J731" s="1" t="s">
        <v>297</v>
      </c>
      <c r="K731" s="1">
        <v>54</v>
      </c>
      <c r="L731" s="1" t="s">
        <v>118</v>
      </c>
      <c r="M731" s="1">
        <v>1</v>
      </c>
      <c r="N731" s="1">
        <v>277</v>
      </c>
      <c r="O731" s="1" t="s">
        <v>113</v>
      </c>
      <c r="R731" t="b">
        <f>IF(COUNTBLANK(Master_Reference[[#This Row],[C-Flex 3000K Eco Part Number]:[C-Flex 4000K Eco Part Number]])=3,FALSE,TRUE)</f>
        <v>0</v>
      </c>
      <c r="S731" t="b">
        <f>IF(COUNTBLANK(Master_Reference[[#This Row],[C-Flex 3000K 3W Part Number]:[C-Flex 4000K 3W Part Number]])=3,FALSE,TRUE)</f>
        <v>1</v>
      </c>
      <c r="T731" t="b">
        <f>IF(COUNTBLANK(Master_Reference[[#This Row],[Lutron 3000K Eco Part Number]:[Lutron 4000K Eco Part Number]])=3,FALSE,TRUE)</f>
        <v>0</v>
      </c>
      <c r="U731" t="b">
        <f>IF(COUNTBLANK(Master_Reference[[#This Row],[Lutron 3000K 3W Part Number]:[Lutron 4000K 3W Part Number]])=3,FALSE,TRUE)</f>
        <v>1</v>
      </c>
      <c r="V731" s="12"/>
      <c r="W731" s="12"/>
      <c r="X731" s="12"/>
      <c r="Y731" t="s">
        <v>2125</v>
      </c>
      <c r="Z731" s="12" t="s">
        <v>301</v>
      </c>
      <c r="AA731" s="12" t="s">
        <v>302</v>
      </c>
      <c r="AB731" s="12" t="s">
        <v>303</v>
      </c>
      <c r="AC731" t="s">
        <v>1821</v>
      </c>
      <c r="AD731" t="str">
        <f>SUBSTITUTE(Master_Reference[[#This Row],[C-Flex 4000K Eco Part Number]],"40-","xx-")</f>
        <v/>
      </c>
      <c r="AE731" t="str">
        <f>SUBSTITUTE(Master_Reference[[#This Row],[C-Flex 4000K 3W Part Number]],"40-","xx-")</f>
        <v>RP-T5HO-4FT-1L-8xx-3W-M-G2</v>
      </c>
      <c r="AF731" s="1" t="str">
        <f>_xlfn.IFNA(VLOOKUP(Master_Reference[[#This Row],[C-Flex 3000K Eco Part Number]],Lutron_CFlex_Lookup[],MATCH("Lutron Kit PN",Lutron_CFlex_Lookup[#Headers],0),FALSE),"")</f>
        <v/>
      </c>
      <c r="AG731" s="1" t="str">
        <f>_xlfn.IFNA(VLOOKUP(Master_Reference[[#This Row],[C-Flex 3500K Eco Part Number]],Lutron_CFlex_Lookup[],MATCH("Lutron Kit PN",Lutron_CFlex_Lookup[#Headers],0),FALSE),"")</f>
        <v/>
      </c>
      <c r="AH731" s="1" t="str">
        <f>_xlfn.IFNA(VLOOKUP(Master_Reference[[#This Row],[C-Flex 4000K Eco Part Number]],Lutron_CFlex_Lookup[],MATCH("Lutron Kit PN",Lutron_CFlex_Lookup[#Headers],0),FALSE),"")</f>
        <v/>
      </c>
      <c r="AI731" s="1" t="str">
        <f>_xlfn.IFNA(VLOOKUP(Master_Reference[[#This Row],[C-Flex 5000K Eco Part Number]],Lutron_CFlex_Lookup[],MATCH("Lutron Kit PN",Lutron_CFlex_Lookup[#Headers],0),FALSE),"")</f>
        <v/>
      </c>
      <c r="AJ731" s="1" t="str">
        <f>_xlfn.IFNA(VLOOKUP(Master_Reference[[#This Row],[C-Flex 3000K 3W Part Number]],Lutron_CFlex_Lookup[],MATCH("Lutron Kit PN",Lutron_CFlex_Lookup[#Headers],0),FALSE),"")</f>
        <v>3LD4T5H-1M30-q</v>
      </c>
      <c r="AK731" s="1" t="str">
        <f>_xlfn.IFNA(VLOOKUP(Master_Reference[[#This Row],[C-Flex 3500K 3W Part Number]],Lutron_CFlex_Lookup[],MATCH("Lutron Kit PN",Lutron_CFlex_Lookup[#Headers],0),FALSE),"")</f>
        <v>3LD4T5H-1M35-q</v>
      </c>
      <c r="AL731" s="1" t="str">
        <f>_xlfn.IFNA(VLOOKUP(Master_Reference[[#This Row],[C-Flex 4000K 3W Part Number]],Lutron_CFlex_Lookup[],MATCH("Lutron Kit PN",Lutron_CFlex_Lookup[#Headers],0),FALSE),"")</f>
        <v>3LD4T5H-1M40-q</v>
      </c>
      <c r="AM731" s="1" t="str">
        <f>_xlfn.IFNA(VLOOKUP(Master_Reference[[#This Row],[C-Flex 5000K 3W Part Number]],Lutron_CFlex_Lookup[],MATCH("Lutron Kit PN",Lutron_CFlex_Lookup[#Headers],0),FALSE),"")</f>
        <v>3LD4T5H-1M50-q</v>
      </c>
      <c r="AN731" s="1" t="b">
        <f>NOT(ISNA(VLOOKUP(Master_Reference[[#This Row],[Model Number]],ObsoleteModels[],1,FALSE)))</f>
        <v>1</v>
      </c>
      <c r="AO731" s="1" t="str">
        <f>IF(LEFT(Master_Reference[[#This Row],[Model Number]],1)="U",LEFT(Master_Reference[[#This Row],[Model Number]],4),LEFT(Master_Reference[[#This Row],[Model Number]],3))</f>
        <v>FDB</v>
      </c>
    </row>
    <row r="732" spans="1:41" x14ac:dyDescent="0.25">
      <c r="A732" s="2" t="s">
        <v>1033</v>
      </c>
      <c r="B732" s="1"/>
      <c r="C732" s="1" t="b">
        <v>1</v>
      </c>
      <c r="G732" s="1" t="str">
        <f>IF(OR(LEFT(RIGHT(Master_Reference[[#This Row],[Model Number]],3),1)="C",LEFT(RIGHT(Master_Reference[[#This Row],[Model Number]],4),1)="C"),TRUE,"")</f>
        <v/>
      </c>
      <c r="H732" s="1" t="str">
        <f>IF(LEFT(Master_Reference[[#This Row],[Model Number]],1)="U",TRUE,"")</f>
        <v/>
      </c>
      <c r="I732" s="1" t="b">
        <f>IF(Master_Reference[[#This Row],[Lamp Type]]="T4","",IF(Master_Reference[[#This Row],[Case Type]]="M","",TRUE))</f>
        <v>1</v>
      </c>
      <c r="J732" s="1" t="s">
        <v>297</v>
      </c>
      <c r="K732" s="1">
        <v>54</v>
      </c>
      <c r="L732" s="1" t="s">
        <v>118</v>
      </c>
      <c r="M732" s="1">
        <v>2</v>
      </c>
      <c r="N732" s="1">
        <v>277</v>
      </c>
      <c r="O732" s="1" t="s">
        <v>113</v>
      </c>
      <c r="R732" t="b">
        <f>IF(COUNTBLANK(Master_Reference[[#This Row],[C-Flex 3000K Eco Part Number]:[C-Flex 4000K Eco Part Number]])=3,FALSE,TRUE)</f>
        <v>0</v>
      </c>
      <c r="S732" t="b">
        <f>IF(COUNTBLANK(Master_Reference[[#This Row],[C-Flex 3000K 3W Part Number]:[C-Flex 4000K 3W Part Number]])=3,FALSE,TRUE)</f>
        <v>1</v>
      </c>
      <c r="T732" t="b">
        <f>IF(COUNTBLANK(Master_Reference[[#This Row],[Lutron 3000K Eco Part Number]:[Lutron 4000K Eco Part Number]])=3,FALSE,TRUE)</f>
        <v>0</v>
      </c>
      <c r="U732" t="b">
        <f>IF(COUNTBLANK(Master_Reference[[#This Row],[Lutron 3000K 3W Part Number]:[Lutron 4000K 3W Part Number]])=3,FALSE,TRUE)</f>
        <v>1</v>
      </c>
      <c r="V732" s="12"/>
      <c r="W732" s="12"/>
      <c r="X732" s="12"/>
      <c r="Y732" t="s">
        <v>2125</v>
      </c>
      <c r="Z732" s="12" t="s">
        <v>308</v>
      </c>
      <c r="AA732" s="12" t="s">
        <v>309</v>
      </c>
      <c r="AB732" s="12" t="s">
        <v>310</v>
      </c>
      <c r="AC732" t="s">
        <v>1822</v>
      </c>
      <c r="AD732" t="str">
        <f>SUBSTITUTE(Master_Reference[[#This Row],[C-Flex 4000K Eco Part Number]],"40-","xx-")</f>
        <v/>
      </c>
      <c r="AE732" t="str">
        <f>SUBSTITUTE(Master_Reference[[#This Row],[C-Flex 4000K 3W Part Number]],"40-","xx-")</f>
        <v>RP-T5HO-4FT-2L-8xx-3W-M-G2</v>
      </c>
      <c r="AF732" s="1" t="str">
        <f>_xlfn.IFNA(VLOOKUP(Master_Reference[[#This Row],[C-Flex 3000K Eco Part Number]],Lutron_CFlex_Lookup[],MATCH("Lutron Kit PN",Lutron_CFlex_Lookup[#Headers],0),FALSE),"")</f>
        <v/>
      </c>
      <c r="AG732" s="1" t="str">
        <f>_xlfn.IFNA(VLOOKUP(Master_Reference[[#This Row],[C-Flex 3500K Eco Part Number]],Lutron_CFlex_Lookup[],MATCH("Lutron Kit PN",Lutron_CFlex_Lookup[#Headers],0),FALSE),"")</f>
        <v/>
      </c>
      <c r="AH732" s="1" t="str">
        <f>_xlfn.IFNA(VLOOKUP(Master_Reference[[#This Row],[C-Flex 4000K Eco Part Number]],Lutron_CFlex_Lookup[],MATCH("Lutron Kit PN",Lutron_CFlex_Lookup[#Headers],0),FALSE),"")</f>
        <v/>
      </c>
      <c r="AI732" s="1" t="str">
        <f>_xlfn.IFNA(VLOOKUP(Master_Reference[[#This Row],[C-Flex 5000K Eco Part Number]],Lutron_CFlex_Lookup[],MATCH("Lutron Kit PN",Lutron_CFlex_Lookup[#Headers],0),FALSE),"")</f>
        <v/>
      </c>
      <c r="AJ732" s="1" t="str">
        <f>_xlfn.IFNA(VLOOKUP(Master_Reference[[#This Row],[C-Flex 3000K 3W Part Number]],Lutron_CFlex_Lookup[],MATCH("Lutron Kit PN",Lutron_CFlex_Lookup[#Headers],0),FALSE),"")</f>
        <v>3LD4T5H-2M30-q</v>
      </c>
      <c r="AK732" s="1" t="str">
        <f>_xlfn.IFNA(VLOOKUP(Master_Reference[[#This Row],[C-Flex 3500K 3W Part Number]],Lutron_CFlex_Lookup[],MATCH("Lutron Kit PN",Lutron_CFlex_Lookup[#Headers],0),FALSE),"")</f>
        <v>3LD4T5H-2M35-q</v>
      </c>
      <c r="AL732" s="1" t="str">
        <f>_xlfn.IFNA(VLOOKUP(Master_Reference[[#This Row],[C-Flex 4000K 3W Part Number]],Lutron_CFlex_Lookup[],MATCH("Lutron Kit PN",Lutron_CFlex_Lookup[#Headers],0),FALSE),"")</f>
        <v>3LD4T5H-2M40-q</v>
      </c>
      <c r="AM732" s="1" t="str">
        <f>_xlfn.IFNA(VLOOKUP(Master_Reference[[#This Row],[C-Flex 5000K 3W Part Number]],Lutron_CFlex_Lookup[],MATCH("Lutron Kit PN",Lutron_CFlex_Lookup[#Headers],0),FALSE),"")</f>
        <v>3LD4T5H-2M50-q</v>
      </c>
      <c r="AN732" s="1" t="b">
        <f>NOT(ISNA(VLOOKUP(Master_Reference[[#This Row],[Model Number]],ObsoleteModels[],1,FALSE)))</f>
        <v>1</v>
      </c>
      <c r="AO732" s="1" t="str">
        <f>IF(LEFT(Master_Reference[[#This Row],[Model Number]],1)="U",LEFT(Master_Reference[[#This Row],[Model Number]],4),LEFT(Master_Reference[[#This Row],[Model Number]],3))</f>
        <v>FDB</v>
      </c>
    </row>
    <row r="733" spans="1:41" x14ac:dyDescent="0.25">
      <c r="A733" s="2" t="s">
        <v>1034</v>
      </c>
      <c r="B733" s="1"/>
      <c r="C733" s="1" t="b">
        <v>1</v>
      </c>
      <c r="G733" s="1" t="str">
        <f>IF(OR(LEFT(RIGHT(Master_Reference[[#This Row],[Model Number]],3),1)="C",LEFT(RIGHT(Master_Reference[[#This Row],[Model Number]],4),1)="C"),TRUE,"")</f>
        <v/>
      </c>
      <c r="H733" s="1" t="str">
        <f>IF(LEFT(Master_Reference[[#This Row],[Model Number]],1)="U",TRUE,"")</f>
        <v/>
      </c>
      <c r="I733" s="1" t="b">
        <f>IF(Master_Reference[[#This Row],[Lamp Type]]="T4","",IF(Master_Reference[[#This Row],[Case Type]]="M","",TRUE))</f>
        <v>1</v>
      </c>
      <c r="J733" s="1" t="s">
        <v>111</v>
      </c>
      <c r="K733" s="1">
        <v>32</v>
      </c>
      <c r="L733" s="1" t="s">
        <v>118</v>
      </c>
      <c r="M733" s="1">
        <v>1</v>
      </c>
      <c r="N733" s="1">
        <v>277</v>
      </c>
      <c r="O733" s="1" t="s">
        <v>144</v>
      </c>
      <c r="R733" t="b">
        <f>IF(COUNTBLANK(Master_Reference[[#This Row],[C-Flex 3000K Eco Part Number]:[C-Flex 4000K Eco Part Number]])=3,FALSE,TRUE)</f>
        <v>0</v>
      </c>
      <c r="S733" t="b">
        <f>IF(COUNTBLANK(Master_Reference[[#This Row],[C-Flex 3000K 3W Part Number]:[C-Flex 4000K 3W Part Number]])=3,FALSE,TRUE)</f>
        <v>1</v>
      </c>
      <c r="T733" s="1" t="b">
        <f>IF(COUNTBLANK(Master_Reference[[#This Row],[Lutron 3000K Eco Part Number]:[Lutron 4000K Eco Part Number]])=3,FALSE,TRUE)</f>
        <v>0</v>
      </c>
      <c r="U733" s="1" t="b">
        <f>IF(COUNTBLANK(Master_Reference[[#This Row],[Lutron 3000K 3W Part Number]:[Lutron 4000K 3W Part Number]])=3,FALSE,TRUE)</f>
        <v>1</v>
      </c>
      <c r="V733" s="13"/>
      <c r="W733" s="13"/>
      <c r="X733" s="12"/>
      <c r="Y733" t="s">
        <v>2125</v>
      </c>
      <c r="Z733" s="12" t="s">
        <v>264</v>
      </c>
      <c r="AA733" s="12" t="s">
        <v>265</v>
      </c>
      <c r="AB733" s="12" t="s">
        <v>266</v>
      </c>
      <c r="AC733" t="s">
        <v>1829</v>
      </c>
      <c r="AD733" t="str">
        <f>SUBSTITUTE(Master_Reference[[#This Row],[C-Flex 4000K Eco Part Number]],"40-","xx-")</f>
        <v/>
      </c>
      <c r="AE733" t="str">
        <f>SUBSTITUTE(Master_Reference[[#This Row],[C-Flex 4000K 3W Part Number]],"40-","xx-")</f>
        <v>RP-T8-4FT-1L-8xx-3W-M-G2</v>
      </c>
      <c r="AF733" s="1" t="str">
        <f>_xlfn.IFNA(VLOOKUP(Master_Reference[[#This Row],[C-Flex 3000K Eco Part Number]],Lutron_CFlex_Lookup[],MATCH("Lutron Kit PN",Lutron_CFlex_Lookup[#Headers],0),FALSE),"")</f>
        <v/>
      </c>
      <c r="AG733" s="1" t="str">
        <f>_xlfn.IFNA(VLOOKUP(Master_Reference[[#This Row],[C-Flex 3500K Eco Part Number]],Lutron_CFlex_Lookup[],MATCH("Lutron Kit PN",Lutron_CFlex_Lookup[#Headers],0),FALSE),"")</f>
        <v/>
      </c>
      <c r="AH733" s="1" t="str">
        <f>_xlfn.IFNA(VLOOKUP(Master_Reference[[#This Row],[C-Flex 4000K Eco Part Number]],Lutron_CFlex_Lookup[],MATCH("Lutron Kit PN",Lutron_CFlex_Lookup[#Headers],0),FALSE),"")</f>
        <v/>
      </c>
      <c r="AI733" s="1" t="str">
        <f>_xlfn.IFNA(VLOOKUP(Master_Reference[[#This Row],[C-Flex 5000K Eco Part Number]],Lutron_CFlex_Lookup[],MATCH("Lutron Kit PN",Lutron_CFlex_Lookup[#Headers],0),FALSE),"")</f>
        <v/>
      </c>
      <c r="AJ733" s="1" t="str">
        <f>_xlfn.IFNA(VLOOKUP(Master_Reference[[#This Row],[C-Flex 3000K 3W Part Number]],Lutron_CFlex_Lookup[],MATCH("Lutron Kit PN",Lutron_CFlex_Lookup[#Headers],0),FALSE),"")</f>
        <v>3LD4T8-1M30-q</v>
      </c>
      <c r="AK733" s="1" t="str">
        <f>_xlfn.IFNA(VLOOKUP(Master_Reference[[#This Row],[C-Flex 3500K 3W Part Number]],Lutron_CFlex_Lookup[],MATCH("Lutron Kit PN",Lutron_CFlex_Lookup[#Headers],0),FALSE),"")</f>
        <v>3LD4T8-1M35-q</v>
      </c>
      <c r="AL733" s="1" t="str">
        <f>_xlfn.IFNA(VLOOKUP(Master_Reference[[#This Row],[C-Flex 4000K 3W Part Number]],Lutron_CFlex_Lookup[],MATCH("Lutron Kit PN",Lutron_CFlex_Lookup[#Headers],0),FALSE),"")</f>
        <v>3LD4T8-1M40-q</v>
      </c>
      <c r="AM733" s="1" t="str">
        <f>_xlfn.IFNA(VLOOKUP(Master_Reference[[#This Row],[C-Flex 5000K 3W Part Number]],Lutron_CFlex_Lookup[],MATCH("Lutron Kit PN",Lutron_CFlex_Lookup[#Headers],0),FALSE),"")</f>
        <v>3LD4T8-1M50-q</v>
      </c>
      <c r="AN733" s="1" t="b">
        <f>NOT(ISNA(VLOOKUP(Master_Reference[[#This Row],[Model Number]],ObsoleteModels[],1,FALSE)))</f>
        <v>1</v>
      </c>
      <c r="AO733" s="1" t="str">
        <f>IF(LEFT(Master_Reference[[#This Row],[Model Number]],1)="U",LEFT(Master_Reference[[#This Row],[Model Number]],4),LEFT(Master_Reference[[#This Row],[Model Number]],3))</f>
        <v>FDB</v>
      </c>
    </row>
    <row r="734" spans="1:41" x14ac:dyDescent="0.25">
      <c r="A734" s="2" t="s">
        <v>1035</v>
      </c>
      <c r="B734" s="1"/>
      <c r="C734" s="1" t="b">
        <v>1</v>
      </c>
      <c r="G734" s="1" t="str">
        <f>IF(OR(LEFT(RIGHT(Master_Reference[[#This Row],[Model Number]],3),1)="C",LEFT(RIGHT(Master_Reference[[#This Row],[Model Number]],4),1)="C"),TRUE,"")</f>
        <v/>
      </c>
      <c r="H734" s="1" t="str">
        <f>IF(LEFT(Master_Reference[[#This Row],[Model Number]],1)="U",TRUE,"")</f>
        <v/>
      </c>
      <c r="I734" s="1" t="b">
        <f>IF(Master_Reference[[#This Row],[Lamp Type]]="T4","",IF(Master_Reference[[#This Row],[Case Type]]="M","",TRUE))</f>
        <v>1</v>
      </c>
      <c r="J734" s="1" t="s">
        <v>111</v>
      </c>
      <c r="K734" s="1">
        <v>32</v>
      </c>
      <c r="L734" s="1" t="s">
        <v>118</v>
      </c>
      <c r="M734" s="1">
        <v>1</v>
      </c>
      <c r="N734" s="1">
        <v>120</v>
      </c>
      <c r="O734" s="1" t="s">
        <v>144</v>
      </c>
      <c r="R734" t="b">
        <f>IF(COUNTBLANK(Master_Reference[[#This Row],[C-Flex 3000K Eco Part Number]:[C-Flex 4000K Eco Part Number]])=3,FALSE,TRUE)</f>
        <v>0</v>
      </c>
      <c r="S734" t="b">
        <f>IF(COUNTBLANK(Master_Reference[[#This Row],[C-Flex 3000K 3W Part Number]:[C-Flex 4000K 3W Part Number]])=3,FALSE,TRUE)</f>
        <v>1</v>
      </c>
      <c r="T734" s="1" t="b">
        <f>IF(COUNTBLANK(Master_Reference[[#This Row],[Lutron 3000K Eco Part Number]:[Lutron 4000K Eco Part Number]])=3,FALSE,TRUE)</f>
        <v>0</v>
      </c>
      <c r="U734" s="1" t="b">
        <f>IF(COUNTBLANK(Master_Reference[[#This Row],[Lutron 3000K 3W Part Number]:[Lutron 4000K 3W Part Number]])=3,FALSE,TRUE)</f>
        <v>1</v>
      </c>
      <c r="V734" s="13"/>
      <c r="W734" s="13"/>
      <c r="X734" s="12"/>
      <c r="Y734" t="s">
        <v>2125</v>
      </c>
      <c r="Z734" s="12" t="s">
        <v>264</v>
      </c>
      <c r="AA734" s="12" t="s">
        <v>265</v>
      </c>
      <c r="AB734" s="12" t="s">
        <v>266</v>
      </c>
      <c r="AC734" t="s">
        <v>1829</v>
      </c>
      <c r="AD734" t="str">
        <f>SUBSTITUTE(Master_Reference[[#This Row],[C-Flex 4000K Eco Part Number]],"40-","xx-")</f>
        <v/>
      </c>
      <c r="AE734" t="str">
        <f>SUBSTITUTE(Master_Reference[[#This Row],[C-Flex 4000K 3W Part Number]],"40-","xx-")</f>
        <v>RP-T8-4FT-1L-8xx-3W-M-G2</v>
      </c>
      <c r="AF734" s="1" t="str">
        <f>_xlfn.IFNA(VLOOKUP(Master_Reference[[#This Row],[C-Flex 3000K Eco Part Number]],Lutron_CFlex_Lookup[],MATCH("Lutron Kit PN",Lutron_CFlex_Lookup[#Headers],0),FALSE),"")</f>
        <v/>
      </c>
      <c r="AG734" s="1" t="str">
        <f>_xlfn.IFNA(VLOOKUP(Master_Reference[[#This Row],[C-Flex 3500K Eco Part Number]],Lutron_CFlex_Lookup[],MATCH("Lutron Kit PN",Lutron_CFlex_Lookup[#Headers],0),FALSE),"")</f>
        <v/>
      </c>
      <c r="AH734" s="1" t="str">
        <f>_xlfn.IFNA(VLOOKUP(Master_Reference[[#This Row],[C-Flex 4000K Eco Part Number]],Lutron_CFlex_Lookup[],MATCH("Lutron Kit PN",Lutron_CFlex_Lookup[#Headers],0),FALSE),"")</f>
        <v/>
      </c>
      <c r="AI734" s="1" t="str">
        <f>_xlfn.IFNA(VLOOKUP(Master_Reference[[#This Row],[C-Flex 5000K Eco Part Number]],Lutron_CFlex_Lookup[],MATCH("Lutron Kit PN",Lutron_CFlex_Lookup[#Headers],0),FALSE),"")</f>
        <v/>
      </c>
      <c r="AJ734" s="1" t="str">
        <f>_xlfn.IFNA(VLOOKUP(Master_Reference[[#This Row],[C-Flex 3000K 3W Part Number]],Lutron_CFlex_Lookup[],MATCH("Lutron Kit PN",Lutron_CFlex_Lookup[#Headers],0),FALSE),"")</f>
        <v>3LD4T8-1M30-q</v>
      </c>
      <c r="AK734" s="1" t="str">
        <f>_xlfn.IFNA(VLOOKUP(Master_Reference[[#This Row],[C-Flex 3500K 3W Part Number]],Lutron_CFlex_Lookup[],MATCH("Lutron Kit PN",Lutron_CFlex_Lookup[#Headers],0),FALSE),"")</f>
        <v>3LD4T8-1M35-q</v>
      </c>
      <c r="AL734" s="1" t="str">
        <f>_xlfn.IFNA(VLOOKUP(Master_Reference[[#This Row],[C-Flex 4000K 3W Part Number]],Lutron_CFlex_Lookup[],MATCH("Lutron Kit PN",Lutron_CFlex_Lookup[#Headers],0),FALSE),"")</f>
        <v>3LD4T8-1M40-q</v>
      </c>
      <c r="AM734" s="1" t="str">
        <f>_xlfn.IFNA(VLOOKUP(Master_Reference[[#This Row],[C-Flex 5000K 3W Part Number]],Lutron_CFlex_Lookup[],MATCH("Lutron Kit PN",Lutron_CFlex_Lookup[#Headers],0),FALSE),"")</f>
        <v>3LD4T8-1M50-q</v>
      </c>
      <c r="AN734" s="1" t="b">
        <f>NOT(ISNA(VLOOKUP(Master_Reference[[#This Row],[Model Number]],ObsoleteModels[],1,FALSE)))</f>
        <v>1</v>
      </c>
      <c r="AO734" s="1" t="str">
        <f>IF(LEFT(Master_Reference[[#This Row],[Model Number]],1)="U",LEFT(Master_Reference[[#This Row],[Model Number]],4),LEFT(Master_Reference[[#This Row],[Model Number]],3))</f>
        <v>FDB</v>
      </c>
    </row>
    <row r="735" spans="1:41" x14ac:dyDescent="0.25">
      <c r="A735" s="2" t="s">
        <v>1036</v>
      </c>
      <c r="B735" s="1"/>
      <c r="C735" s="1" t="b">
        <v>1</v>
      </c>
      <c r="G735" s="1" t="str">
        <f>IF(OR(LEFT(RIGHT(Master_Reference[[#This Row],[Model Number]],3),1)="C",LEFT(RIGHT(Master_Reference[[#This Row],[Model Number]],4),1)="C"),TRUE,"")</f>
        <v/>
      </c>
      <c r="H735" s="1" t="str">
        <f>IF(LEFT(Master_Reference[[#This Row],[Model Number]],1)="U",TRUE,"")</f>
        <v/>
      </c>
      <c r="I735" s="1" t="b">
        <f>IF(Master_Reference[[#This Row],[Lamp Type]]="T4","",IF(Master_Reference[[#This Row],[Case Type]]="M","",TRUE))</f>
        <v>1</v>
      </c>
      <c r="J735" s="1" t="s">
        <v>111</v>
      </c>
      <c r="K735" s="1">
        <v>32</v>
      </c>
      <c r="L735" s="1" t="s">
        <v>118</v>
      </c>
      <c r="M735" s="1">
        <v>2</v>
      </c>
      <c r="N735" s="1">
        <v>120</v>
      </c>
      <c r="O735" s="1" t="s">
        <v>144</v>
      </c>
      <c r="R735" t="b">
        <f>IF(COUNTBLANK(Master_Reference[[#This Row],[C-Flex 3000K Eco Part Number]:[C-Flex 4000K Eco Part Number]])=3,FALSE,TRUE)</f>
        <v>0</v>
      </c>
      <c r="S735" t="b">
        <f>IF(COUNTBLANK(Master_Reference[[#This Row],[C-Flex 3000K 3W Part Number]:[C-Flex 4000K 3W Part Number]])=3,FALSE,TRUE)</f>
        <v>1</v>
      </c>
      <c r="T735" s="1" t="b">
        <f>IF(COUNTBLANK(Master_Reference[[#This Row],[Lutron 3000K Eco Part Number]:[Lutron 4000K Eco Part Number]])=3,FALSE,TRUE)</f>
        <v>0</v>
      </c>
      <c r="U735" s="1" t="b">
        <f>IF(COUNTBLANK(Master_Reference[[#This Row],[Lutron 3000K 3W Part Number]:[Lutron 4000K 3W Part Number]])=3,FALSE,TRUE)</f>
        <v>1</v>
      </c>
      <c r="V735" s="13"/>
      <c r="W735" s="13"/>
      <c r="X735" s="12"/>
      <c r="Y735" t="s">
        <v>2125</v>
      </c>
      <c r="Z735" s="12" t="s">
        <v>145</v>
      </c>
      <c r="AA735" s="12" t="s">
        <v>146</v>
      </c>
      <c r="AB735" s="12" t="s">
        <v>147</v>
      </c>
      <c r="AC735" t="s">
        <v>1830</v>
      </c>
      <c r="AD735" t="str">
        <f>SUBSTITUTE(Master_Reference[[#This Row],[C-Flex 4000K Eco Part Number]],"40-","xx-")</f>
        <v/>
      </c>
      <c r="AE735" t="str">
        <f>SUBSTITUTE(Master_Reference[[#This Row],[C-Flex 4000K 3W Part Number]],"40-","xx-")</f>
        <v>RP-T8-4FT-2L-8xx-3W-M-G2</v>
      </c>
      <c r="AF735" s="1" t="str">
        <f>_xlfn.IFNA(VLOOKUP(Master_Reference[[#This Row],[C-Flex 3000K Eco Part Number]],Lutron_CFlex_Lookup[],MATCH("Lutron Kit PN",Lutron_CFlex_Lookup[#Headers],0),FALSE),"")</f>
        <v/>
      </c>
      <c r="AG735" s="1" t="str">
        <f>_xlfn.IFNA(VLOOKUP(Master_Reference[[#This Row],[C-Flex 3500K Eco Part Number]],Lutron_CFlex_Lookup[],MATCH("Lutron Kit PN",Lutron_CFlex_Lookup[#Headers],0),FALSE),"")</f>
        <v/>
      </c>
      <c r="AH735" s="1" t="str">
        <f>_xlfn.IFNA(VLOOKUP(Master_Reference[[#This Row],[C-Flex 4000K Eco Part Number]],Lutron_CFlex_Lookup[],MATCH("Lutron Kit PN",Lutron_CFlex_Lookup[#Headers],0),FALSE),"")</f>
        <v/>
      </c>
      <c r="AI735" s="1" t="str">
        <f>_xlfn.IFNA(VLOOKUP(Master_Reference[[#This Row],[C-Flex 5000K Eco Part Number]],Lutron_CFlex_Lookup[],MATCH("Lutron Kit PN",Lutron_CFlex_Lookup[#Headers],0),FALSE),"")</f>
        <v/>
      </c>
      <c r="AJ735" s="1" t="str">
        <f>_xlfn.IFNA(VLOOKUP(Master_Reference[[#This Row],[C-Flex 3000K 3W Part Number]],Lutron_CFlex_Lookup[],MATCH("Lutron Kit PN",Lutron_CFlex_Lookup[#Headers],0),FALSE),"")</f>
        <v>3LD4T8-2M30-q</v>
      </c>
      <c r="AK735" s="1" t="str">
        <f>_xlfn.IFNA(VLOOKUP(Master_Reference[[#This Row],[C-Flex 3500K 3W Part Number]],Lutron_CFlex_Lookup[],MATCH("Lutron Kit PN",Lutron_CFlex_Lookup[#Headers],0),FALSE),"")</f>
        <v>3LD4T8-2M35-q</v>
      </c>
      <c r="AL735" s="1" t="str">
        <f>_xlfn.IFNA(VLOOKUP(Master_Reference[[#This Row],[C-Flex 4000K 3W Part Number]],Lutron_CFlex_Lookup[],MATCH("Lutron Kit PN",Lutron_CFlex_Lookup[#Headers],0),FALSE),"")</f>
        <v>3LD4T8-2M40-q</v>
      </c>
      <c r="AM735" s="1" t="str">
        <f>_xlfn.IFNA(VLOOKUP(Master_Reference[[#This Row],[C-Flex 5000K 3W Part Number]],Lutron_CFlex_Lookup[],MATCH("Lutron Kit PN",Lutron_CFlex_Lookup[#Headers],0),FALSE),"")</f>
        <v>3LD4T8-2M50-q</v>
      </c>
      <c r="AN735" s="1" t="b">
        <f>NOT(ISNA(VLOOKUP(Master_Reference[[#This Row],[Model Number]],ObsoleteModels[],1,FALSE)))</f>
        <v>1</v>
      </c>
      <c r="AO735" s="1" t="str">
        <f>IF(LEFT(Master_Reference[[#This Row],[Model Number]],1)="U",LEFT(Master_Reference[[#This Row],[Model Number]],4),LEFT(Master_Reference[[#This Row],[Model Number]],3))</f>
        <v>FDB</v>
      </c>
    </row>
    <row r="736" spans="1:41" x14ac:dyDescent="0.25">
      <c r="A736" s="2" t="s">
        <v>1037</v>
      </c>
      <c r="B736" s="1"/>
      <c r="C736" s="1" t="b">
        <v>1</v>
      </c>
      <c r="G736" s="1" t="str">
        <f>IF(OR(LEFT(RIGHT(Master_Reference[[#This Row],[Model Number]],3),1)="C",LEFT(RIGHT(Master_Reference[[#This Row],[Model Number]],4),1)="C"),TRUE,"")</f>
        <v/>
      </c>
      <c r="H736" s="1" t="str">
        <f>IF(LEFT(Master_Reference[[#This Row],[Model Number]],1)="U",TRUE,"")</f>
        <v/>
      </c>
      <c r="I736" s="1" t="b">
        <f>IF(Master_Reference[[#This Row],[Lamp Type]]="T4","",IF(Master_Reference[[#This Row],[Case Type]]="M","",TRUE))</f>
        <v>1</v>
      </c>
      <c r="J736" s="1" t="s">
        <v>111</v>
      </c>
      <c r="K736" s="1">
        <v>32</v>
      </c>
      <c r="L736" s="1" t="s">
        <v>118</v>
      </c>
      <c r="M736" s="1">
        <v>2</v>
      </c>
      <c r="N736" s="1">
        <v>277</v>
      </c>
      <c r="O736" s="1" t="s">
        <v>144</v>
      </c>
      <c r="R736" t="b">
        <f>IF(COUNTBLANK(Master_Reference[[#This Row],[C-Flex 3000K Eco Part Number]:[C-Flex 4000K Eco Part Number]])=3,FALSE,TRUE)</f>
        <v>0</v>
      </c>
      <c r="S736" t="b">
        <f>IF(COUNTBLANK(Master_Reference[[#This Row],[C-Flex 3000K 3W Part Number]:[C-Flex 4000K 3W Part Number]])=3,FALSE,TRUE)</f>
        <v>1</v>
      </c>
      <c r="T736" s="1" t="b">
        <f>IF(COUNTBLANK(Master_Reference[[#This Row],[Lutron 3000K Eco Part Number]:[Lutron 4000K Eco Part Number]])=3,FALSE,TRUE)</f>
        <v>0</v>
      </c>
      <c r="U736" s="1" t="b">
        <f>IF(COUNTBLANK(Master_Reference[[#This Row],[Lutron 3000K 3W Part Number]:[Lutron 4000K 3W Part Number]])=3,FALSE,TRUE)</f>
        <v>1</v>
      </c>
      <c r="V736" s="13"/>
      <c r="W736" s="13"/>
      <c r="X736" s="12"/>
      <c r="Y736" t="s">
        <v>2125</v>
      </c>
      <c r="Z736" s="12" t="s">
        <v>145</v>
      </c>
      <c r="AA736" s="12" t="s">
        <v>146</v>
      </c>
      <c r="AB736" s="12" t="s">
        <v>147</v>
      </c>
      <c r="AC736" t="s">
        <v>1830</v>
      </c>
      <c r="AD736" t="str">
        <f>SUBSTITUTE(Master_Reference[[#This Row],[C-Flex 4000K Eco Part Number]],"40-","xx-")</f>
        <v/>
      </c>
      <c r="AE736" t="str">
        <f>SUBSTITUTE(Master_Reference[[#This Row],[C-Flex 4000K 3W Part Number]],"40-","xx-")</f>
        <v>RP-T8-4FT-2L-8xx-3W-M-G2</v>
      </c>
      <c r="AF736" s="1" t="str">
        <f>_xlfn.IFNA(VLOOKUP(Master_Reference[[#This Row],[C-Flex 3000K Eco Part Number]],Lutron_CFlex_Lookup[],MATCH("Lutron Kit PN",Lutron_CFlex_Lookup[#Headers],0),FALSE),"")</f>
        <v/>
      </c>
      <c r="AG736" s="1" t="str">
        <f>_xlfn.IFNA(VLOOKUP(Master_Reference[[#This Row],[C-Flex 3500K Eco Part Number]],Lutron_CFlex_Lookup[],MATCH("Lutron Kit PN",Lutron_CFlex_Lookup[#Headers],0),FALSE),"")</f>
        <v/>
      </c>
      <c r="AH736" s="1" t="str">
        <f>_xlfn.IFNA(VLOOKUP(Master_Reference[[#This Row],[C-Flex 4000K Eco Part Number]],Lutron_CFlex_Lookup[],MATCH("Lutron Kit PN",Lutron_CFlex_Lookup[#Headers],0),FALSE),"")</f>
        <v/>
      </c>
      <c r="AI736" s="1" t="str">
        <f>_xlfn.IFNA(VLOOKUP(Master_Reference[[#This Row],[C-Flex 5000K Eco Part Number]],Lutron_CFlex_Lookup[],MATCH("Lutron Kit PN",Lutron_CFlex_Lookup[#Headers],0),FALSE),"")</f>
        <v/>
      </c>
      <c r="AJ736" s="1" t="str">
        <f>_xlfn.IFNA(VLOOKUP(Master_Reference[[#This Row],[C-Flex 3000K 3W Part Number]],Lutron_CFlex_Lookup[],MATCH("Lutron Kit PN",Lutron_CFlex_Lookup[#Headers],0),FALSE),"")</f>
        <v>3LD4T8-2M30-q</v>
      </c>
      <c r="AK736" s="1" t="str">
        <f>_xlfn.IFNA(VLOOKUP(Master_Reference[[#This Row],[C-Flex 3500K 3W Part Number]],Lutron_CFlex_Lookup[],MATCH("Lutron Kit PN",Lutron_CFlex_Lookup[#Headers],0),FALSE),"")</f>
        <v>3LD4T8-2M35-q</v>
      </c>
      <c r="AL736" s="1" t="str">
        <f>_xlfn.IFNA(VLOOKUP(Master_Reference[[#This Row],[C-Flex 4000K 3W Part Number]],Lutron_CFlex_Lookup[],MATCH("Lutron Kit PN",Lutron_CFlex_Lookup[#Headers],0),FALSE),"")</f>
        <v>3LD4T8-2M40-q</v>
      </c>
      <c r="AM736" s="1" t="str">
        <f>_xlfn.IFNA(VLOOKUP(Master_Reference[[#This Row],[C-Flex 5000K 3W Part Number]],Lutron_CFlex_Lookup[],MATCH("Lutron Kit PN",Lutron_CFlex_Lookup[#Headers],0),FALSE),"")</f>
        <v>3LD4T8-2M50-q</v>
      </c>
      <c r="AN736" s="1" t="b">
        <f>NOT(ISNA(VLOOKUP(Master_Reference[[#This Row],[Model Number]],ObsoleteModels[],1,FALSE)))</f>
        <v>1</v>
      </c>
      <c r="AO736" s="1" t="str">
        <f>IF(LEFT(Master_Reference[[#This Row],[Model Number]],1)="U",LEFT(Master_Reference[[#This Row],[Model Number]],4),LEFT(Master_Reference[[#This Row],[Model Number]],3))</f>
        <v>FDB</v>
      </c>
    </row>
    <row r="737" spans="1:41" x14ac:dyDescent="0.25">
      <c r="A737" s="2" t="s">
        <v>1038</v>
      </c>
      <c r="B737" s="1"/>
      <c r="C737" s="1" t="b">
        <v>1</v>
      </c>
      <c r="G737" s="1" t="str">
        <f>IF(OR(LEFT(RIGHT(Master_Reference[[#This Row],[Model Number]],3),1)="C",LEFT(RIGHT(Master_Reference[[#This Row],[Model Number]],4),1)="C"),TRUE,"")</f>
        <v/>
      </c>
      <c r="H737" s="1" t="str">
        <f>IF(LEFT(Master_Reference[[#This Row],[Model Number]],1)="U",TRUE,"")</f>
        <v/>
      </c>
      <c r="I737" s="1" t="b">
        <f>IF(Master_Reference[[#This Row],[Lamp Type]]="T4","",IF(Master_Reference[[#This Row],[Case Type]]="M","",TRUE))</f>
        <v>1</v>
      </c>
      <c r="J737" s="1" t="s">
        <v>111</v>
      </c>
      <c r="K737" s="1">
        <v>32</v>
      </c>
      <c r="L737" s="1" t="s">
        <v>118</v>
      </c>
      <c r="M737" s="1">
        <v>3</v>
      </c>
      <c r="N737" s="1">
        <v>277</v>
      </c>
      <c r="O737" s="1" t="s">
        <v>144</v>
      </c>
      <c r="R737" t="b">
        <f>IF(COUNTBLANK(Master_Reference[[#This Row],[C-Flex 3000K Eco Part Number]:[C-Flex 4000K Eco Part Number]])=3,FALSE,TRUE)</f>
        <v>0</v>
      </c>
      <c r="S737" t="b">
        <f>IF(COUNTBLANK(Master_Reference[[#This Row],[C-Flex 3000K 3W Part Number]:[C-Flex 4000K 3W Part Number]])=3,FALSE,TRUE)</f>
        <v>1</v>
      </c>
      <c r="T737" s="1" t="b">
        <f>IF(COUNTBLANK(Master_Reference[[#This Row],[Lutron 3000K Eco Part Number]:[Lutron 4000K Eco Part Number]])=3,FALSE,TRUE)</f>
        <v>0</v>
      </c>
      <c r="U737" s="1" t="b">
        <f>IF(COUNTBLANK(Master_Reference[[#This Row],[Lutron 3000K 3W Part Number]:[Lutron 4000K 3W Part Number]])=3,FALSE,TRUE)</f>
        <v>1</v>
      </c>
      <c r="V737" s="13"/>
      <c r="W737" s="13"/>
      <c r="X737" s="12"/>
      <c r="Y737" t="s">
        <v>2125</v>
      </c>
      <c r="Z737" s="12" t="s">
        <v>277</v>
      </c>
      <c r="AA737" s="12" t="s">
        <v>278</v>
      </c>
      <c r="AB737" s="12" t="s">
        <v>279</v>
      </c>
      <c r="AC737" t="s">
        <v>1831</v>
      </c>
      <c r="AD737" t="str">
        <f>SUBSTITUTE(Master_Reference[[#This Row],[C-Flex 4000K Eco Part Number]],"40-","xx-")</f>
        <v/>
      </c>
      <c r="AE737" t="str">
        <f>SUBSTITUTE(Master_Reference[[#This Row],[C-Flex 4000K 3W Part Number]],"40-","xx-")</f>
        <v>RP-T8-4FT-3L-8xx-3W-M-G2</v>
      </c>
      <c r="AF737" s="1" t="str">
        <f>_xlfn.IFNA(VLOOKUP(Master_Reference[[#This Row],[C-Flex 3000K Eco Part Number]],Lutron_CFlex_Lookup[],MATCH("Lutron Kit PN",Lutron_CFlex_Lookup[#Headers],0),FALSE),"")</f>
        <v/>
      </c>
      <c r="AG737" s="1" t="str">
        <f>_xlfn.IFNA(VLOOKUP(Master_Reference[[#This Row],[C-Flex 3500K Eco Part Number]],Lutron_CFlex_Lookup[],MATCH("Lutron Kit PN",Lutron_CFlex_Lookup[#Headers],0),FALSE),"")</f>
        <v/>
      </c>
      <c r="AH737" s="1" t="str">
        <f>_xlfn.IFNA(VLOOKUP(Master_Reference[[#This Row],[C-Flex 4000K Eco Part Number]],Lutron_CFlex_Lookup[],MATCH("Lutron Kit PN",Lutron_CFlex_Lookup[#Headers],0),FALSE),"")</f>
        <v/>
      </c>
      <c r="AI737" s="1" t="str">
        <f>_xlfn.IFNA(VLOOKUP(Master_Reference[[#This Row],[C-Flex 5000K Eco Part Number]],Lutron_CFlex_Lookup[],MATCH("Lutron Kit PN",Lutron_CFlex_Lookup[#Headers],0),FALSE),"")</f>
        <v/>
      </c>
      <c r="AJ737" s="1" t="str">
        <f>_xlfn.IFNA(VLOOKUP(Master_Reference[[#This Row],[C-Flex 3000K 3W Part Number]],Lutron_CFlex_Lookup[],MATCH("Lutron Kit PN",Lutron_CFlex_Lookup[#Headers],0),FALSE),"")</f>
        <v>3LD4T8-3M30-q</v>
      </c>
      <c r="AK737" s="1" t="str">
        <f>_xlfn.IFNA(VLOOKUP(Master_Reference[[#This Row],[C-Flex 3500K 3W Part Number]],Lutron_CFlex_Lookup[],MATCH("Lutron Kit PN",Lutron_CFlex_Lookup[#Headers],0),FALSE),"")</f>
        <v>3LD4T8-3M35-q</v>
      </c>
      <c r="AL737" s="1" t="str">
        <f>_xlfn.IFNA(VLOOKUP(Master_Reference[[#This Row],[C-Flex 4000K 3W Part Number]],Lutron_CFlex_Lookup[],MATCH("Lutron Kit PN",Lutron_CFlex_Lookup[#Headers],0),FALSE),"")</f>
        <v>3LD4T8-3M40-q</v>
      </c>
      <c r="AM737" s="1" t="str">
        <f>_xlfn.IFNA(VLOOKUP(Master_Reference[[#This Row],[C-Flex 5000K 3W Part Number]],Lutron_CFlex_Lookup[],MATCH("Lutron Kit PN",Lutron_CFlex_Lookup[#Headers],0),FALSE),"")</f>
        <v>3LD4T8-3M50-q</v>
      </c>
      <c r="AN737" s="1" t="b">
        <f>NOT(ISNA(VLOOKUP(Master_Reference[[#This Row],[Model Number]],ObsoleteModels[],1,FALSE)))</f>
        <v>1</v>
      </c>
      <c r="AO737" s="1" t="str">
        <f>IF(LEFT(Master_Reference[[#This Row],[Model Number]],1)="U",LEFT(Master_Reference[[#This Row],[Model Number]],4),LEFT(Master_Reference[[#This Row],[Model Number]],3))</f>
        <v>FDB</v>
      </c>
    </row>
    <row r="738" spans="1:41" x14ac:dyDescent="0.25">
      <c r="A738" s="2" t="s">
        <v>1039</v>
      </c>
      <c r="B738" s="1" t="b">
        <v>1</v>
      </c>
      <c r="C738" s="1" t="b">
        <v>1</v>
      </c>
      <c r="G738" s="1" t="str">
        <f>IF(OR(LEFT(RIGHT(Master_Reference[[#This Row],[Model Number]],3),1)="C",LEFT(RIGHT(Master_Reference[[#This Row],[Model Number]],4),1)="C"),TRUE,"")</f>
        <v/>
      </c>
      <c r="H738" s="1" t="str">
        <f>IF(LEFT(Master_Reference[[#This Row],[Model Number]],1)="U",TRUE,"")</f>
        <v/>
      </c>
      <c r="I738" s="1" t="b">
        <f>IF(Master_Reference[[#This Row],[Lamp Type]]="T4","",IF(Master_Reference[[#This Row],[Case Type]]="M","",TRUE))</f>
        <v>1</v>
      </c>
      <c r="J738" s="1" t="str">
        <f t="shared" ref="J738:J761" si="10">RIGHT(LEFT((A738),5),2)</f>
        <v>T5</v>
      </c>
      <c r="K738" s="1">
        <v>14</v>
      </c>
      <c r="L738" s="1" t="s">
        <v>112</v>
      </c>
      <c r="M738" s="1">
        <v>1</v>
      </c>
      <c r="N738" s="1" t="s">
        <v>149</v>
      </c>
      <c r="O738" s="1" t="s">
        <v>113</v>
      </c>
      <c r="R738" t="b">
        <f>IF(COUNTBLANK(Master_Reference[[#This Row],[C-Flex 3000K Eco Part Number]:[C-Flex 4000K Eco Part Number]])=3,FALSE,TRUE)</f>
        <v>1</v>
      </c>
      <c r="S738" t="b">
        <f>IF(COUNTBLANK(Master_Reference[[#This Row],[C-Flex 3000K 3W Part Number]:[C-Flex 4000K 3W Part Number]])=3,FALSE,TRUE)</f>
        <v>1</v>
      </c>
      <c r="T738" t="b">
        <f>IF(COUNTBLANK(Master_Reference[[#This Row],[Lutron 3000K Eco Part Number]:[Lutron 4000K Eco Part Number]])=3,FALSE,TRUE)</f>
        <v>1</v>
      </c>
      <c r="U738" t="b">
        <f>IF(COUNTBLANK(Master_Reference[[#This Row],[Lutron 3000K 3W Part Number]:[Lutron 4000K 3W Part Number]])=3,FALSE,TRUE)</f>
        <v>1</v>
      </c>
      <c r="V738" s="12" t="s">
        <v>321</v>
      </c>
      <c r="W738" s="12" t="s">
        <v>322</v>
      </c>
      <c r="X738" s="12" t="s">
        <v>323</v>
      </c>
      <c r="Y738" t="s">
        <v>1715</v>
      </c>
      <c r="Z738" s="12" t="s">
        <v>124</v>
      </c>
      <c r="AA738" s="12" t="s">
        <v>125</v>
      </c>
      <c r="AB738" s="12" t="s">
        <v>126</v>
      </c>
      <c r="AC738" t="s">
        <v>1803</v>
      </c>
      <c r="AD738" t="str">
        <f>SUBSTITUTE(Master_Reference[[#This Row],[C-Flex 4000K Eco Part Number]],"40-","xx-")</f>
        <v>RP-T5-2FT-1L-8xx-E1-M-G2</v>
      </c>
      <c r="AE738" t="str">
        <f>SUBSTITUTE(Master_Reference[[#This Row],[C-Flex 4000K 3W Part Number]],"40-","xx-")</f>
        <v>RP-T5-2FT-1L-8xx-3W-M-G2</v>
      </c>
      <c r="AF738" s="1" t="str">
        <f>_xlfn.IFNA(VLOOKUP(Master_Reference[[#This Row],[C-Flex 3000K Eco Part Number]],Lutron_CFlex_Lookup[],MATCH("Lutron Kit PN",Lutron_CFlex_Lookup[#Headers],0),FALSE),"")</f>
        <v>ELD2T5-1M30-q</v>
      </c>
      <c r="AG738" s="1" t="str">
        <f>_xlfn.IFNA(VLOOKUP(Master_Reference[[#This Row],[C-Flex 3500K Eco Part Number]],Lutron_CFlex_Lookup[],MATCH("Lutron Kit PN",Lutron_CFlex_Lookup[#Headers],0),FALSE),"")</f>
        <v>ELD2T5-1M35-q</v>
      </c>
      <c r="AH738" s="1" t="str">
        <f>_xlfn.IFNA(VLOOKUP(Master_Reference[[#This Row],[C-Flex 4000K Eco Part Number]],Lutron_CFlex_Lookup[],MATCH("Lutron Kit PN",Lutron_CFlex_Lookup[#Headers],0),FALSE),"")</f>
        <v>ELD2T5-1M40-q</v>
      </c>
      <c r="AI738" s="1" t="str">
        <f>_xlfn.IFNA(VLOOKUP(Master_Reference[[#This Row],[C-Flex 5000K Eco Part Number]],Lutron_CFlex_Lookup[],MATCH("Lutron Kit PN",Lutron_CFlex_Lookup[#Headers],0),FALSE),"")</f>
        <v>ELD2T5-1M50-q</v>
      </c>
      <c r="AJ738" s="1" t="str">
        <f>_xlfn.IFNA(VLOOKUP(Master_Reference[[#This Row],[C-Flex 3000K 3W Part Number]],Lutron_CFlex_Lookup[],MATCH("Lutron Kit PN",Lutron_CFlex_Lookup[#Headers],0),FALSE),"")</f>
        <v>3LD2T5-1M30-q</v>
      </c>
      <c r="AK738" s="1" t="str">
        <f>_xlfn.IFNA(VLOOKUP(Master_Reference[[#This Row],[C-Flex 3500K 3W Part Number]],Lutron_CFlex_Lookup[],MATCH("Lutron Kit PN",Lutron_CFlex_Lookup[#Headers],0),FALSE),"")</f>
        <v>3LD2T5-1M35-q</v>
      </c>
      <c r="AL738" s="1" t="str">
        <f>_xlfn.IFNA(VLOOKUP(Master_Reference[[#This Row],[C-Flex 4000K 3W Part Number]],Lutron_CFlex_Lookup[],MATCH("Lutron Kit PN",Lutron_CFlex_Lookup[#Headers],0),FALSE),"")</f>
        <v>3LD2T5-1M40-q</v>
      </c>
      <c r="AM738" s="1" t="str">
        <f>_xlfn.IFNA(VLOOKUP(Master_Reference[[#This Row],[C-Flex 5000K 3W Part Number]],Lutron_CFlex_Lookup[],MATCH("Lutron Kit PN",Lutron_CFlex_Lookup[#Headers],0),FALSE),"")</f>
        <v>3LD2T5-1M50-q</v>
      </c>
      <c r="AN738" s="1" t="b">
        <f>NOT(ISNA(VLOOKUP(Master_Reference[[#This Row],[Model Number]],ObsoleteModels[],1,FALSE)))</f>
        <v>1</v>
      </c>
      <c r="AO738" s="1" t="str">
        <f>IF(LEFT(Master_Reference[[#This Row],[Model Number]],1)="U",LEFT(Master_Reference[[#This Row],[Model Number]],4),LEFT(Master_Reference[[#This Row],[Model Number]],3))</f>
        <v>H3D</v>
      </c>
    </row>
    <row r="739" spans="1:41" x14ac:dyDescent="0.25">
      <c r="A739" s="2" t="s">
        <v>1040</v>
      </c>
      <c r="B739" s="1" t="b">
        <v>1</v>
      </c>
      <c r="C739" s="1" t="b">
        <v>1</v>
      </c>
      <c r="G739" s="1" t="str">
        <f>IF(OR(LEFT(RIGHT(Master_Reference[[#This Row],[Model Number]],3),1)="C",LEFT(RIGHT(Master_Reference[[#This Row],[Model Number]],4),1)="C"),TRUE,"")</f>
        <v/>
      </c>
      <c r="H739" s="1" t="str">
        <f>IF(LEFT(Master_Reference[[#This Row],[Model Number]],1)="U",TRUE,"")</f>
        <v/>
      </c>
      <c r="I739" s="1" t="b">
        <f>IF(Master_Reference[[#This Row],[Lamp Type]]="T4","",IF(Master_Reference[[#This Row],[Case Type]]="M","",TRUE))</f>
        <v>1</v>
      </c>
      <c r="J739" s="1" t="str">
        <f t="shared" si="10"/>
        <v>T5</v>
      </c>
      <c r="K739" s="1">
        <v>14</v>
      </c>
      <c r="L739" s="1" t="s">
        <v>112</v>
      </c>
      <c r="M739" s="1">
        <v>1</v>
      </c>
      <c r="N739" s="1" t="s">
        <v>149</v>
      </c>
      <c r="O739" s="1" t="s">
        <v>113</v>
      </c>
      <c r="Q739" s="1" t="s">
        <v>91</v>
      </c>
      <c r="R739" t="b">
        <f>IF(COUNTBLANK(Master_Reference[[#This Row],[C-Flex 3000K Eco Part Number]:[C-Flex 4000K Eco Part Number]])=3,FALSE,TRUE)</f>
        <v>0</v>
      </c>
      <c r="S739" t="b">
        <f>IF(COUNTBLANK(Master_Reference[[#This Row],[C-Flex 3000K 3W Part Number]:[C-Flex 4000K 3W Part Number]])=3,FALSE,TRUE)</f>
        <v>0</v>
      </c>
      <c r="T739" t="b">
        <f>IF(COUNTBLANK(Master_Reference[[#This Row],[Lutron 3000K Eco Part Number]:[Lutron 4000K Eco Part Number]])=3,FALSE,TRUE)</f>
        <v>0</v>
      </c>
      <c r="U739" t="b">
        <f>IF(COUNTBLANK(Master_Reference[[#This Row],[Lutron 3000K 3W Part Number]:[Lutron 4000K 3W Part Number]])=3,FALSE,TRUE)</f>
        <v>0</v>
      </c>
      <c r="V739" s="12"/>
      <c r="W739" s="12"/>
      <c r="X739" s="12"/>
      <c r="Y739" t="s">
        <v>2125</v>
      </c>
      <c r="Z739" s="12"/>
      <c r="AA739" s="12"/>
      <c r="AB739" s="12"/>
      <c r="AC739" t="s">
        <v>2125</v>
      </c>
      <c r="AD739" t="str">
        <f>SUBSTITUTE(Master_Reference[[#This Row],[C-Flex 4000K Eco Part Number]],"40-","xx-")</f>
        <v/>
      </c>
      <c r="AE739" t="str">
        <f>SUBSTITUTE(Master_Reference[[#This Row],[C-Flex 4000K 3W Part Number]],"40-","xx-")</f>
        <v/>
      </c>
      <c r="AF739" s="1" t="str">
        <f>_xlfn.IFNA(VLOOKUP(Master_Reference[[#This Row],[C-Flex 3000K Eco Part Number]],Lutron_CFlex_Lookup[],MATCH("Lutron Kit PN",Lutron_CFlex_Lookup[#Headers],0),FALSE),"")</f>
        <v/>
      </c>
      <c r="AG739" s="1" t="str">
        <f>_xlfn.IFNA(VLOOKUP(Master_Reference[[#This Row],[C-Flex 3500K Eco Part Number]],Lutron_CFlex_Lookup[],MATCH("Lutron Kit PN",Lutron_CFlex_Lookup[#Headers],0),FALSE),"")</f>
        <v/>
      </c>
      <c r="AH739" s="1" t="str">
        <f>_xlfn.IFNA(VLOOKUP(Master_Reference[[#This Row],[C-Flex 4000K Eco Part Number]],Lutron_CFlex_Lookup[],MATCH("Lutron Kit PN",Lutron_CFlex_Lookup[#Headers],0),FALSE),"")</f>
        <v/>
      </c>
      <c r="AI739" s="1" t="str">
        <f>_xlfn.IFNA(VLOOKUP(Master_Reference[[#This Row],[C-Flex 5000K Eco Part Number]],Lutron_CFlex_Lookup[],MATCH("Lutron Kit PN",Lutron_CFlex_Lookup[#Headers],0),FALSE),"")</f>
        <v/>
      </c>
      <c r="AJ739" s="1" t="str">
        <f>_xlfn.IFNA(VLOOKUP(Master_Reference[[#This Row],[C-Flex 3000K 3W Part Number]],Lutron_CFlex_Lookup[],MATCH("Lutron Kit PN",Lutron_CFlex_Lookup[#Headers],0),FALSE),"")</f>
        <v/>
      </c>
      <c r="AK739" s="1" t="str">
        <f>_xlfn.IFNA(VLOOKUP(Master_Reference[[#This Row],[C-Flex 3500K 3W Part Number]],Lutron_CFlex_Lookup[],MATCH("Lutron Kit PN",Lutron_CFlex_Lookup[#Headers],0),FALSE),"")</f>
        <v/>
      </c>
      <c r="AL739" s="1" t="str">
        <f>_xlfn.IFNA(VLOOKUP(Master_Reference[[#This Row],[C-Flex 4000K 3W Part Number]],Lutron_CFlex_Lookup[],MATCH("Lutron Kit PN",Lutron_CFlex_Lookup[#Headers],0),FALSE),"")</f>
        <v/>
      </c>
      <c r="AM739" s="1" t="str">
        <f>_xlfn.IFNA(VLOOKUP(Master_Reference[[#This Row],[C-Flex 5000K 3W Part Number]],Lutron_CFlex_Lookup[],MATCH("Lutron Kit PN",Lutron_CFlex_Lookup[#Headers],0),FALSE),"")</f>
        <v/>
      </c>
      <c r="AN739" s="1" t="b">
        <f>NOT(ISNA(VLOOKUP(Master_Reference[[#This Row],[Model Number]],ObsoleteModels[],1,FALSE)))</f>
        <v>1</v>
      </c>
      <c r="AO739" s="1" t="str">
        <f>IF(LEFT(Master_Reference[[#This Row],[Model Number]],1)="U",LEFT(Master_Reference[[#This Row],[Model Number]],4),LEFT(Master_Reference[[#This Row],[Model Number]],3))</f>
        <v>H3D</v>
      </c>
    </row>
    <row r="740" spans="1:41" x14ac:dyDescent="0.25">
      <c r="A740" s="2" t="s">
        <v>1041</v>
      </c>
      <c r="B740" s="1" t="b">
        <v>1</v>
      </c>
      <c r="C740" s="1" t="b">
        <v>1</v>
      </c>
      <c r="G740" s="1" t="b">
        <f>IF(OR(LEFT(RIGHT(Master_Reference[[#This Row],[Model Number]],3),1)="C",LEFT(RIGHT(Master_Reference[[#This Row],[Model Number]],4),1)="C"),TRUE,"")</f>
        <v>1</v>
      </c>
      <c r="H740" s="1" t="str">
        <f>IF(LEFT(Master_Reference[[#This Row],[Model Number]],1)="U",TRUE,"")</f>
        <v/>
      </c>
      <c r="I740" s="1" t="b">
        <f>IF(Master_Reference[[#This Row],[Lamp Type]]="T4","",IF(Master_Reference[[#This Row],[Case Type]]="M","",TRUE))</f>
        <v>1</v>
      </c>
      <c r="J740" s="1" t="str">
        <f t="shared" si="10"/>
        <v>T5</v>
      </c>
      <c r="K740" s="1">
        <v>14</v>
      </c>
      <c r="L740" s="1" t="s">
        <v>112</v>
      </c>
      <c r="M740" s="1">
        <v>1</v>
      </c>
      <c r="N740" s="1" t="s">
        <v>149</v>
      </c>
      <c r="O740" s="1" t="s">
        <v>113</v>
      </c>
      <c r="R740" t="b">
        <f>IF(COUNTBLANK(Master_Reference[[#This Row],[C-Flex 3000K Eco Part Number]:[C-Flex 4000K Eco Part Number]])=3,FALSE,TRUE)</f>
        <v>1</v>
      </c>
      <c r="S740" t="b">
        <f>IF(COUNTBLANK(Master_Reference[[#This Row],[C-Flex 3000K 3W Part Number]:[C-Flex 4000K 3W Part Number]])=3,FALSE,TRUE)</f>
        <v>1</v>
      </c>
      <c r="T740" t="b">
        <f>IF(COUNTBLANK(Master_Reference[[#This Row],[Lutron 3000K Eco Part Number]:[Lutron 4000K Eco Part Number]])=3,FALSE,TRUE)</f>
        <v>1</v>
      </c>
      <c r="U740" t="b">
        <f>IF(COUNTBLANK(Master_Reference[[#This Row],[Lutron 3000K 3W Part Number]:[Lutron 4000K 3W Part Number]])=3,FALSE,TRUE)</f>
        <v>1</v>
      </c>
      <c r="V740" s="12" t="s">
        <v>321</v>
      </c>
      <c r="W740" s="12" t="s">
        <v>322</v>
      </c>
      <c r="X740" s="12" t="s">
        <v>323</v>
      </c>
      <c r="Y740" t="s">
        <v>1715</v>
      </c>
      <c r="Z740" s="12" t="s">
        <v>124</v>
      </c>
      <c r="AA740" s="12" t="s">
        <v>125</v>
      </c>
      <c r="AB740" s="12" t="s">
        <v>126</v>
      </c>
      <c r="AC740" t="s">
        <v>1803</v>
      </c>
      <c r="AD740" t="str">
        <f>SUBSTITUTE(Master_Reference[[#This Row],[C-Flex 4000K Eco Part Number]],"40-","xx-")</f>
        <v>RP-T5-2FT-1L-8xx-E1-M-G2</v>
      </c>
      <c r="AE740" t="str">
        <f>SUBSTITUTE(Master_Reference[[#This Row],[C-Flex 4000K 3W Part Number]],"40-","xx-")</f>
        <v>RP-T5-2FT-1L-8xx-3W-M-G2</v>
      </c>
      <c r="AF740" s="1" t="str">
        <f>_xlfn.IFNA(VLOOKUP(Master_Reference[[#This Row],[C-Flex 3000K Eco Part Number]],Lutron_CFlex_Lookup[],MATCH("Lutron Kit PN",Lutron_CFlex_Lookup[#Headers],0),FALSE),"")</f>
        <v>ELD2T5-1M30-q</v>
      </c>
      <c r="AG740" s="1" t="str">
        <f>_xlfn.IFNA(VLOOKUP(Master_Reference[[#This Row],[C-Flex 3500K Eco Part Number]],Lutron_CFlex_Lookup[],MATCH("Lutron Kit PN",Lutron_CFlex_Lookup[#Headers],0),FALSE),"")</f>
        <v>ELD2T5-1M35-q</v>
      </c>
      <c r="AH740" s="1" t="str">
        <f>_xlfn.IFNA(VLOOKUP(Master_Reference[[#This Row],[C-Flex 4000K Eco Part Number]],Lutron_CFlex_Lookup[],MATCH("Lutron Kit PN",Lutron_CFlex_Lookup[#Headers],0),FALSE),"")</f>
        <v>ELD2T5-1M40-q</v>
      </c>
      <c r="AI740" s="1" t="str">
        <f>_xlfn.IFNA(VLOOKUP(Master_Reference[[#This Row],[C-Flex 5000K Eco Part Number]],Lutron_CFlex_Lookup[],MATCH("Lutron Kit PN",Lutron_CFlex_Lookup[#Headers],0),FALSE),"")</f>
        <v>ELD2T5-1M50-q</v>
      </c>
      <c r="AJ740" s="1" t="str">
        <f>_xlfn.IFNA(VLOOKUP(Master_Reference[[#This Row],[C-Flex 3000K 3W Part Number]],Lutron_CFlex_Lookup[],MATCH("Lutron Kit PN",Lutron_CFlex_Lookup[#Headers],0),FALSE),"")</f>
        <v>3LD2T5-1M30-q</v>
      </c>
      <c r="AK740" s="1" t="str">
        <f>_xlfn.IFNA(VLOOKUP(Master_Reference[[#This Row],[C-Flex 3500K 3W Part Number]],Lutron_CFlex_Lookup[],MATCH("Lutron Kit PN",Lutron_CFlex_Lookup[#Headers],0),FALSE),"")</f>
        <v>3LD2T5-1M35-q</v>
      </c>
      <c r="AL740" s="1" t="str">
        <f>_xlfn.IFNA(VLOOKUP(Master_Reference[[#This Row],[C-Flex 4000K 3W Part Number]],Lutron_CFlex_Lookup[],MATCH("Lutron Kit PN",Lutron_CFlex_Lookup[#Headers],0),FALSE),"")</f>
        <v>3LD2T5-1M40-q</v>
      </c>
      <c r="AM740" s="1" t="str">
        <f>_xlfn.IFNA(VLOOKUP(Master_Reference[[#This Row],[C-Flex 5000K 3W Part Number]],Lutron_CFlex_Lookup[],MATCH("Lutron Kit PN",Lutron_CFlex_Lookup[#Headers],0),FALSE),"")</f>
        <v>3LD2T5-1M50-q</v>
      </c>
      <c r="AN740" s="1" t="b">
        <f>NOT(ISNA(VLOOKUP(Master_Reference[[#This Row],[Model Number]],ObsoleteModels[],1,FALSE)))</f>
        <v>1</v>
      </c>
      <c r="AO740" s="1" t="str">
        <f>IF(LEFT(Master_Reference[[#This Row],[Model Number]],1)="U",LEFT(Master_Reference[[#This Row],[Model Number]],4),LEFT(Master_Reference[[#This Row],[Model Number]],3))</f>
        <v>H3D</v>
      </c>
    </row>
    <row r="741" spans="1:41" x14ac:dyDescent="0.25">
      <c r="A741" s="2" t="s">
        <v>1042</v>
      </c>
      <c r="B741" s="1" t="b">
        <v>1</v>
      </c>
      <c r="C741" s="1" t="b">
        <v>1</v>
      </c>
      <c r="G741" s="1" t="b">
        <f>IF(OR(LEFT(RIGHT(Master_Reference[[#This Row],[Model Number]],3),1)="C",LEFT(RIGHT(Master_Reference[[#This Row],[Model Number]],4),1)="C"),TRUE,"")</f>
        <v>1</v>
      </c>
      <c r="H741" s="1" t="str">
        <f>IF(LEFT(Master_Reference[[#This Row],[Model Number]],1)="U",TRUE,"")</f>
        <v/>
      </c>
      <c r="I741" s="1" t="b">
        <f>IF(Master_Reference[[#This Row],[Lamp Type]]="T4","",IF(Master_Reference[[#This Row],[Case Type]]="M","",TRUE))</f>
        <v>1</v>
      </c>
      <c r="J741" s="1" t="str">
        <f t="shared" si="10"/>
        <v>T5</v>
      </c>
      <c r="K741" s="1">
        <v>14</v>
      </c>
      <c r="L741" s="1" t="s">
        <v>112</v>
      </c>
      <c r="M741" s="1">
        <v>1</v>
      </c>
      <c r="N741" s="1" t="s">
        <v>149</v>
      </c>
      <c r="O741" s="1" t="s">
        <v>113</v>
      </c>
      <c r="R741" t="b">
        <f>IF(COUNTBLANK(Master_Reference[[#This Row],[C-Flex 3000K Eco Part Number]:[C-Flex 4000K Eco Part Number]])=3,FALSE,TRUE)</f>
        <v>1</v>
      </c>
      <c r="S741" t="b">
        <f>IF(COUNTBLANK(Master_Reference[[#This Row],[C-Flex 3000K 3W Part Number]:[C-Flex 4000K 3W Part Number]])=3,FALSE,TRUE)</f>
        <v>1</v>
      </c>
      <c r="T741" t="b">
        <f>IF(COUNTBLANK(Master_Reference[[#This Row],[Lutron 3000K Eco Part Number]:[Lutron 4000K Eco Part Number]])=3,FALSE,TRUE)</f>
        <v>1</v>
      </c>
      <c r="U741" t="b">
        <f>IF(COUNTBLANK(Master_Reference[[#This Row],[Lutron 3000K 3W Part Number]:[Lutron 4000K 3W Part Number]])=3,FALSE,TRUE)</f>
        <v>1</v>
      </c>
      <c r="V741" s="12" t="s">
        <v>321</v>
      </c>
      <c r="W741" s="12" t="s">
        <v>322</v>
      </c>
      <c r="X741" s="12" t="s">
        <v>323</v>
      </c>
      <c r="Y741" t="s">
        <v>1715</v>
      </c>
      <c r="Z741" s="12" t="s">
        <v>124</v>
      </c>
      <c r="AA741" s="12" t="s">
        <v>125</v>
      </c>
      <c r="AB741" s="12" t="s">
        <v>126</v>
      </c>
      <c r="AC741" t="s">
        <v>1803</v>
      </c>
      <c r="AD741" t="str">
        <f>SUBSTITUTE(Master_Reference[[#This Row],[C-Flex 4000K Eco Part Number]],"40-","xx-")</f>
        <v>RP-T5-2FT-1L-8xx-E1-M-G2</v>
      </c>
      <c r="AE741" t="str">
        <f>SUBSTITUTE(Master_Reference[[#This Row],[C-Flex 4000K 3W Part Number]],"40-","xx-")</f>
        <v>RP-T5-2FT-1L-8xx-3W-M-G2</v>
      </c>
      <c r="AF741" s="1" t="str">
        <f>_xlfn.IFNA(VLOOKUP(Master_Reference[[#This Row],[C-Flex 3000K Eco Part Number]],Lutron_CFlex_Lookup[],MATCH("Lutron Kit PN",Lutron_CFlex_Lookup[#Headers],0),FALSE),"")</f>
        <v>ELD2T5-1M30-q</v>
      </c>
      <c r="AG741" s="1" t="str">
        <f>_xlfn.IFNA(VLOOKUP(Master_Reference[[#This Row],[C-Flex 3500K Eco Part Number]],Lutron_CFlex_Lookup[],MATCH("Lutron Kit PN",Lutron_CFlex_Lookup[#Headers],0),FALSE),"")</f>
        <v>ELD2T5-1M35-q</v>
      </c>
      <c r="AH741" s="1" t="str">
        <f>_xlfn.IFNA(VLOOKUP(Master_Reference[[#This Row],[C-Flex 4000K Eco Part Number]],Lutron_CFlex_Lookup[],MATCH("Lutron Kit PN",Lutron_CFlex_Lookup[#Headers],0),FALSE),"")</f>
        <v>ELD2T5-1M40-q</v>
      </c>
      <c r="AI741" s="1" t="str">
        <f>_xlfn.IFNA(VLOOKUP(Master_Reference[[#This Row],[C-Flex 5000K Eco Part Number]],Lutron_CFlex_Lookup[],MATCH("Lutron Kit PN",Lutron_CFlex_Lookup[#Headers],0),FALSE),"")</f>
        <v>ELD2T5-1M50-q</v>
      </c>
      <c r="AJ741" s="1" t="str">
        <f>_xlfn.IFNA(VLOOKUP(Master_Reference[[#This Row],[C-Flex 3000K 3W Part Number]],Lutron_CFlex_Lookup[],MATCH("Lutron Kit PN",Lutron_CFlex_Lookup[#Headers],0),FALSE),"")</f>
        <v>3LD2T5-1M30-q</v>
      </c>
      <c r="AK741" s="1" t="str">
        <f>_xlfn.IFNA(VLOOKUP(Master_Reference[[#This Row],[C-Flex 3500K 3W Part Number]],Lutron_CFlex_Lookup[],MATCH("Lutron Kit PN",Lutron_CFlex_Lookup[#Headers],0),FALSE),"")</f>
        <v>3LD2T5-1M35-q</v>
      </c>
      <c r="AL741" s="1" t="str">
        <f>_xlfn.IFNA(VLOOKUP(Master_Reference[[#This Row],[C-Flex 4000K 3W Part Number]],Lutron_CFlex_Lookup[],MATCH("Lutron Kit PN",Lutron_CFlex_Lookup[#Headers],0),FALSE),"")</f>
        <v>3LD2T5-1M40-q</v>
      </c>
      <c r="AM741" s="1" t="str">
        <f>_xlfn.IFNA(VLOOKUP(Master_Reference[[#This Row],[C-Flex 5000K 3W Part Number]],Lutron_CFlex_Lookup[],MATCH("Lutron Kit PN",Lutron_CFlex_Lookup[#Headers],0),FALSE),"")</f>
        <v>3LD2T5-1M50-q</v>
      </c>
      <c r="AN741" s="1" t="b">
        <f>NOT(ISNA(VLOOKUP(Master_Reference[[#This Row],[Model Number]],ObsoleteModels[],1,FALSE)))</f>
        <v>1</v>
      </c>
      <c r="AO741" s="1" t="str">
        <f>IF(LEFT(Master_Reference[[#This Row],[Model Number]],1)="U",LEFT(Master_Reference[[#This Row],[Model Number]],4),LEFT(Master_Reference[[#This Row],[Model Number]],3))</f>
        <v>H3D</v>
      </c>
    </row>
    <row r="742" spans="1:41" x14ac:dyDescent="0.25">
      <c r="A742" s="2" t="s">
        <v>1043</v>
      </c>
      <c r="B742" s="1" t="b">
        <v>1</v>
      </c>
      <c r="C742" s="1" t="b">
        <v>1</v>
      </c>
      <c r="G742" s="1" t="str">
        <f>IF(OR(LEFT(RIGHT(Master_Reference[[#This Row],[Model Number]],3),1)="C",LEFT(RIGHT(Master_Reference[[#This Row],[Model Number]],4),1)="C"),TRUE,"")</f>
        <v/>
      </c>
      <c r="H742" s="1" t="str">
        <f>IF(LEFT(Master_Reference[[#This Row],[Model Number]],1)="U",TRUE,"")</f>
        <v/>
      </c>
      <c r="I742" s="1" t="b">
        <f>IF(Master_Reference[[#This Row],[Lamp Type]]="T4","",IF(Master_Reference[[#This Row],[Case Type]]="M","",TRUE))</f>
        <v>1</v>
      </c>
      <c r="J742" s="1" t="str">
        <f t="shared" si="10"/>
        <v>T5</v>
      </c>
      <c r="K742" s="1">
        <v>14</v>
      </c>
      <c r="L742" s="1" t="s">
        <v>112</v>
      </c>
      <c r="M742" s="1">
        <v>2</v>
      </c>
      <c r="N742" s="1" t="s">
        <v>149</v>
      </c>
      <c r="O742" s="1" t="s">
        <v>113</v>
      </c>
      <c r="R742" t="b">
        <f>IF(COUNTBLANK(Master_Reference[[#This Row],[C-Flex 3000K Eco Part Number]:[C-Flex 4000K Eco Part Number]])=3,FALSE,TRUE)</f>
        <v>1</v>
      </c>
      <c r="S742" t="b">
        <f>IF(COUNTBLANK(Master_Reference[[#This Row],[C-Flex 3000K 3W Part Number]:[C-Flex 4000K 3W Part Number]])=3,FALSE,TRUE)</f>
        <v>1</v>
      </c>
      <c r="T742" t="b">
        <f>IF(COUNTBLANK(Master_Reference[[#This Row],[Lutron 3000K Eco Part Number]:[Lutron 4000K Eco Part Number]])=3,FALSE,TRUE)</f>
        <v>1</v>
      </c>
      <c r="U742" t="b">
        <f>IF(COUNTBLANK(Master_Reference[[#This Row],[Lutron 3000K 3W Part Number]:[Lutron 4000K 3W Part Number]])=3,FALSE,TRUE)</f>
        <v>1</v>
      </c>
      <c r="V742" s="12" t="s">
        <v>325</v>
      </c>
      <c r="W742" s="12" t="s">
        <v>326</v>
      </c>
      <c r="X742" s="12" t="s">
        <v>327</v>
      </c>
      <c r="Y742" t="s">
        <v>1716</v>
      </c>
      <c r="Z742" s="12" t="s">
        <v>128</v>
      </c>
      <c r="AA742" s="12" t="s">
        <v>129</v>
      </c>
      <c r="AB742" s="12" t="s">
        <v>130</v>
      </c>
      <c r="AC742" t="s">
        <v>1804</v>
      </c>
      <c r="AD742" t="str">
        <f>SUBSTITUTE(Master_Reference[[#This Row],[C-Flex 4000K Eco Part Number]],"40-","xx-")</f>
        <v>RP-T5-2FT-2L-8xx-E1-M-G2</v>
      </c>
      <c r="AE742" t="str">
        <f>SUBSTITUTE(Master_Reference[[#This Row],[C-Flex 4000K 3W Part Number]],"40-","xx-")</f>
        <v>RP-T5-2FT-2L-8xx-3W-M-G2</v>
      </c>
      <c r="AF742" s="1" t="str">
        <f>_xlfn.IFNA(VLOOKUP(Master_Reference[[#This Row],[C-Flex 3000K Eco Part Number]],Lutron_CFlex_Lookup[],MATCH("Lutron Kit PN",Lutron_CFlex_Lookup[#Headers],0),FALSE),"")</f>
        <v>ELD2T5-2M30-q</v>
      </c>
      <c r="AG742" s="1" t="str">
        <f>_xlfn.IFNA(VLOOKUP(Master_Reference[[#This Row],[C-Flex 3500K Eco Part Number]],Lutron_CFlex_Lookup[],MATCH("Lutron Kit PN",Lutron_CFlex_Lookup[#Headers],0),FALSE),"")</f>
        <v>ELD2T5-2M35-q</v>
      </c>
      <c r="AH742" s="1" t="str">
        <f>_xlfn.IFNA(VLOOKUP(Master_Reference[[#This Row],[C-Flex 4000K Eco Part Number]],Lutron_CFlex_Lookup[],MATCH("Lutron Kit PN",Lutron_CFlex_Lookup[#Headers],0),FALSE),"")</f>
        <v>ELD2T5-2M40-q</v>
      </c>
      <c r="AI742" s="1" t="str">
        <f>_xlfn.IFNA(VLOOKUP(Master_Reference[[#This Row],[C-Flex 5000K Eco Part Number]],Lutron_CFlex_Lookup[],MATCH("Lutron Kit PN",Lutron_CFlex_Lookup[#Headers],0),FALSE),"")</f>
        <v>ELD2T5-2M50-q</v>
      </c>
      <c r="AJ742" s="1" t="str">
        <f>_xlfn.IFNA(VLOOKUP(Master_Reference[[#This Row],[C-Flex 3000K 3W Part Number]],Lutron_CFlex_Lookup[],MATCH("Lutron Kit PN",Lutron_CFlex_Lookup[#Headers],0),FALSE),"")</f>
        <v>3LD2T5-2M30-q</v>
      </c>
      <c r="AK742" s="1" t="str">
        <f>_xlfn.IFNA(VLOOKUP(Master_Reference[[#This Row],[C-Flex 3500K 3W Part Number]],Lutron_CFlex_Lookup[],MATCH("Lutron Kit PN",Lutron_CFlex_Lookup[#Headers],0),FALSE),"")</f>
        <v>3LD2T5-2M35-q</v>
      </c>
      <c r="AL742" s="1" t="str">
        <f>_xlfn.IFNA(VLOOKUP(Master_Reference[[#This Row],[C-Flex 4000K 3W Part Number]],Lutron_CFlex_Lookup[],MATCH("Lutron Kit PN",Lutron_CFlex_Lookup[#Headers],0),FALSE),"")</f>
        <v>3LD2T5-2M40-q</v>
      </c>
      <c r="AM742" s="1" t="str">
        <f>_xlfn.IFNA(VLOOKUP(Master_Reference[[#This Row],[C-Flex 5000K 3W Part Number]],Lutron_CFlex_Lookup[],MATCH("Lutron Kit PN",Lutron_CFlex_Lookup[#Headers],0),FALSE),"")</f>
        <v>3LD2T5-2M50-q</v>
      </c>
      <c r="AN742" s="1" t="b">
        <f>NOT(ISNA(VLOOKUP(Master_Reference[[#This Row],[Model Number]],ObsoleteModels[],1,FALSE)))</f>
        <v>1</v>
      </c>
      <c r="AO742" s="1" t="str">
        <f>IF(LEFT(Master_Reference[[#This Row],[Model Number]],1)="U",LEFT(Master_Reference[[#This Row],[Model Number]],4),LEFT(Master_Reference[[#This Row],[Model Number]],3))</f>
        <v>H3D</v>
      </c>
    </row>
    <row r="743" spans="1:41" x14ac:dyDescent="0.25">
      <c r="A743" s="2" t="s">
        <v>1044</v>
      </c>
      <c r="B743" s="1" t="b">
        <v>1</v>
      </c>
      <c r="C743" s="1" t="b">
        <v>1</v>
      </c>
      <c r="G743" s="1" t="str">
        <f>IF(OR(LEFT(RIGHT(Master_Reference[[#This Row],[Model Number]],3),1)="C",LEFT(RIGHT(Master_Reference[[#This Row],[Model Number]],4),1)="C"),TRUE,"")</f>
        <v/>
      </c>
      <c r="H743" s="1" t="str">
        <f>IF(LEFT(Master_Reference[[#This Row],[Model Number]],1)="U",TRUE,"")</f>
        <v/>
      </c>
      <c r="I743" s="1" t="b">
        <f>IF(Master_Reference[[#This Row],[Lamp Type]]="T4","",IF(Master_Reference[[#This Row],[Case Type]]="M","",TRUE))</f>
        <v>1</v>
      </c>
      <c r="J743" s="1" t="str">
        <f t="shared" si="10"/>
        <v>T5</v>
      </c>
      <c r="K743" s="1">
        <v>14</v>
      </c>
      <c r="L743" s="1" t="s">
        <v>112</v>
      </c>
      <c r="M743" s="1">
        <v>2</v>
      </c>
      <c r="N743" s="1" t="s">
        <v>149</v>
      </c>
      <c r="O743" s="1" t="s">
        <v>113</v>
      </c>
      <c r="Q743" s="1" t="s">
        <v>91</v>
      </c>
      <c r="R743" t="b">
        <f>IF(COUNTBLANK(Master_Reference[[#This Row],[C-Flex 3000K Eco Part Number]:[C-Flex 4000K Eco Part Number]])=3,FALSE,TRUE)</f>
        <v>0</v>
      </c>
      <c r="S743" t="b">
        <f>IF(COUNTBLANK(Master_Reference[[#This Row],[C-Flex 3000K 3W Part Number]:[C-Flex 4000K 3W Part Number]])=3,FALSE,TRUE)</f>
        <v>0</v>
      </c>
      <c r="T743" t="b">
        <f>IF(COUNTBLANK(Master_Reference[[#This Row],[Lutron 3000K Eco Part Number]:[Lutron 4000K Eco Part Number]])=3,FALSE,TRUE)</f>
        <v>0</v>
      </c>
      <c r="U743" t="b">
        <f>IF(COUNTBLANK(Master_Reference[[#This Row],[Lutron 3000K 3W Part Number]:[Lutron 4000K 3W Part Number]])=3,FALSE,TRUE)</f>
        <v>0</v>
      </c>
      <c r="V743" s="12"/>
      <c r="W743" s="12"/>
      <c r="X743" s="12"/>
      <c r="Y743" t="s">
        <v>2125</v>
      </c>
      <c r="Z743" s="12"/>
      <c r="AA743" s="12"/>
      <c r="AB743" s="12"/>
      <c r="AC743" t="s">
        <v>2125</v>
      </c>
      <c r="AD743" t="str">
        <f>SUBSTITUTE(Master_Reference[[#This Row],[C-Flex 4000K Eco Part Number]],"40-","xx-")</f>
        <v/>
      </c>
      <c r="AE743" t="str">
        <f>SUBSTITUTE(Master_Reference[[#This Row],[C-Flex 4000K 3W Part Number]],"40-","xx-")</f>
        <v/>
      </c>
      <c r="AF743" s="1" t="str">
        <f>_xlfn.IFNA(VLOOKUP(Master_Reference[[#This Row],[C-Flex 3000K Eco Part Number]],Lutron_CFlex_Lookup[],MATCH("Lutron Kit PN",Lutron_CFlex_Lookup[#Headers],0),FALSE),"")</f>
        <v/>
      </c>
      <c r="AG743" s="1" t="str">
        <f>_xlfn.IFNA(VLOOKUP(Master_Reference[[#This Row],[C-Flex 3500K Eco Part Number]],Lutron_CFlex_Lookup[],MATCH("Lutron Kit PN",Lutron_CFlex_Lookup[#Headers],0),FALSE),"")</f>
        <v/>
      </c>
      <c r="AH743" s="1" t="str">
        <f>_xlfn.IFNA(VLOOKUP(Master_Reference[[#This Row],[C-Flex 4000K Eco Part Number]],Lutron_CFlex_Lookup[],MATCH("Lutron Kit PN",Lutron_CFlex_Lookup[#Headers],0),FALSE),"")</f>
        <v/>
      </c>
      <c r="AI743" s="1" t="str">
        <f>_xlfn.IFNA(VLOOKUP(Master_Reference[[#This Row],[C-Flex 5000K Eco Part Number]],Lutron_CFlex_Lookup[],MATCH("Lutron Kit PN",Lutron_CFlex_Lookup[#Headers],0),FALSE),"")</f>
        <v/>
      </c>
      <c r="AJ743" s="1" t="str">
        <f>_xlfn.IFNA(VLOOKUP(Master_Reference[[#This Row],[C-Flex 3000K 3W Part Number]],Lutron_CFlex_Lookup[],MATCH("Lutron Kit PN",Lutron_CFlex_Lookup[#Headers],0),FALSE),"")</f>
        <v/>
      </c>
      <c r="AK743" s="1" t="str">
        <f>_xlfn.IFNA(VLOOKUP(Master_Reference[[#This Row],[C-Flex 3500K 3W Part Number]],Lutron_CFlex_Lookup[],MATCH("Lutron Kit PN",Lutron_CFlex_Lookup[#Headers],0),FALSE),"")</f>
        <v/>
      </c>
      <c r="AL743" s="1" t="str">
        <f>_xlfn.IFNA(VLOOKUP(Master_Reference[[#This Row],[C-Flex 4000K 3W Part Number]],Lutron_CFlex_Lookup[],MATCH("Lutron Kit PN",Lutron_CFlex_Lookup[#Headers],0),FALSE),"")</f>
        <v/>
      </c>
      <c r="AM743" s="1" t="str">
        <f>_xlfn.IFNA(VLOOKUP(Master_Reference[[#This Row],[C-Flex 5000K 3W Part Number]],Lutron_CFlex_Lookup[],MATCH("Lutron Kit PN",Lutron_CFlex_Lookup[#Headers],0),FALSE),"")</f>
        <v/>
      </c>
      <c r="AN743" s="1" t="b">
        <f>NOT(ISNA(VLOOKUP(Master_Reference[[#This Row],[Model Number]],ObsoleteModels[],1,FALSE)))</f>
        <v>1</v>
      </c>
      <c r="AO743" s="1" t="str">
        <f>IF(LEFT(Master_Reference[[#This Row],[Model Number]],1)="U",LEFT(Master_Reference[[#This Row],[Model Number]],4),LEFT(Master_Reference[[#This Row],[Model Number]],3))</f>
        <v>H3D</v>
      </c>
    </row>
    <row r="744" spans="1:41" x14ac:dyDescent="0.25">
      <c r="A744" s="2" t="s">
        <v>1045</v>
      </c>
      <c r="B744" s="1" t="b">
        <v>1</v>
      </c>
      <c r="C744" s="1" t="b">
        <v>1</v>
      </c>
      <c r="G744" s="1" t="b">
        <f>IF(OR(LEFT(RIGHT(Master_Reference[[#This Row],[Model Number]],3),1)="C",LEFT(RIGHT(Master_Reference[[#This Row],[Model Number]],4),1)="C"),TRUE,"")</f>
        <v>1</v>
      </c>
      <c r="H744" s="1" t="str">
        <f>IF(LEFT(Master_Reference[[#This Row],[Model Number]],1)="U",TRUE,"")</f>
        <v/>
      </c>
      <c r="I744" s="1" t="b">
        <f>IF(Master_Reference[[#This Row],[Lamp Type]]="T4","",IF(Master_Reference[[#This Row],[Case Type]]="M","",TRUE))</f>
        <v>1</v>
      </c>
      <c r="J744" s="1" t="str">
        <f t="shared" si="10"/>
        <v>T5</v>
      </c>
      <c r="K744" s="1">
        <v>14</v>
      </c>
      <c r="L744" s="1" t="s">
        <v>112</v>
      </c>
      <c r="M744" s="1">
        <v>2</v>
      </c>
      <c r="N744" s="1" t="s">
        <v>149</v>
      </c>
      <c r="O744" s="1" t="s">
        <v>113</v>
      </c>
      <c r="R744" t="b">
        <f>IF(COUNTBLANK(Master_Reference[[#This Row],[C-Flex 3000K Eco Part Number]:[C-Flex 4000K Eco Part Number]])=3,FALSE,TRUE)</f>
        <v>1</v>
      </c>
      <c r="S744" t="b">
        <f>IF(COUNTBLANK(Master_Reference[[#This Row],[C-Flex 3000K 3W Part Number]:[C-Flex 4000K 3W Part Number]])=3,FALSE,TRUE)</f>
        <v>1</v>
      </c>
      <c r="T744" t="b">
        <f>IF(COUNTBLANK(Master_Reference[[#This Row],[Lutron 3000K Eco Part Number]:[Lutron 4000K Eco Part Number]])=3,FALSE,TRUE)</f>
        <v>1</v>
      </c>
      <c r="U744" t="b">
        <f>IF(COUNTBLANK(Master_Reference[[#This Row],[Lutron 3000K 3W Part Number]:[Lutron 4000K 3W Part Number]])=3,FALSE,TRUE)</f>
        <v>1</v>
      </c>
      <c r="V744" s="12" t="s">
        <v>325</v>
      </c>
      <c r="W744" s="12" t="s">
        <v>326</v>
      </c>
      <c r="X744" s="12" t="s">
        <v>327</v>
      </c>
      <c r="Y744" t="s">
        <v>1716</v>
      </c>
      <c r="Z744" s="12" t="s">
        <v>128</v>
      </c>
      <c r="AA744" s="12" t="s">
        <v>129</v>
      </c>
      <c r="AB744" s="12" t="s">
        <v>130</v>
      </c>
      <c r="AC744" t="s">
        <v>1804</v>
      </c>
      <c r="AD744" t="str">
        <f>SUBSTITUTE(Master_Reference[[#This Row],[C-Flex 4000K Eco Part Number]],"40-","xx-")</f>
        <v>RP-T5-2FT-2L-8xx-E1-M-G2</v>
      </c>
      <c r="AE744" t="str">
        <f>SUBSTITUTE(Master_Reference[[#This Row],[C-Flex 4000K 3W Part Number]],"40-","xx-")</f>
        <v>RP-T5-2FT-2L-8xx-3W-M-G2</v>
      </c>
      <c r="AF744" s="1" t="str">
        <f>_xlfn.IFNA(VLOOKUP(Master_Reference[[#This Row],[C-Flex 3000K Eco Part Number]],Lutron_CFlex_Lookup[],MATCH("Lutron Kit PN",Lutron_CFlex_Lookup[#Headers],0),FALSE),"")</f>
        <v>ELD2T5-2M30-q</v>
      </c>
      <c r="AG744" s="1" t="str">
        <f>_xlfn.IFNA(VLOOKUP(Master_Reference[[#This Row],[C-Flex 3500K Eco Part Number]],Lutron_CFlex_Lookup[],MATCH("Lutron Kit PN",Lutron_CFlex_Lookup[#Headers],0),FALSE),"")</f>
        <v>ELD2T5-2M35-q</v>
      </c>
      <c r="AH744" s="1" t="str">
        <f>_xlfn.IFNA(VLOOKUP(Master_Reference[[#This Row],[C-Flex 4000K Eco Part Number]],Lutron_CFlex_Lookup[],MATCH("Lutron Kit PN",Lutron_CFlex_Lookup[#Headers],0),FALSE),"")</f>
        <v>ELD2T5-2M40-q</v>
      </c>
      <c r="AI744" s="1" t="str">
        <f>_xlfn.IFNA(VLOOKUP(Master_Reference[[#This Row],[C-Flex 5000K Eco Part Number]],Lutron_CFlex_Lookup[],MATCH("Lutron Kit PN",Lutron_CFlex_Lookup[#Headers],0),FALSE),"")</f>
        <v>ELD2T5-2M50-q</v>
      </c>
      <c r="AJ744" s="1" t="str">
        <f>_xlfn.IFNA(VLOOKUP(Master_Reference[[#This Row],[C-Flex 3000K 3W Part Number]],Lutron_CFlex_Lookup[],MATCH("Lutron Kit PN",Lutron_CFlex_Lookup[#Headers],0),FALSE),"")</f>
        <v>3LD2T5-2M30-q</v>
      </c>
      <c r="AK744" s="1" t="str">
        <f>_xlfn.IFNA(VLOOKUP(Master_Reference[[#This Row],[C-Flex 3500K 3W Part Number]],Lutron_CFlex_Lookup[],MATCH("Lutron Kit PN",Lutron_CFlex_Lookup[#Headers],0),FALSE),"")</f>
        <v>3LD2T5-2M35-q</v>
      </c>
      <c r="AL744" s="1" t="str">
        <f>_xlfn.IFNA(VLOOKUP(Master_Reference[[#This Row],[C-Flex 4000K 3W Part Number]],Lutron_CFlex_Lookup[],MATCH("Lutron Kit PN",Lutron_CFlex_Lookup[#Headers],0),FALSE),"")</f>
        <v>3LD2T5-2M40-q</v>
      </c>
      <c r="AM744" s="1" t="str">
        <f>_xlfn.IFNA(VLOOKUP(Master_Reference[[#This Row],[C-Flex 5000K 3W Part Number]],Lutron_CFlex_Lookup[],MATCH("Lutron Kit PN",Lutron_CFlex_Lookup[#Headers],0),FALSE),"")</f>
        <v>3LD2T5-2M50-q</v>
      </c>
      <c r="AN744" s="1" t="b">
        <f>NOT(ISNA(VLOOKUP(Master_Reference[[#This Row],[Model Number]],ObsoleteModels[],1,FALSE)))</f>
        <v>1</v>
      </c>
      <c r="AO744" s="1" t="str">
        <f>IF(LEFT(Master_Reference[[#This Row],[Model Number]],1)="U",LEFT(Master_Reference[[#This Row],[Model Number]],4),LEFT(Master_Reference[[#This Row],[Model Number]],3))</f>
        <v>H3D</v>
      </c>
    </row>
    <row r="745" spans="1:41" x14ac:dyDescent="0.25">
      <c r="A745" s="2" t="s">
        <v>1046</v>
      </c>
      <c r="B745" s="1" t="b">
        <v>1</v>
      </c>
      <c r="C745" s="1" t="b">
        <v>1</v>
      </c>
      <c r="G745" s="1" t="str">
        <f>IF(OR(LEFT(RIGHT(Master_Reference[[#This Row],[Model Number]],3),1)="C",LEFT(RIGHT(Master_Reference[[#This Row],[Model Number]],4),1)="C"),TRUE,"")</f>
        <v/>
      </c>
      <c r="H745" s="1" t="str">
        <f>IF(LEFT(Master_Reference[[#This Row],[Model Number]],1)="U",TRUE,"")</f>
        <v/>
      </c>
      <c r="I745" s="1" t="b">
        <f>IF(Master_Reference[[#This Row],[Lamp Type]]="T4","",IF(Master_Reference[[#This Row],[Case Type]]="M","",TRUE))</f>
        <v>1</v>
      </c>
      <c r="J745" s="1" t="str">
        <f t="shared" si="10"/>
        <v>T5</v>
      </c>
      <c r="K745" s="1">
        <v>14</v>
      </c>
      <c r="L745" s="1" t="s">
        <v>112</v>
      </c>
      <c r="M745" s="1">
        <v>1</v>
      </c>
      <c r="N745" s="1" t="s">
        <v>149</v>
      </c>
      <c r="O745" s="1" t="s">
        <v>113</v>
      </c>
      <c r="R745" t="b">
        <f>IF(COUNTBLANK(Master_Reference[[#This Row],[C-Flex 3000K Eco Part Number]:[C-Flex 4000K Eco Part Number]])=3,FALSE,TRUE)</f>
        <v>1</v>
      </c>
      <c r="S745" t="b">
        <f>IF(COUNTBLANK(Master_Reference[[#This Row],[C-Flex 3000K 3W Part Number]:[C-Flex 4000K 3W Part Number]])=3,FALSE,TRUE)</f>
        <v>1</v>
      </c>
      <c r="T745" t="b">
        <f>IF(COUNTBLANK(Master_Reference[[#This Row],[Lutron 3000K Eco Part Number]:[Lutron 4000K Eco Part Number]])=3,FALSE,TRUE)</f>
        <v>1</v>
      </c>
      <c r="U745" t="b">
        <f>IF(COUNTBLANK(Master_Reference[[#This Row],[Lutron 3000K 3W Part Number]:[Lutron 4000K 3W Part Number]])=3,FALSE,TRUE)</f>
        <v>1</v>
      </c>
      <c r="V745" s="12" t="s">
        <v>321</v>
      </c>
      <c r="W745" s="12" t="s">
        <v>322</v>
      </c>
      <c r="X745" s="12" t="s">
        <v>323</v>
      </c>
      <c r="Y745" t="s">
        <v>1715</v>
      </c>
      <c r="Z745" s="12" t="s">
        <v>124</v>
      </c>
      <c r="AA745" s="12" t="s">
        <v>125</v>
      </c>
      <c r="AB745" s="12" t="s">
        <v>126</v>
      </c>
      <c r="AC745" t="s">
        <v>1803</v>
      </c>
      <c r="AD745" t="str">
        <f>SUBSTITUTE(Master_Reference[[#This Row],[C-Flex 4000K Eco Part Number]],"40-","xx-")</f>
        <v>RP-T5-2FT-1L-8xx-E1-M-G2</v>
      </c>
      <c r="AE745" t="str">
        <f>SUBSTITUTE(Master_Reference[[#This Row],[C-Flex 4000K 3W Part Number]],"40-","xx-")</f>
        <v>RP-T5-2FT-1L-8xx-3W-M-G2</v>
      </c>
      <c r="AF745" s="1" t="str">
        <f>_xlfn.IFNA(VLOOKUP(Master_Reference[[#This Row],[C-Flex 3000K Eco Part Number]],Lutron_CFlex_Lookup[],MATCH("Lutron Kit PN",Lutron_CFlex_Lookup[#Headers],0),FALSE),"")</f>
        <v>ELD2T5-1M30-q</v>
      </c>
      <c r="AG745" s="1" t="str">
        <f>_xlfn.IFNA(VLOOKUP(Master_Reference[[#This Row],[C-Flex 3500K Eco Part Number]],Lutron_CFlex_Lookup[],MATCH("Lutron Kit PN",Lutron_CFlex_Lookup[#Headers],0),FALSE),"")</f>
        <v>ELD2T5-1M35-q</v>
      </c>
      <c r="AH745" s="1" t="str">
        <f>_xlfn.IFNA(VLOOKUP(Master_Reference[[#This Row],[C-Flex 4000K Eco Part Number]],Lutron_CFlex_Lookup[],MATCH("Lutron Kit PN",Lutron_CFlex_Lookup[#Headers],0),FALSE),"")</f>
        <v>ELD2T5-1M40-q</v>
      </c>
      <c r="AI745" s="1" t="str">
        <f>_xlfn.IFNA(VLOOKUP(Master_Reference[[#This Row],[C-Flex 5000K Eco Part Number]],Lutron_CFlex_Lookup[],MATCH("Lutron Kit PN",Lutron_CFlex_Lookup[#Headers],0),FALSE),"")</f>
        <v>ELD2T5-1M50-q</v>
      </c>
      <c r="AJ745" s="1" t="str">
        <f>_xlfn.IFNA(VLOOKUP(Master_Reference[[#This Row],[C-Flex 3000K 3W Part Number]],Lutron_CFlex_Lookup[],MATCH("Lutron Kit PN",Lutron_CFlex_Lookup[#Headers],0),FALSE),"")</f>
        <v>3LD2T5-1M30-q</v>
      </c>
      <c r="AK745" s="1" t="str">
        <f>_xlfn.IFNA(VLOOKUP(Master_Reference[[#This Row],[C-Flex 3500K 3W Part Number]],Lutron_CFlex_Lookup[],MATCH("Lutron Kit PN",Lutron_CFlex_Lookup[#Headers],0),FALSE),"")</f>
        <v>3LD2T5-1M35-q</v>
      </c>
      <c r="AL745" s="1" t="str">
        <f>_xlfn.IFNA(VLOOKUP(Master_Reference[[#This Row],[C-Flex 4000K 3W Part Number]],Lutron_CFlex_Lookup[],MATCH("Lutron Kit PN",Lutron_CFlex_Lookup[#Headers],0),FALSE),"")</f>
        <v>3LD2T5-1M40-q</v>
      </c>
      <c r="AM745" s="1" t="str">
        <f>_xlfn.IFNA(VLOOKUP(Master_Reference[[#This Row],[C-Flex 5000K 3W Part Number]],Lutron_CFlex_Lookup[],MATCH("Lutron Kit PN",Lutron_CFlex_Lookup[#Headers],0),FALSE),"")</f>
        <v>3LD2T5-1M50-q</v>
      </c>
      <c r="AN745" s="1" t="b">
        <f>NOT(ISNA(VLOOKUP(Master_Reference[[#This Row],[Model Number]],ObsoleteModels[],1,FALSE)))</f>
        <v>1</v>
      </c>
      <c r="AO745" s="1" t="str">
        <f>IF(LEFT(Master_Reference[[#This Row],[Model Number]],1)="U",LEFT(Master_Reference[[#This Row],[Model Number]],4),LEFT(Master_Reference[[#This Row],[Model Number]],3))</f>
        <v>H3D</v>
      </c>
    </row>
    <row r="746" spans="1:41" x14ac:dyDescent="0.25">
      <c r="A746" s="2" t="s">
        <v>1047</v>
      </c>
      <c r="B746" s="1" t="b">
        <v>1</v>
      </c>
      <c r="C746" s="1" t="b">
        <v>1</v>
      </c>
      <c r="G746" s="1" t="b">
        <f>IF(OR(LEFT(RIGHT(Master_Reference[[#This Row],[Model Number]],3),1)="C",LEFT(RIGHT(Master_Reference[[#This Row],[Model Number]],4),1)="C"),TRUE,"")</f>
        <v>1</v>
      </c>
      <c r="H746" s="1" t="str">
        <f>IF(LEFT(Master_Reference[[#This Row],[Model Number]],1)="U",TRUE,"")</f>
        <v/>
      </c>
      <c r="I746" s="1" t="b">
        <f>IF(Master_Reference[[#This Row],[Lamp Type]]="T4","",IF(Master_Reference[[#This Row],[Case Type]]="M","",TRUE))</f>
        <v>1</v>
      </c>
      <c r="J746" s="1" t="str">
        <f t="shared" si="10"/>
        <v>T5</v>
      </c>
      <c r="K746" s="1">
        <v>14</v>
      </c>
      <c r="L746" s="1" t="s">
        <v>112</v>
      </c>
      <c r="M746" s="1">
        <v>1</v>
      </c>
      <c r="N746" s="1" t="s">
        <v>149</v>
      </c>
      <c r="O746" s="1" t="s">
        <v>113</v>
      </c>
      <c r="R746" t="b">
        <f>IF(COUNTBLANK(Master_Reference[[#This Row],[C-Flex 3000K Eco Part Number]:[C-Flex 4000K Eco Part Number]])=3,FALSE,TRUE)</f>
        <v>1</v>
      </c>
      <c r="S746" t="b">
        <f>IF(COUNTBLANK(Master_Reference[[#This Row],[C-Flex 3000K 3W Part Number]:[C-Flex 4000K 3W Part Number]])=3,FALSE,TRUE)</f>
        <v>1</v>
      </c>
      <c r="T746" t="b">
        <f>IF(COUNTBLANK(Master_Reference[[#This Row],[Lutron 3000K Eco Part Number]:[Lutron 4000K Eco Part Number]])=3,FALSE,TRUE)</f>
        <v>1</v>
      </c>
      <c r="U746" t="b">
        <f>IF(COUNTBLANK(Master_Reference[[#This Row],[Lutron 3000K 3W Part Number]:[Lutron 4000K 3W Part Number]])=3,FALSE,TRUE)</f>
        <v>1</v>
      </c>
      <c r="V746" s="12" t="s">
        <v>321</v>
      </c>
      <c r="W746" s="12" t="s">
        <v>322</v>
      </c>
      <c r="X746" s="12" t="s">
        <v>323</v>
      </c>
      <c r="Y746" t="s">
        <v>1715</v>
      </c>
      <c r="Z746" s="12" t="s">
        <v>124</v>
      </c>
      <c r="AA746" s="12" t="s">
        <v>125</v>
      </c>
      <c r="AB746" s="12" t="s">
        <v>126</v>
      </c>
      <c r="AC746" t="s">
        <v>1803</v>
      </c>
      <c r="AD746" t="str">
        <f>SUBSTITUTE(Master_Reference[[#This Row],[C-Flex 4000K Eco Part Number]],"40-","xx-")</f>
        <v>RP-T5-2FT-1L-8xx-E1-M-G2</v>
      </c>
      <c r="AE746" t="str">
        <f>SUBSTITUTE(Master_Reference[[#This Row],[C-Flex 4000K 3W Part Number]],"40-","xx-")</f>
        <v>RP-T5-2FT-1L-8xx-3W-M-G2</v>
      </c>
      <c r="AF746" s="1" t="str">
        <f>_xlfn.IFNA(VLOOKUP(Master_Reference[[#This Row],[C-Flex 3000K Eco Part Number]],Lutron_CFlex_Lookup[],MATCH("Lutron Kit PN",Lutron_CFlex_Lookup[#Headers],0),FALSE),"")</f>
        <v>ELD2T5-1M30-q</v>
      </c>
      <c r="AG746" s="1" t="str">
        <f>_xlfn.IFNA(VLOOKUP(Master_Reference[[#This Row],[C-Flex 3500K Eco Part Number]],Lutron_CFlex_Lookup[],MATCH("Lutron Kit PN",Lutron_CFlex_Lookup[#Headers],0),FALSE),"")</f>
        <v>ELD2T5-1M35-q</v>
      </c>
      <c r="AH746" s="1" t="str">
        <f>_xlfn.IFNA(VLOOKUP(Master_Reference[[#This Row],[C-Flex 4000K Eco Part Number]],Lutron_CFlex_Lookup[],MATCH("Lutron Kit PN",Lutron_CFlex_Lookup[#Headers],0),FALSE),"")</f>
        <v>ELD2T5-1M40-q</v>
      </c>
      <c r="AI746" s="1" t="str">
        <f>_xlfn.IFNA(VLOOKUP(Master_Reference[[#This Row],[C-Flex 5000K Eco Part Number]],Lutron_CFlex_Lookup[],MATCH("Lutron Kit PN",Lutron_CFlex_Lookup[#Headers],0),FALSE),"")</f>
        <v>ELD2T5-1M50-q</v>
      </c>
      <c r="AJ746" s="1" t="str">
        <f>_xlfn.IFNA(VLOOKUP(Master_Reference[[#This Row],[C-Flex 3000K 3W Part Number]],Lutron_CFlex_Lookup[],MATCH("Lutron Kit PN",Lutron_CFlex_Lookup[#Headers],0),FALSE),"")</f>
        <v>3LD2T5-1M30-q</v>
      </c>
      <c r="AK746" s="1" t="str">
        <f>_xlfn.IFNA(VLOOKUP(Master_Reference[[#This Row],[C-Flex 3500K 3W Part Number]],Lutron_CFlex_Lookup[],MATCH("Lutron Kit PN",Lutron_CFlex_Lookup[#Headers],0),FALSE),"")</f>
        <v>3LD2T5-1M35-q</v>
      </c>
      <c r="AL746" s="1" t="str">
        <f>_xlfn.IFNA(VLOOKUP(Master_Reference[[#This Row],[C-Flex 4000K 3W Part Number]],Lutron_CFlex_Lookup[],MATCH("Lutron Kit PN",Lutron_CFlex_Lookup[#Headers],0),FALSE),"")</f>
        <v>3LD2T5-1M40-q</v>
      </c>
      <c r="AM746" s="1" t="str">
        <f>_xlfn.IFNA(VLOOKUP(Master_Reference[[#This Row],[C-Flex 5000K 3W Part Number]],Lutron_CFlex_Lookup[],MATCH("Lutron Kit PN",Lutron_CFlex_Lookup[#Headers],0),FALSE),"")</f>
        <v>3LD2T5-1M50-q</v>
      </c>
      <c r="AN746" s="1" t="b">
        <f>NOT(ISNA(VLOOKUP(Master_Reference[[#This Row],[Model Number]],ObsoleteModels[],1,FALSE)))</f>
        <v>1</v>
      </c>
      <c r="AO746" s="1" t="str">
        <f>IF(LEFT(Master_Reference[[#This Row],[Model Number]],1)="U",LEFT(Master_Reference[[#This Row],[Model Number]],4),LEFT(Master_Reference[[#This Row],[Model Number]],3))</f>
        <v>H3D</v>
      </c>
    </row>
    <row r="747" spans="1:41" x14ac:dyDescent="0.25">
      <c r="A747" s="2" t="s">
        <v>1048</v>
      </c>
      <c r="B747" s="1" t="b">
        <v>1</v>
      </c>
      <c r="C747" s="1" t="b">
        <v>1</v>
      </c>
      <c r="G747" s="1" t="str">
        <f>IF(OR(LEFT(RIGHT(Master_Reference[[#This Row],[Model Number]],3),1)="C",LEFT(RIGHT(Master_Reference[[#This Row],[Model Number]],4),1)="C"),TRUE,"")</f>
        <v/>
      </c>
      <c r="H747" s="1" t="str">
        <f>IF(LEFT(Master_Reference[[#This Row],[Model Number]],1)="U",TRUE,"")</f>
        <v/>
      </c>
      <c r="I747" s="1" t="b">
        <f>IF(Master_Reference[[#This Row],[Lamp Type]]="T4","",IF(Master_Reference[[#This Row],[Case Type]]="M","",TRUE))</f>
        <v>1</v>
      </c>
      <c r="J747" s="1" t="str">
        <f t="shared" si="10"/>
        <v>T5</v>
      </c>
      <c r="K747" s="1">
        <v>14</v>
      </c>
      <c r="L747" s="1" t="s">
        <v>112</v>
      </c>
      <c r="M747" s="1">
        <v>2</v>
      </c>
      <c r="N747" s="1" t="s">
        <v>149</v>
      </c>
      <c r="O747" s="1" t="s">
        <v>113</v>
      </c>
      <c r="R747" t="b">
        <f>IF(COUNTBLANK(Master_Reference[[#This Row],[C-Flex 3000K Eco Part Number]:[C-Flex 4000K Eco Part Number]])=3,FALSE,TRUE)</f>
        <v>1</v>
      </c>
      <c r="S747" t="b">
        <f>IF(COUNTBLANK(Master_Reference[[#This Row],[C-Flex 3000K 3W Part Number]:[C-Flex 4000K 3W Part Number]])=3,FALSE,TRUE)</f>
        <v>1</v>
      </c>
      <c r="T747" t="b">
        <f>IF(COUNTBLANK(Master_Reference[[#This Row],[Lutron 3000K Eco Part Number]:[Lutron 4000K Eco Part Number]])=3,FALSE,TRUE)</f>
        <v>1</v>
      </c>
      <c r="U747" t="b">
        <f>IF(COUNTBLANK(Master_Reference[[#This Row],[Lutron 3000K 3W Part Number]:[Lutron 4000K 3W Part Number]])=3,FALSE,TRUE)</f>
        <v>1</v>
      </c>
      <c r="V747" s="12" t="s">
        <v>325</v>
      </c>
      <c r="W747" s="12" t="s">
        <v>326</v>
      </c>
      <c r="X747" s="12" t="s">
        <v>327</v>
      </c>
      <c r="Y747" t="s">
        <v>1716</v>
      </c>
      <c r="Z747" s="12" t="s">
        <v>128</v>
      </c>
      <c r="AA747" s="12" t="s">
        <v>129</v>
      </c>
      <c r="AB747" s="12" t="s">
        <v>130</v>
      </c>
      <c r="AC747" t="s">
        <v>1804</v>
      </c>
      <c r="AD747" t="str">
        <f>SUBSTITUTE(Master_Reference[[#This Row],[C-Flex 4000K Eco Part Number]],"40-","xx-")</f>
        <v>RP-T5-2FT-2L-8xx-E1-M-G2</v>
      </c>
      <c r="AE747" t="str">
        <f>SUBSTITUTE(Master_Reference[[#This Row],[C-Flex 4000K 3W Part Number]],"40-","xx-")</f>
        <v>RP-T5-2FT-2L-8xx-3W-M-G2</v>
      </c>
      <c r="AF747" s="1" t="str">
        <f>_xlfn.IFNA(VLOOKUP(Master_Reference[[#This Row],[C-Flex 3000K Eco Part Number]],Lutron_CFlex_Lookup[],MATCH("Lutron Kit PN",Lutron_CFlex_Lookup[#Headers],0),FALSE),"")</f>
        <v>ELD2T5-2M30-q</v>
      </c>
      <c r="AG747" s="1" t="str">
        <f>_xlfn.IFNA(VLOOKUP(Master_Reference[[#This Row],[C-Flex 3500K Eco Part Number]],Lutron_CFlex_Lookup[],MATCH("Lutron Kit PN",Lutron_CFlex_Lookup[#Headers],0),FALSE),"")</f>
        <v>ELD2T5-2M35-q</v>
      </c>
      <c r="AH747" s="1" t="str">
        <f>_xlfn.IFNA(VLOOKUP(Master_Reference[[#This Row],[C-Flex 4000K Eco Part Number]],Lutron_CFlex_Lookup[],MATCH("Lutron Kit PN",Lutron_CFlex_Lookup[#Headers],0),FALSE),"")</f>
        <v>ELD2T5-2M40-q</v>
      </c>
      <c r="AI747" s="1" t="str">
        <f>_xlfn.IFNA(VLOOKUP(Master_Reference[[#This Row],[C-Flex 5000K Eco Part Number]],Lutron_CFlex_Lookup[],MATCH("Lutron Kit PN",Lutron_CFlex_Lookup[#Headers],0),FALSE),"")</f>
        <v>ELD2T5-2M50-q</v>
      </c>
      <c r="AJ747" s="1" t="str">
        <f>_xlfn.IFNA(VLOOKUP(Master_Reference[[#This Row],[C-Flex 3000K 3W Part Number]],Lutron_CFlex_Lookup[],MATCH("Lutron Kit PN",Lutron_CFlex_Lookup[#Headers],0),FALSE),"")</f>
        <v>3LD2T5-2M30-q</v>
      </c>
      <c r="AK747" s="1" t="str">
        <f>_xlfn.IFNA(VLOOKUP(Master_Reference[[#This Row],[C-Flex 3500K 3W Part Number]],Lutron_CFlex_Lookup[],MATCH("Lutron Kit PN",Lutron_CFlex_Lookup[#Headers],0),FALSE),"")</f>
        <v>3LD2T5-2M35-q</v>
      </c>
      <c r="AL747" s="1" t="str">
        <f>_xlfn.IFNA(VLOOKUP(Master_Reference[[#This Row],[C-Flex 4000K 3W Part Number]],Lutron_CFlex_Lookup[],MATCH("Lutron Kit PN",Lutron_CFlex_Lookup[#Headers],0),FALSE),"")</f>
        <v>3LD2T5-2M40-q</v>
      </c>
      <c r="AM747" s="1" t="str">
        <f>_xlfn.IFNA(VLOOKUP(Master_Reference[[#This Row],[C-Flex 5000K 3W Part Number]],Lutron_CFlex_Lookup[],MATCH("Lutron Kit PN",Lutron_CFlex_Lookup[#Headers],0),FALSE),"")</f>
        <v>3LD2T5-2M50-q</v>
      </c>
      <c r="AN747" s="1" t="b">
        <f>NOT(ISNA(VLOOKUP(Master_Reference[[#This Row],[Model Number]],ObsoleteModels[],1,FALSE)))</f>
        <v>1</v>
      </c>
      <c r="AO747" s="1" t="str">
        <f>IF(LEFT(Master_Reference[[#This Row],[Model Number]],1)="U",LEFT(Master_Reference[[#This Row],[Model Number]],4),LEFT(Master_Reference[[#This Row],[Model Number]],3))</f>
        <v>H3D</v>
      </c>
    </row>
    <row r="748" spans="1:41" x14ac:dyDescent="0.25">
      <c r="A748" s="2" t="s">
        <v>1049</v>
      </c>
      <c r="B748" s="1" t="b">
        <v>1</v>
      </c>
      <c r="C748" s="1" t="b">
        <v>1</v>
      </c>
      <c r="G748" s="1" t="str">
        <f>IF(OR(LEFT(RIGHT(Master_Reference[[#This Row],[Model Number]],3),1)="C",LEFT(RIGHT(Master_Reference[[#This Row],[Model Number]],4),1)="C"),TRUE,"")</f>
        <v/>
      </c>
      <c r="H748" s="1" t="str">
        <f>IF(LEFT(Master_Reference[[#This Row],[Model Number]],1)="U",TRUE,"")</f>
        <v/>
      </c>
      <c r="I748" s="1" t="b">
        <f>IF(Master_Reference[[#This Row],[Lamp Type]]="T4","",IF(Master_Reference[[#This Row],[Case Type]]="M","",TRUE))</f>
        <v>1</v>
      </c>
      <c r="J748" s="1" t="str">
        <f t="shared" si="10"/>
        <v>T5</v>
      </c>
      <c r="K748" s="1">
        <v>21</v>
      </c>
      <c r="L748" s="1" t="s">
        <v>115</v>
      </c>
      <c r="M748" s="1">
        <v>1</v>
      </c>
      <c r="N748" s="1" t="s">
        <v>149</v>
      </c>
      <c r="O748" s="1" t="s">
        <v>113</v>
      </c>
      <c r="R748" t="b">
        <f>IF(COUNTBLANK(Master_Reference[[#This Row],[C-Flex 3000K Eco Part Number]:[C-Flex 4000K Eco Part Number]])=3,FALSE,TRUE)</f>
        <v>1</v>
      </c>
      <c r="S748" t="b">
        <f>IF(COUNTBLANK(Master_Reference[[#This Row],[C-Flex 3000K 3W Part Number]:[C-Flex 4000K 3W Part Number]])=3,FALSE,TRUE)</f>
        <v>1</v>
      </c>
      <c r="T748" t="b">
        <f>IF(COUNTBLANK(Master_Reference[[#This Row],[Lutron 3000K Eco Part Number]:[Lutron 4000K Eco Part Number]])=3,FALSE,TRUE)</f>
        <v>1</v>
      </c>
      <c r="U748" t="b">
        <f>IF(COUNTBLANK(Master_Reference[[#This Row],[Lutron 3000K 3W Part Number]:[Lutron 4000K 3W Part Number]])=3,FALSE,TRUE)</f>
        <v>1</v>
      </c>
      <c r="V748" s="12" t="s">
        <v>337</v>
      </c>
      <c r="W748" s="12" t="s">
        <v>338</v>
      </c>
      <c r="X748" s="12" t="s">
        <v>339</v>
      </c>
      <c r="Y748" t="s">
        <v>1717</v>
      </c>
      <c r="Z748" s="12" t="s">
        <v>134</v>
      </c>
      <c r="AA748" s="12" t="s">
        <v>135</v>
      </c>
      <c r="AB748" s="12" t="s">
        <v>136</v>
      </c>
      <c r="AC748" t="s">
        <v>1805</v>
      </c>
      <c r="AD748" t="str">
        <f>SUBSTITUTE(Master_Reference[[#This Row],[C-Flex 4000K Eco Part Number]],"40-","xx-")</f>
        <v>RP-T5-3FT-1L-8xx-E1-M-G2</v>
      </c>
      <c r="AE748" t="str">
        <f>SUBSTITUTE(Master_Reference[[#This Row],[C-Flex 4000K 3W Part Number]],"40-","xx-")</f>
        <v>RP-T5-3FT-1L-8xx-3W-M-G2</v>
      </c>
      <c r="AF748" s="1" t="str">
        <f>_xlfn.IFNA(VLOOKUP(Master_Reference[[#This Row],[C-Flex 3000K Eco Part Number]],Lutron_CFlex_Lookup[],MATCH("Lutron Kit PN",Lutron_CFlex_Lookup[#Headers],0),FALSE),"")</f>
        <v>ELD3T5-1M30-q</v>
      </c>
      <c r="AG748" s="1" t="str">
        <f>_xlfn.IFNA(VLOOKUP(Master_Reference[[#This Row],[C-Flex 3500K Eco Part Number]],Lutron_CFlex_Lookup[],MATCH("Lutron Kit PN",Lutron_CFlex_Lookup[#Headers],0),FALSE),"")</f>
        <v>ELD3T5-1M35-q</v>
      </c>
      <c r="AH748" s="1" t="str">
        <f>_xlfn.IFNA(VLOOKUP(Master_Reference[[#This Row],[C-Flex 4000K Eco Part Number]],Lutron_CFlex_Lookup[],MATCH("Lutron Kit PN",Lutron_CFlex_Lookup[#Headers],0),FALSE),"")</f>
        <v>ELD3T5-1M40-q</v>
      </c>
      <c r="AI748" s="1" t="str">
        <f>_xlfn.IFNA(VLOOKUP(Master_Reference[[#This Row],[C-Flex 5000K Eco Part Number]],Lutron_CFlex_Lookup[],MATCH("Lutron Kit PN",Lutron_CFlex_Lookup[#Headers],0),FALSE),"")</f>
        <v>ELD3T5-1M50-q</v>
      </c>
      <c r="AJ748" s="1" t="str">
        <f>_xlfn.IFNA(VLOOKUP(Master_Reference[[#This Row],[C-Flex 3000K 3W Part Number]],Lutron_CFlex_Lookup[],MATCH("Lutron Kit PN",Lutron_CFlex_Lookup[#Headers],0),FALSE),"")</f>
        <v>3LD3T5-1M30-q</v>
      </c>
      <c r="AK748" s="1" t="str">
        <f>_xlfn.IFNA(VLOOKUP(Master_Reference[[#This Row],[C-Flex 3500K 3W Part Number]],Lutron_CFlex_Lookup[],MATCH("Lutron Kit PN",Lutron_CFlex_Lookup[#Headers],0),FALSE),"")</f>
        <v>3LD3T5-1M35-q</v>
      </c>
      <c r="AL748" s="1" t="str">
        <f>_xlfn.IFNA(VLOOKUP(Master_Reference[[#This Row],[C-Flex 4000K 3W Part Number]],Lutron_CFlex_Lookup[],MATCH("Lutron Kit PN",Lutron_CFlex_Lookup[#Headers],0),FALSE),"")</f>
        <v>3LD3T5-1M40-q</v>
      </c>
      <c r="AM748" s="1" t="str">
        <f>_xlfn.IFNA(VLOOKUP(Master_Reference[[#This Row],[C-Flex 5000K 3W Part Number]],Lutron_CFlex_Lookup[],MATCH("Lutron Kit PN",Lutron_CFlex_Lookup[#Headers],0),FALSE),"")</f>
        <v>3LD3T5-1M50-q</v>
      </c>
      <c r="AN748" s="1" t="b">
        <f>NOT(ISNA(VLOOKUP(Master_Reference[[#This Row],[Model Number]],ObsoleteModels[],1,FALSE)))</f>
        <v>1</v>
      </c>
      <c r="AO748" s="1" t="str">
        <f>IF(LEFT(Master_Reference[[#This Row],[Model Number]],1)="U",LEFT(Master_Reference[[#This Row],[Model Number]],4),LEFT(Master_Reference[[#This Row],[Model Number]],3))</f>
        <v>H3D</v>
      </c>
    </row>
    <row r="749" spans="1:41" x14ac:dyDescent="0.25">
      <c r="A749" s="2" t="s">
        <v>1050</v>
      </c>
      <c r="B749" s="1" t="b">
        <v>1</v>
      </c>
      <c r="C749" s="1" t="b">
        <v>1</v>
      </c>
      <c r="G749" s="1" t="str">
        <f>IF(OR(LEFT(RIGHT(Master_Reference[[#This Row],[Model Number]],3),1)="C",LEFT(RIGHT(Master_Reference[[#This Row],[Model Number]],4),1)="C"),TRUE,"")</f>
        <v/>
      </c>
      <c r="H749" s="1" t="str">
        <f>IF(LEFT(Master_Reference[[#This Row],[Model Number]],1)="U",TRUE,"")</f>
        <v/>
      </c>
      <c r="I749" s="1" t="b">
        <f>IF(Master_Reference[[#This Row],[Lamp Type]]="T4","",IF(Master_Reference[[#This Row],[Case Type]]="M","",TRUE))</f>
        <v>1</v>
      </c>
      <c r="J749" s="1" t="str">
        <f t="shared" si="10"/>
        <v>T5</v>
      </c>
      <c r="K749" s="1">
        <v>21</v>
      </c>
      <c r="L749" s="1" t="s">
        <v>115</v>
      </c>
      <c r="M749" s="1">
        <v>1</v>
      </c>
      <c r="N749" s="1" t="s">
        <v>149</v>
      </c>
      <c r="O749" s="1" t="s">
        <v>113</v>
      </c>
      <c r="Q749" s="1" t="s">
        <v>91</v>
      </c>
      <c r="R749" t="b">
        <f>IF(COUNTBLANK(Master_Reference[[#This Row],[C-Flex 3000K Eco Part Number]:[C-Flex 4000K Eco Part Number]])=3,FALSE,TRUE)</f>
        <v>0</v>
      </c>
      <c r="S749" t="b">
        <f>IF(COUNTBLANK(Master_Reference[[#This Row],[C-Flex 3000K 3W Part Number]:[C-Flex 4000K 3W Part Number]])=3,FALSE,TRUE)</f>
        <v>0</v>
      </c>
      <c r="T749" t="b">
        <f>IF(COUNTBLANK(Master_Reference[[#This Row],[Lutron 3000K Eco Part Number]:[Lutron 4000K Eco Part Number]])=3,FALSE,TRUE)</f>
        <v>0</v>
      </c>
      <c r="U749" t="b">
        <f>IF(COUNTBLANK(Master_Reference[[#This Row],[Lutron 3000K 3W Part Number]:[Lutron 4000K 3W Part Number]])=3,FALSE,TRUE)</f>
        <v>0</v>
      </c>
      <c r="V749" s="12"/>
      <c r="W749" s="12"/>
      <c r="X749" s="12"/>
      <c r="Y749" t="s">
        <v>2125</v>
      </c>
      <c r="Z749" s="12"/>
      <c r="AA749" s="12"/>
      <c r="AB749" s="12"/>
      <c r="AC749" t="s">
        <v>2125</v>
      </c>
      <c r="AD749" t="str">
        <f>SUBSTITUTE(Master_Reference[[#This Row],[C-Flex 4000K Eco Part Number]],"40-","xx-")</f>
        <v/>
      </c>
      <c r="AE749" t="str">
        <f>SUBSTITUTE(Master_Reference[[#This Row],[C-Flex 4000K 3W Part Number]],"40-","xx-")</f>
        <v/>
      </c>
      <c r="AF749" s="1" t="str">
        <f>_xlfn.IFNA(VLOOKUP(Master_Reference[[#This Row],[C-Flex 3000K Eco Part Number]],Lutron_CFlex_Lookup[],MATCH("Lutron Kit PN",Lutron_CFlex_Lookup[#Headers],0),FALSE),"")</f>
        <v/>
      </c>
      <c r="AG749" s="1" t="str">
        <f>_xlfn.IFNA(VLOOKUP(Master_Reference[[#This Row],[C-Flex 3500K Eco Part Number]],Lutron_CFlex_Lookup[],MATCH("Lutron Kit PN",Lutron_CFlex_Lookup[#Headers],0),FALSE),"")</f>
        <v/>
      </c>
      <c r="AH749" s="1" t="str">
        <f>_xlfn.IFNA(VLOOKUP(Master_Reference[[#This Row],[C-Flex 4000K Eco Part Number]],Lutron_CFlex_Lookup[],MATCH("Lutron Kit PN",Lutron_CFlex_Lookup[#Headers],0),FALSE),"")</f>
        <v/>
      </c>
      <c r="AI749" s="1" t="str">
        <f>_xlfn.IFNA(VLOOKUP(Master_Reference[[#This Row],[C-Flex 5000K Eco Part Number]],Lutron_CFlex_Lookup[],MATCH("Lutron Kit PN",Lutron_CFlex_Lookup[#Headers],0),FALSE),"")</f>
        <v/>
      </c>
      <c r="AJ749" s="1" t="str">
        <f>_xlfn.IFNA(VLOOKUP(Master_Reference[[#This Row],[C-Flex 3000K 3W Part Number]],Lutron_CFlex_Lookup[],MATCH("Lutron Kit PN",Lutron_CFlex_Lookup[#Headers],0),FALSE),"")</f>
        <v/>
      </c>
      <c r="AK749" s="1" t="str">
        <f>_xlfn.IFNA(VLOOKUP(Master_Reference[[#This Row],[C-Flex 3500K 3W Part Number]],Lutron_CFlex_Lookup[],MATCH("Lutron Kit PN",Lutron_CFlex_Lookup[#Headers],0),FALSE),"")</f>
        <v/>
      </c>
      <c r="AL749" s="1" t="str">
        <f>_xlfn.IFNA(VLOOKUP(Master_Reference[[#This Row],[C-Flex 4000K 3W Part Number]],Lutron_CFlex_Lookup[],MATCH("Lutron Kit PN",Lutron_CFlex_Lookup[#Headers],0),FALSE),"")</f>
        <v/>
      </c>
      <c r="AM749" s="1" t="str">
        <f>_xlfn.IFNA(VLOOKUP(Master_Reference[[#This Row],[C-Flex 5000K 3W Part Number]],Lutron_CFlex_Lookup[],MATCH("Lutron Kit PN",Lutron_CFlex_Lookup[#Headers],0),FALSE),"")</f>
        <v/>
      </c>
      <c r="AN749" s="1" t="b">
        <f>NOT(ISNA(VLOOKUP(Master_Reference[[#This Row],[Model Number]],ObsoleteModels[],1,FALSE)))</f>
        <v>1</v>
      </c>
      <c r="AO749" s="1" t="str">
        <f>IF(LEFT(Master_Reference[[#This Row],[Model Number]],1)="U",LEFT(Master_Reference[[#This Row],[Model Number]],4),LEFT(Master_Reference[[#This Row],[Model Number]],3))</f>
        <v>H3D</v>
      </c>
    </row>
    <row r="750" spans="1:41" x14ac:dyDescent="0.25">
      <c r="A750" s="2" t="s">
        <v>1051</v>
      </c>
      <c r="B750" s="1" t="b">
        <v>1</v>
      </c>
      <c r="C750" s="1" t="b">
        <v>1</v>
      </c>
      <c r="G750" s="1" t="b">
        <f>IF(OR(LEFT(RIGHT(Master_Reference[[#This Row],[Model Number]],3),1)="C",LEFT(RIGHT(Master_Reference[[#This Row],[Model Number]],4),1)="C"),TRUE,"")</f>
        <v>1</v>
      </c>
      <c r="H750" s="1" t="str">
        <f>IF(LEFT(Master_Reference[[#This Row],[Model Number]],1)="U",TRUE,"")</f>
        <v/>
      </c>
      <c r="I750" s="1" t="b">
        <f>IF(Master_Reference[[#This Row],[Lamp Type]]="T4","",IF(Master_Reference[[#This Row],[Case Type]]="M","",TRUE))</f>
        <v>1</v>
      </c>
      <c r="J750" s="1" t="str">
        <f t="shared" si="10"/>
        <v>T5</v>
      </c>
      <c r="K750" s="1">
        <v>21</v>
      </c>
      <c r="L750" s="1" t="s">
        <v>115</v>
      </c>
      <c r="M750" s="1">
        <v>1</v>
      </c>
      <c r="N750" s="1" t="s">
        <v>149</v>
      </c>
      <c r="O750" s="1" t="s">
        <v>113</v>
      </c>
      <c r="R750" t="b">
        <f>IF(COUNTBLANK(Master_Reference[[#This Row],[C-Flex 3000K Eco Part Number]:[C-Flex 4000K Eco Part Number]])=3,FALSE,TRUE)</f>
        <v>1</v>
      </c>
      <c r="S750" t="b">
        <f>IF(COUNTBLANK(Master_Reference[[#This Row],[C-Flex 3000K 3W Part Number]:[C-Flex 4000K 3W Part Number]])=3,FALSE,TRUE)</f>
        <v>1</v>
      </c>
      <c r="T750" t="b">
        <f>IF(COUNTBLANK(Master_Reference[[#This Row],[Lutron 3000K Eco Part Number]:[Lutron 4000K Eco Part Number]])=3,FALSE,TRUE)</f>
        <v>1</v>
      </c>
      <c r="U750" t="b">
        <f>IF(COUNTBLANK(Master_Reference[[#This Row],[Lutron 3000K 3W Part Number]:[Lutron 4000K 3W Part Number]])=3,FALSE,TRUE)</f>
        <v>1</v>
      </c>
      <c r="V750" s="12" t="s">
        <v>337</v>
      </c>
      <c r="W750" s="12" t="s">
        <v>338</v>
      </c>
      <c r="X750" s="12" t="s">
        <v>339</v>
      </c>
      <c r="Y750" t="s">
        <v>1717</v>
      </c>
      <c r="Z750" s="12" t="s">
        <v>134</v>
      </c>
      <c r="AA750" s="12" t="s">
        <v>135</v>
      </c>
      <c r="AB750" s="12" t="s">
        <v>136</v>
      </c>
      <c r="AC750" t="s">
        <v>1805</v>
      </c>
      <c r="AD750" t="str">
        <f>SUBSTITUTE(Master_Reference[[#This Row],[C-Flex 4000K Eco Part Number]],"40-","xx-")</f>
        <v>RP-T5-3FT-1L-8xx-E1-M-G2</v>
      </c>
      <c r="AE750" t="str">
        <f>SUBSTITUTE(Master_Reference[[#This Row],[C-Flex 4000K 3W Part Number]],"40-","xx-")</f>
        <v>RP-T5-3FT-1L-8xx-3W-M-G2</v>
      </c>
      <c r="AF750" s="1" t="str">
        <f>_xlfn.IFNA(VLOOKUP(Master_Reference[[#This Row],[C-Flex 3000K Eco Part Number]],Lutron_CFlex_Lookup[],MATCH("Lutron Kit PN",Lutron_CFlex_Lookup[#Headers],0),FALSE),"")</f>
        <v>ELD3T5-1M30-q</v>
      </c>
      <c r="AG750" s="1" t="str">
        <f>_xlfn.IFNA(VLOOKUP(Master_Reference[[#This Row],[C-Flex 3500K Eco Part Number]],Lutron_CFlex_Lookup[],MATCH("Lutron Kit PN",Lutron_CFlex_Lookup[#Headers],0),FALSE),"")</f>
        <v>ELD3T5-1M35-q</v>
      </c>
      <c r="AH750" s="1" t="str">
        <f>_xlfn.IFNA(VLOOKUP(Master_Reference[[#This Row],[C-Flex 4000K Eco Part Number]],Lutron_CFlex_Lookup[],MATCH("Lutron Kit PN",Lutron_CFlex_Lookup[#Headers],0),FALSE),"")</f>
        <v>ELD3T5-1M40-q</v>
      </c>
      <c r="AI750" s="1" t="str">
        <f>_xlfn.IFNA(VLOOKUP(Master_Reference[[#This Row],[C-Flex 5000K Eco Part Number]],Lutron_CFlex_Lookup[],MATCH("Lutron Kit PN",Lutron_CFlex_Lookup[#Headers],0),FALSE),"")</f>
        <v>ELD3T5-1M50-q</v>
      </c>
      <c r="AJ750" s="1" t="str">
        <f>_xlfn.IFNA(VLOOKUP(Master_Reference[[#This Row],[C-Flex 3000K 3W Part Number]],Lutron_CFlex_Lookup[],MATCH("Lutron Kit PN",Lutron_CFlex_Lookup[#Headers],0),FALSE),"")</f>
        <v>3LD3T5-1M30-q</v>
      </c>
      <c r="AK750" s="1" t="str">
        <f>_xlfn.IFNA(VLOOKUP(Master_Reference[[#This Row],[C-Flex 3500K 3W Part Number]],Lutron_CFlex_Lookup[],MATCH("Lutron Kit PN",Lutron_CFlex_Lookup[#Headers],0),FALSE),"")</f>
        <v>3LD3T5-1M35-q</v>
      </c>
      <c r="AL750" s="1" t="str">
        <f>_xlfn.IFNA(VLOOKUP(Master_Reference[[#This Row],[C-Flex 4000K 3W Part Number]],Lutron_CFlex_Lookup[],MATCH("Lutron Kit PN",Lutron_CFlex_Lookup[#Headers],0),FALSE),"")</f>
        <v>3LD3T5-1M40-q</v>
      </c>
      <c r="AM750" s="1" t="str">
        <f>_xlfn.IFNA(VLOOKUP(Master_Reference[[#This Row],[C-Flex 5000K 3W Part Number]],Lutron_CFlex_Lookup[],MATCH("Lutron Kit PN",Lutron_CFlex_Lookup[#Headers],0),FALSE),"")</f>
        <v>3LD3T5-1M50-q</v>
      </c>
      <c r="AN750" s="1" t="b">
        <f>NOT(ISNA(VLOOKUP(Master_Reference[[#This Row],[Model Number]],ObsoleteModels[],1,FALSE)))</f>
        <v>1</v>
      </c>
      <c r="AO750" s="1" t="str">
        <f>IF(LEFT(Master_Reference[[#This Row],[Model Number]],1)="U",LEFT(Master_Reference[[#This Row],[Model Number]],4),LEFT(Master_Reference[[#This Row],[Model Number]],3))</f>
        <v>H3D</v>
      </c>
    </row>
    <row r="751" spans="1:41" x14ac:dyDescent="0.25">
      <c r="A751" s="2" t="s">
        <v>1052</v>
      </c>
      <c r="B751" s="1" t="b">
        <v>1</v>
      </c>
      <c r="C751" s="1" t="b">
        <v>1</v>
      </c>
      <c r="G751" s="1" t="b">
        <f>IF(OR(LEFT(RIGHT(Master_Reference[[#This Row],[Model Number]],3),1)="C",LEFT(RIGHT(Master_Reference[[#This Row],[Model Number]],4),1)="C"),TRUE,"")</f>
        <v>1</v>
      </c>
      <c r="H751" s="1" t="str">
        <f>IF(LEFT(Master_Reference[[#This Row],[Model Number]],1)="U",TRUE,"")</f>
        <v/>
      </c>
      <c r="I751" s="1" t="b">
        <f>IF(Master_Reference[[#This Row],[Lamp Type]]="T4","",IF(Master_Reference[[#This Row],[Case Type]]="M","",TRUE))</f>
        <v>1</v>
      </c>
      <c r="J751" s="1" t="str">
        <f t="shared" si="10"/>
        <v>T5</v>
      </c>
      <c r="K751" s="1">
        <v>21</v>
      </c>
      <c r="L751" s="1" t="s">
        <v>115</v>
      </c>
      <c r="M751" s="1">
        <v>1</v>
      </c>
      <c r="N751" s="1" t="s">
        <v>149</v>
      </c>
      <c r="O751" s="1" t="s">
        <v>113</v>
      </c>
      <c r="R751" t="b">
        <f>IF(COUNTBLANK(Master_Reference[[#This Row],[C-Flex 3000K Eco Part Number]:[C-Flex 4000K Eco Part Number]])=3,FALSE,TRUE)</f>
        <v>1</v>
      </c>
      <c r="S751" t="b">
        <f>IF(COUNTBLANK(Master_Reference[[#This Row],[C-Flex 3000K 3W Part Number]:[C-Flex 4000K 3W Part Number]])=3,FALSE,TRUE)</f>
        <v>1</v>
      </c>
      <c r="T751" t="b">
        <f>IF(COUNTBLANK(Master_Reference[[#This Row],[Lutron 3000K Eco Part Number]:[Lutron 4000K Eco Part Number]])=3,FALSE,TRUE)</f>
        <v>1</v>
      </c>
      <c r="U751" t="b">
        <f>IF(COUNTBLANK(Master_Reference[[#This Row],[Lutron 3000K 3W Part Number]:[Lutron 4000K 3W Part Number]])=3,FALSE,TRUE)</f>
        <v>1</v>
      </c>
      <c r="V751" s="12" t="s">
        <v>337</v>
      </c>
      <c r="W751" s="12" t="s">
        <v>338</v>
      </c>
      <c r="X751" s="12" t="s">
        <v>339</v>
      </c>
      <c r="Y751" t="s">
        <v>1717</v>
      </c>
      <c r="Z751" s="12" t="s">
        <v>134</v>
      </c>
      <c r="AA751" s="12" t="s">
        <v>135</v>
      </c>
      <c r="AB751" s="12" t="s">
        <v>136</v>
      </c>
      <c r="AC751" t="s">
        <v>1805</v>
      </c>
      <c r="AD751" t="str">
        <f>SUBSTITUTE(Master_Reference[[#This Row],[C-Flex 4000K Eco Part Number]],"40-","xx-")</f>
        <v>RP-T5-3FT-1L-8xx-E1-M-G2</v>
      </c>
      <c r="AE751" t="str">
        <f>SUBSTITUTE(Master_Reference[[#This Row],[C-Flex 4000K 3W Part Number]],"40-","xx-")</f>
        <v>RP-T5-3FT-1L-8xx-3W-M-G2</v>
      </c>
      <c r="AF751" s="1" t="str">
        <f>_xlfn.IFNA(VLOOKUP(Master_Reference[[#This Row],[C-Flex 3000K Eco Part Number]],Lutron_CFlex_Lookup[],MATCH("Lutron Kit PN",Lutron_CFlex_Lookup[#Headers],0),FALSE),"")</f>
        <v>ELD3T5-1M30-q</v>
      </c>
      <c r="AG751" s="1" t="str">
        <f>_xlfn.IFNA(VLOOKUP(Master_Reference[[#This Row],[C-Flex 3500K Eco Part Number]],Lutron_CFlex_Lookup[],MATCH("Lutron Kit PN",Lutron_CFlex_Lookup[#Headers],0),FALSE),"")</f>
        <v>ELD3T5-1M35-q</v>
      </c>
      <c r="AH751" s="1" t="str">
        <f>_xlfn.IFNA(VLOOKUP(Master_Reference[[#This Row],[C-Flex 4000K Eco Part Number]],Lutron_CFlex_Lookup[],MATCH("Lutron Kit PN",Lutron_CFlex_Lookup[#Headers],0),FALSE),"")</f>
        <v>ELD3T5-1M40-q</v>
      </c>
      <c r="AI751" s="1" t="str">
        <f>_xlfn.IFNA(VLOOKUP(Master_Reference[[#This Row],[C-Flex 5000K Eco Part Number]],Lutron_CFlex_Lookup[],MATCH("Lutron Kit PN",Lutron_CFlex_Lookup[#Headers],0),FALSE),"")</f>
        <v>ELD3T5-1M50-q</v>
      </c>
      <c r="AJ751" s="1" t="str">
        <f>_xlfn.IFNA(VLOOKUP(Master_Reference[[#This Row],[C-Flex 3000K 3W Part Number]],Lutron_CFlex_Lookup[],MATCH("Lutron Kit PN",Lutron_CFlex_Lookup[#Headers],0),FALSE),"")</f>
        <v>3LD3T5-1M30-q</v>
      </c>
      <c r="AK751" s="1" t="str">
        <f>_xlfn.IFNA(VLOOKUP(Master_Reference[[#This Row],[C-Flex 3500K 3W Part Number]],Lutron_CFlex_Lookup[],MATCH("Lutron Kit PN",Lutron_CFlex_Lookup[#Headers],0),FALSE),"")</f>
        <v>3LD3T5-1M35-q</v>
      </c>
      <c r="AL751" s="1" t="str">
        <f>_xlfn.IFNA(VLOOKUP(Master_Reference[[#This Row],[C-Flex 4000K 3W Part Number]],Lutron_CFlex_Lookup[],MATCH("Lutron Kit PN",Lutron_CFlex_Lookup[#Headers],0),FALSE),"")</f>
        <v>3LD3T5-1M40-q</v>
      </c>
      <c r="AM751" s="1" t="str">
        <f>_xlfn.IFNA(VLOOKUP(Master_Reference[[#This Row],[C-Flex 5000K 3W Part Number]],Lutron_CFlex_Lookup[],MATCH("Lutron Kit PN",Lutron_CFlex_Lookup[#Headers],0),FALSE),"")</f>
        <v>3LD3T5-1M50-q</v>
      </c>
      <c r="AN751" s="1" t="b">
        <f>NOT(ISNA(VLOOKUP(Master_Reference[[#This Row],[Model Number]],ObsoleteModels[],1,FALSE)))</f>
        <v>1</v>
      </c>
      <c r="AO751" s="1" t="str">
        <f>IF(LEFT(Master_Reference[[#This Row],[Model Number]],1)="U",LEFT(Master_Reference[[#This Row],[Model Number]],4),LEFT(Master_Reference[[#This Row],[Model Number]],3))</f>
        <v>H3D</v>
      </c>
    </row>
    <row r="752" spans="1:41" x14ac:dyDescent="0.25">
      <c r="A752" s="2" t="s">
        <v>1053</v>
      </c>
      <c r="B752" s="1" t="b">
        <v>1</v>
      </c>
      <c r="C752" s="1" t="b">
        <v>1</v>
      </c>
      <c r="G752" s="1" t="b">
        <f>IF(OR(LEFT(RIGHT(Master_Reference[[#This Row],[Model Number]],3),1)="C",LEFT(RIGHT(Master_Reference[[#This Row],[Model Number]],4),1)="C"),TRUE,"")</f>
        <v>1</v>
      </c>
      <c r="H752" s="1" t="str">
        <f>IF(LEFT(Master_Reference[[#This Row],[Model Number]],1)="U",TRUE,"")</f>
        <v/>
      </c>
      <c r="I752" s="1" t="b">
        <f>IF(Master_Reference[[#This Row],[Lamp Type]]="T4","",IF(Master_Reference[[#This Row],[Case Type]]="M","",TRUE))</f>
        <v>1</v>
      </c>
      <c r="J752" s="1" t="str">
        <f t="shared" si="10"/>
        <v>T5</v>
      </c>
      <c r="K752" s="1">
        <v>21</v>
      </c>
      <c r="L752" s="1" t="s">
        <v>115</v>
      </c>
      <c r="M752" s="1">
        <v>1</v>
      </c>
      <c r="N752" s="1" t="s">
        <v>149</v>
      </c>
      <c r="O752" s="1" t="s">
        <v>113</v>
      </c>
      <c r="R752" t="b">
        <f>IF(COUNTBLANK(Master_Reference[[#This Row],[C-Flex 3000K Eco Part Number]:[C-Flex 4000K Eco Part Number]])=3,FALSE,TRUE)</f>
        <v>1</v>
      </c>
      <c r="S752" t="b">
        <f>IF(COUNTBLANK(Master_Reference[[#This Row],[C-Flex 3000K 3W Part Number]:[C-Flex 4000K 3W Part Number]])=3,FALSE,TRUE)</f>
        <v>1</v>
      </c>
      <c r="T752" t="b">
        <f>IF(COUNTBLANK(Master_Reference[[#This Row],[Lutron 3000K Eco Part Number]:[Lutron 4000K Eco Part Number]])=3,FALSE,TRUE)</f>
        <v>1</v>
      </c>
      <c r="U752" t="b">
        <f>IF(COUNTBLANK(Master_Reference[[#This Row],[Lutron 3000K 3W Part Number]:[Lutron 4000K 3W Part Number]])=3,FALSE,TRUE)</f>
        <v>1</v>
      </c>
      <c r="V752" s="12" t="s">
        <v>337</v>
      </c>
      <c r="W752" s="12" t="s">
        <v>338</v>
      </c>
      <c r="X752" s="12" t="s">
        <v>339</v>
      </c>
      <c r="Y752" t="s">
        <v>1717</v>
      </c>
      <c r="Z752" s="12" t="s">
        <v>134</v>
      </c>
      <c r="AA752" s="12" t="s">
        <v>135</v>
      </c>
      <c r="AB752" s="12" t="s">
        <v>136</v>
      </c>
      <c r="AC752" t="s">
        <v>1805</v>
      </c>
      <c r="AD752" t="str">
        <f>SUBSTITUTE(Master_Reference[[#This Row],[C-Flex 4000K Eco Part Number]],"40-","xx-")</f>
        <v>RP-T5-3FT-1L-8xx-E1-M-G2</v>
      </c>
      <c r="AE752" t="str">
        <f>SUBSTITUTE(Master_Reference[[#This Row],[C-Flex 4000K 3W Part Number]],"40-","xx-")</f>
        <v>RP-T5-3FT-1L-8xx-3W-M-G2</v>
      </c>
      <c r="AF752" s="1" t="str">
        <f>_xlfn.IFNA(VLOOKUP(Master_Reference[[#This Row],[C-Flex 3000K Eco Part Number]],Lutron_CFlex_Lookup[],MATCH("Lutron Kit PN",Lutron_CFlex_Lookup[#Headers],0),FALSE),"")</f>
        <v>ELD3T5-1M30-q</v>
      </c>
      <c r="AG752" s="1" t="str">
        <f>_xlfn.IFNA(VLOOKUP(Master_Reference[[#This Row],[C-Flex 3500K Eco Part Number]],Lutron_CFlex_Lookup[],MATCH("Lutron Kit PN",Lutron_CFlex_Lookup[#Headers],0),FALSE),"")</f>
        <v>ELD3T5-1M35-q</v>
      </c>
      <c r="AH752" s="1" t="str">
        <f>_xlfn.IFNA(VLOOKUP(Master_Reference[[#This Row],[C-Flex 4000K Eco Part Number]],Lutron_CFlex_Lookup[],MATCH("Lutron Kit PN",Lutron_CFlex_Lookup[#Headers],0),FALSE),"")</f>
        <v>ELD3T5-1M40-q</v>
      </c>
      <c r="AI752" s="1" t="str">
        <f>_xlfn.IFNA(VLOOKUP(Master_Reference[[#This Row],[C-Flex 5000K Eco Part Number]],Lutron_CFlex_Lookup[],MATCH("Lutron Kit PN",Lutron_CFlex_Lookup[#Headers],0),FALSE),"")</f>
        <v>ELD3T5-1M50-q</v>
      </c>
      <c r="AJ752" s="1" t="str">
        <f>_xlfn.IFNA(VLOOKUP(Master_Reference[[#This Row],[C-Flex 3000K 3W Part Number]],Lutron_CFlex_Lookup[],MATCH("Lutron Kit PN",Lutron_CFlex_Lookup[#Headers],0),FALSE),"")</f>
        <v>3LD3T5-1M30-q</v>
      </c>
      <c r="AK752" s="1" t="str">
        <f>_xlfn.IFNA(VLOOKUP(Master_Reference[[#This Row],[C-Flex 3500K 3W Part Number]],Lutron_CFlex_Lookup[],MATCH("Lutron Kit PN",Lutron_CFlex_Lookup[#Headers],0),FALSE),"")</f>
        <v>3LD3T5-1M35-q</v>
      </c>
      <c r="AL752" s="1" t="str">
        <f>_xlfn.IFNA(VLOOKUP(Master_Reference[[#This Row],[C-Flex 4000K 3W Part Number]],Lutron_CFlex_Lookup[],MATCH("Lutron Kit PN",Lutron_CFlex_Lookup[#Headers],0),FALSE),"")</f>
        <v>3LD3T5-1M40-q</v>
      </c>
      <c r="AM752" s="1" t="str">
        <f>_xlfn.IFNA(VLOOKUP(Master_Reference[[#This Row],[C-Flex 5000K 3W Part Number]],Lutron_CFlex_Lookup[],MATCH("Lutron Kit PN",Lutron_CFlex_Lookup[#Headers],0),FALSE),"")</f>
        <v>3LD3T5-1M50-q</v>
      </c>
      <c r="AN752" s="1" t="b">
        <f>NOT(ISNA(VLOOKUP(Master_Reference[[#This Row],[Model Number]],ObsoleteModels[],1,FALSE)))</f>
        <v>1</v>
      </c>
      <c r="AO752" s="1" t="str">
        <f>IF(LEFT(Master_Reference[[#This Row],[Model Number]],1)="U",LEFT(Master_Reference[[#This Row],[Model Number]],4),LEFT(Master_Reference[[#This Row],[Model Number]],3))</f>
        <v>H3D</v>
      </c>
    </row>
    <row r="753" spans="1:41" x14ac:dyDescent="0.25">
      <c r="A753" s="2" t="s">
        <v>1054</v>
      </c>
      <c r="B753" s="1" t="b">
        <v>1</v>
      </c>
      <c r="C753" s="1" t="b">
        <v>1</v>
      </c>
      <c r="G753" s="1" t="b">
        <f>IF(OR(LEFT(RIGHT(Master_Reference[[#This Row],[Model Number]],3),1)="C",LEFT(RIGHT(Master_Reference[[#This Row],[Model Number]],4),1)="C"),TRUE,"")</f>
        <v>1</v>
      </c>
      <c r="H753" s="1" t="str">
        <f>IF(LEFT(Master_Reference[[#This Row],[Model Number]],1)="U",TRUE,"")</f>
        <v/>
      </c>
      <c r="I753" s="1" t="b">
        <f>IF(Master_Reference[[#This Row],[Lamp Type]]="T4","",IF(Master_Reference[[#This Row],[Case Type]]="M","",TRUE))</f>
        <v>1</v>
      </c>
      <c r="J753" s="1" t="str">
        <f t="shared" si="10"/>
        <v>T5</v>
      </c>
      <c r="K753" s="1">
        <v>21</v>
      </c>
      <c r="L753" s="1" t="s">
        <v>115</v>
      </c>
      <c r="M753" s="1">
        <v>1</v>
      </c>
      <c r="N753" s="1" t="s">
        <v>149</v>
      </c>
      <c r="O753" s="1" t="s">
        <v>113</v>
      </c>
      <c r="R753" t="b">
        <f>IF(COUNTBLANK(Master_Reference[[#This Row],[C-Flex 3000K Eco Part Number]:[C-Flex 4000K Eco Part Number]])=3,FALSE,TRUE)</f>
        <v>1</v>
      </c>
      <c r="S753" t="b">
        <f>IF(COUNTBLANK(Master_Reference[[#This Row],[C-Flex 3000K 3W Part Number]:[C-Flex 4000K 3W Part Number]])=3,FALSE,TRUE)</f>
        <v>1</v>
      </c>
      <c r="T753" t="b">
        <f>IF(COUNTBLANK(Master_Reference[[#This Row],[Lutron 3000K Eco Part Number]:[Lutron 4000K Eco Part Number]])=3,FALSE,TRUE)</f>
        <v>1</v>
      </c>
      <c r="U753" t="b">
        <f>IF(COUNTBLANK(Master_Reference[[#This Row],[Lutron 3000K 3W Part Number]:[Lutron 4000K 3W Part Number]])=3,FALSE,TRUE)</f>
        <v>1</v>
      </c>
      <c r="V753" s="12" t="s">
        <v>337</v>
      </c>
      <c r="W753" s="12" t="s">
        <v>338</v>
      </c>
      <c r="X753" s="12" t="s">
        <v>339</v>
      </c>
      <c r="Y753" t="s">
        <v>1717</v>
      </c>
      <c r="Z753" s="12" t="s">
        <v>134</v>
      </c>
      <c r="AA753" s="12" t="s">
        <v>135</v>
      </c>
      <c r="AB753" s="12" t="s">
        <v>136</v>
      </c>
      <c r="AC753" t="s">
        <v>1805</v>
      </c>
      <c r="AD753" t="str">
        <f>SUBSTITUTE(Master_Reference[[#This Row],[C-Flex 4000K Eco Part Number]],"40-","xx-")</f>
        <v>RP-T5-3FT-1L-8xx-E1-M-G2</v>
      </c>
      <c r="AE753" t="str">
        <f>SUBSTITUTE(Master_Reference[[#This Row],[C-Flex 4000K 3W Part Number]],"40-","xx-")</f>
        <v>RP-T5-3FT-1L-8xx-3W-M-G2</v>
      </c>
      <c r="AF753" s="1" t="str">
        <f>_xlfn.IFNA(VLOOKUP(Master_Reference[[#This Row],[C-Flex 3000K Eco Part Number]],Lutron_CFlex_Lookup[],MATCH("Lutron Kit PN",Lutron_CFlex_Lookup[#Headers],0),FALSE),"")</f>
        <v>ELD3T5-1M30-q</v>
      </c>
      <c r="AG753" s="1" t="str">
        <f>_xlfn.IFNA(VLOOKUP(Master_Reference[[#This Row],[C-Flex 3500K Eco Part Number]],Lutron_CFlex_Lookup[],MATCH("Lutron Kit PN",Lutron_CFlex_Lookup[#Headers],0),FALSE),"")</f>
        <v>ELD3T5-1M35-q</v>
      </c>
      <c r="AH753" s="1" t="str">
        <f>_xlfn.IFNA(VLOOKUP(Master_Reference[[#This Row],[C-Flex 4000K Eco Part Number]],Lutron_CFlex_Lookup[],MATCH("Lutron Kit PN",Lutron_CFlex_Lookup[#Headers],0),FALSE),"")</f>
        <v>ELD3T5-1M40-q</v>
      </c>
      <c r="AI753" s="1" t="str">
        <f>_xlfn.IFNA(VLOOKUP(Master_Reference[[#This Row],[C-Flex 5000K Eco Part Number]],Lutron_CFlex_Lookup[],MATCH("Lutron Kit PN",Lutron_CFlex_Lookup[#Headers],0),FALSE),"")</f>
        <v>ELD3T5-1M50-q</v>
      </c>
      <c r="AJ753" s="1" t="str">
        <f>_xlfn.IFNA(VLOOKUP(Master_Reference[[#This Row],[C-Flex 3000K 3W Part Number]],Lutron_CFlex_Lookup[],MATCH("Lutron Kit PN",Lutron_CFlex_Lookup[#Headers],0),FALSE),"")</f>
        <v>3LD3T5-1M30-q</v>
      </c>
      <c r="AK753" s="1" t="str">
        <f>_xlfn.IFNA(VLOOKUP(Master_Reference[[#This Row],[C-Flex 3500K 3W Part Number]],Lutron_CFlex_Lookup[],MATCH("Lutron Kit PN",Lutron_CFlex_Lookup[#Headers],0),FALSE),"")</f>
        <v>3LD3T5-1M35-q</v>
      </c>
      <c r="AL753" s="1" t="str">
        <f>_xlfn.IFNA(VLOOKUP(Master_Reference[[#This Row],[C-Flex 4000K 3W Part Number]],Lutron_CFlex_Lookup[],MATCH("Lutron Kit PN",Lutron_CFlex_Lookup[#Headers],0),FALSE),"")</f>
        <v>3LD3T5-1M40-q</v>
      </c>
      <c r="AM753" s="1" t="str">
        <f>_xlfn.IFNA(VLOOKUP(Master_Reference[[#This Row],[C-Flex 5000K 3W Part Number]],Lutron_CFlex_Lookup[],MATCH("Lutron Kit PN",Lutron_CFlex_Lookup[#Headers],0),FALSE),"")</f>
        <v>3LD3T5-1M50-q</v>
      </c>
      <c r="AN753" s="1" t="b">
        <f>NOT(ISNA(VLOOKUP(Master_Reference[[#This Row],[Model Number]],ObsoleteModels[],1,FALSE)))</f>
        <v>1</v>
      </c>
      <c r="AO753" s="1" t="str">
        <f>IF(LEFT(Master_Reference[[#This Row],[Model Number]],1)="U",LEFT(Master_Reference[[#This Row],[Model Number]],4),LEFT(Master_Reference[[#This Row],[Model Number]],3))</f>
        <v>H3D</v>
      </c>
    </row>
    <row r="754" spans="1:41" x14ac:dyDescent="0.25">
      <c r="A754" s="2" t="s">
        <v>1055</v>
      </c>
      <c r="B754" s="1" t="b">
        <v>1</v>
      </c>
      <c r="C754" s="1" t="b">
        <v>1</v>
      </c>
      <c r="G754" s="1" t="b">
        <f>IF(OR(LEFT(RIGHT(Master_Reference[[#This Row],[Model Number]],3),1)="C",LEFT(RIGHT(Master_Reference[[#This Row],[Model Number]],4),1)="C"),TRUE,"")</f>
        <v>1</v>
      </c>
      <c r="H754" s="1" t="str">
        <f>IF(LEFT(Master_Reference[[#This Row],[Model Number]],1)="U",TRUE,"")</f>
        <v/>
      </c>
      <c r="I754" s="1" t="b">
        <f>IF(Master_Reference[[#This Row],[Lamp Type]]="T4","",IF(Master_Reference[[#This Row],[Case Type]]="M","",TRUE))</f>
        <v>1</v>
      </c>
      <c r="J754" s="1" t="str">
        <f t="shared" si="10"/>
        <v>T5</v>
      </c>
      <c r="K754" s="1">
        <v>21</v>
      </c>
      <c r="L754" s="1" t="s">
        <v>115</v>
      </c>
      <c r="M754" s="1">
        <v>1</v>
      </c>
      <c r="N754" s="1" t="s">
        <v>149</v>
      </c>
      <c r="O754" s="1" t="s">
        <v>113</v>
      </c>
      <c r="R754" t="b">
        <f>IF(COUNTBLANK(Master_Reference[[#This Row],[C-Flex 3000K Eco Part Number]:[C-Flex 4000K Eco Part Number]])=3,FALSE,TRUE)</f>
        <v>1</v>
      </c>
      <c r="S754" t="b">
        <f>IF(COUNTBLANK(Master_Reference[[#This Row],[C-Flex 3000K 3W Part Number]:[C-Flex 4000K 3W Part Number]])=3,FALSE,TRUE)</f>
        <v>1</v>
      </c>
      <c r="T754" t="b">
        <f>IF(COUNTBLANK(Master_Reference[[#This Row],[Lutron 3000K Eco Part Number]:[Lutron 4000K Eco Part Number]])=3,FALSE,TRUE)</f>
        <v>1</v>
      </c>
      <c r="U754" t="b">
        <f>IF(COUNTBLANK(Master_Reference[[#This Row],[Lutron 3000K 3W Part Number]:[Lutron 4000K 3W Part Number]])=3,FALSE,TRUE)</f>
        <v>1</v>
      </c>
      <c r="V754" s="12" t="s">
        <v>337</v>
      </c>
      <c r="W754" s="12" t="s">
        <v>338</v>
      </c>
      <c r="X754" s="12" t="s">
        <v>339</v>
      </c>
      <c r="Y754" t="s">
        <v>1717</v>
      </c>
      <c r="Z754" s="12" t="s">
        <v>134</v>
      </c>
      <c r="AA754" s="12" t="s">
        <v>135</v>
      </c>
      <c r="AB754" s="12" t="s">
        <v>136</v>
      </c>
      <c r="AC754" t="s">
        <v>1805</v>
      </c>
      <c r="AD754" t="str">
        <f>SUBSTITUTE(Master_Reference[[#This Row],[C-Flex 4000K Eco Part Number]],"40-","xx-")</f>
        <v>RP-T5-3FT-1L-8xx-E1-M-G2</v>
      </c>
      <c r="AE754" t="str">
        <f>SUBSTITUTE(Master_Reference[[#This Row],[C-Flex 4000K 3W Part Number]],"40-","xx-")</f>
        <v>RP-T5-3FT-1L-8xx-3W-M-G2</v>
      </c>
      <c r="AF754" s="1" t="str">
        <f>_xlfn.IFNA(VLOOKUP(Master_Reference[[#This Row],[C-Flex 3000K Eco Part Number]],Lutron_CFlex_Lookup[],MATCH("Lutron Kit PN",Lutron_CFlex_Lookup[#Headers],0),FALSE),"")</f>
        <v>ELD3T5-1M30-q</v>
      </c>
      <c r="AG754" s="1" t="str">
        <f>_xlfn.IFNA(VLOOKUP(Master_Reference[[#This Row],[C-Flex 3500K Eco Part Number]],Lutron_CFlex_Lookup[],MATCH("Lutron Kit PN",Lutron_CFlex_Lookup[#Headers],0),FALSE),"")</f>
        <v>ELD3T5-1M35-q</v>
      </c>
      <c r="AH754" s="1" t="str">
        <f>_xlfn.IFNA(VLOOKUP(Master_Reference[[#This Row],[C-Flex 4000K Eco Part Number]],Lutron_CFlex_Lookup[],MATCH("Lutron Kit PN",Lutron_CFlex_Lookup[#Headers],0),FALSE),"")</f>
        <v>ELD3T5-1M40-q</v>
      </c>
      <c r="AI754" s="1" t="str">
        <f>_xlfn.IFNA(VLOOKUP(Master_Reference[[#This Row],[C-Flex 5000K Eco Part Number]],Lutron_CFlex_Lookup[],MATCH("Lutron Kit PN",Lutron_CFlex_Lookup[#Headers],0),FALSE),"")</f>
        <v>ELD3T5-1M50-q</v>
      </c>
      <c r="AJ754" s="1" t="str">
        <f>_xlfn.IFNA(VLOOKUP(Master_Reference[[#This Row],[C-Flex 3000K 3W Part Number]],Lutron_CFlex_Lookup[],MATCH("Lutron Kit PN",Lutron_CFlex_Lookup[#Headers],0),FALSE),"")</f>
        <v>3LD3T5-1M30-q</v>
      </c>
      <c r="AK754" s="1" t="str">
        <f>_xlfn.IFNA(VLOOKUP(Master_Reference[[#This Row],[C-Flex 3500K 3W Part Number]],Lutron_CFlex_Lookup[],MATCH("Lutron Kit PN",Lutron_CFlex_Lookup[#Headers],0),FALSE),"")</f>
        <v>3LD3T5-1M35-q</v>
      </c>
      <c r="AL754" s="1" t="str">
        <f>_xlfn.IFNA(VLOOKUP(Master_Reference[[#This Row],[C-Flex 4000K 3W Part Number]],Lutron_CFlex_Lookup[],MATCH("Lutron Kit PN",Lutron_CFlex_Lookup[#Headers],0),FALSE),"")</f>
        <v>3LD3T5-1M40-q</v>
      </c>
      <c r="AM754" s="1" t="str">
        <f>_xlfn.IFNA(VLOOKUP(Master_Reference[[#This Row],[C-Flex 5000K 3W Part Number]],Lutron_CFlex_Lookup[],MATCH("Lutron Kit PN",Lutron_CFlex_Lookup[#Headers],0),FALSE),"")</f>
        <v>3LD3T5-1M50-q</v>
      </c>
      <c r="AN754" s="1" t="b">
        <f>NOT(ISNA(VLOOKUP(Master_Reference[[#This Row],[Model Number]],ObsoleteModels[],1,FALSE)))</f>
        <v>1</v>
      </c>
      <c r="AO754" s="1" t="str">
        <f>IF(LEFT(Master_Reference[[#This Row],[Model Number]],1)="U",LEFT(Master_Reference[[#This Row],[Model Number]],4),LEFT(Master_Reference[[#This Row],[Model Number]],3))</f>
        <v>H3D</v>
      </c>
    </row>
    <row r="755" spans="1:41" x14ac:dyDescent="0.25">
      <c r="A755" s="2" t="s">
        <v>1056</v>
      </c>
      <c r="B755" s="1" t="b">
        <v>1</v>
      </c>
      <c r="C755" s="1" t="b">
        <v>1</v>
      </c>
      <c r="G755" s="1" t="str">
        <f>IF(OR(LEFT(RIGHT(Master_Reference[[#This Row],[Model Number]],3),1)="C",LEFT(RIGHT(Master_Reference[[#This Row],[Model Number]],4),1)="C"),TRUE,"")</f>
        <v/>
      </c>
      <c r="H755" s="1" t="str">
        <f>IF(LEFT(Master_Reference[[#This Row],[Model Number]],1)="U",TRUE,"")</f>
        <v/>
      </c>
      <c r="I755" s="1" t="b">
        <f>IF(Master_Reference[[#This Row],[Lamp Type]]="T4","",IF(Master_Reference[[#This Row],[Case Type]]="M","",TRUE))</f>
        <v>1</v>
      </c>
      <c r="J755" s="1" t="str">
        <f t="shared" si="10"/>
        <v>T5</v>
      </c>
      <c r="K755" s="1">
        <v>21</v>
      </c>
      <c r="L755" s="1" t="s">
        <v>115</v>
      </c>
      <c r="M755" s="1">
        <v>2</v>
      </c>
      <c r="N755" s="1" t="s">
        <v>149</v>
      </c>
      <c r="O755" s="1" t="s">
        <v>113</v>
      </c>
      <c r="R755" t="b">
        <f>IF(COUNTBLANK(Master_Reference[[#This Row],[C-Flex 3000K Eco Part Number]:[C-Flex 4000K Eco Part Number]])=3,FALSE,TRUE)</f>
        <v>1</v>
      </c>
      <c r="S755" t="b">
        <f>IF(COUNTBLANK(Master_Reference[[#This Row],[C-Flex 3000K 3W Part Number]:[C-Flex 4000K 3W Part Number]])=3,FALSE,TRUE)</f>
        <v>1</v>
      </c>
      <c r="T755" t="b">
        <f>IF(COUNTBLANK(Master_Reference[[#This Row],[Lutron 3000K Eco Part Number]:[Lutron 4000K Eco Part Number]])=3,FALSE,TRUE)</f>
        <v>1</v>
      </c>
      <c r="U755" t="b">
        <f>IF(COUNTBLANK(Master_Reference[[#This Row],[Lutron 3000K 3W Part Number]:[Lutron 4000K 3W Part Number]])=3,FALSE,TRUE)</f>
        <v>1</v>
      </c>
      <c r="V755" s="12" t="s">
        <v>341</v>
      </c>
      <c r="W755" s="12" t="s">
        <v>342</v>
      </c>
      <c r="X755" s="12" t="s">
        <v>343</v>
      </c>
      <c r="Y755" t="s">
        <v>1718</v>
      </c>
      <c r="Z755" s="12" t="s">
        <v>138</v>
      </c>
      <c r="AA755" s="12" t="s">
        <v>139</v>
      </c>
      <c r="AB755" s="12" t="s">
        <v>140</v>
      </c>
      <c r="AC755" t="s">
        <v>1806</v>
      </c>
      <c r="AD755" t="str">
        <f>SUBSTITUTE(Master_Reference[[#This Row],[C-Flex 4000K Eco Part Number]],"40-","xx-")</f>
        <v>RP-T5-3FT-2L-8xx-E1-M-G2</v>
      </c>
      <c r="AE755" t="str">
        <f>SUBSTITUTE(Master_Reference[[#This Row],[C-Flex 4000K 3W Part Number]],"40-","xx-")</f>
        <v>RP-T5-3FT-2L-8xx-3W-M-G2</v>
      </c>
      <c r="AF755" s="1" t="str">
        <f>_xlfn.IFNA(VLOOKUP(Master_Reference[[#This Row],[C-Flex 3000K Eco Part Number]],Lutron_CFlex_Lookup[],MATCH("Lutron Kit PN",Lutron_CFlex_Lookup[#Headers],0),FALSE),"")</f>
        <v>ELD3T5-2M30-q</v>
      </c>
      <c r="AG755" s="1" t="str">
        <f>_xlfn.IFNA(VLOOKUP(Master_Reference[[#This Row],[C-Flex 3500K Eco Part Number]],Lutron_CFlex_Lookup[],MATCH("Lutron Kit PN",Lutron_CFlex_Lookup[#Headers],0),FALSE),"")</f>
        <v>ELD3T5-2M35-q</v>
      </c>
      <c r="AH755" s="1" t="str">
        <f>_xlfn.IFNA(VLOOKUP(Master_Reference[[#This Row],[C-Flex 4000K Eco Part Number]],Lutron_CFlex_Lookup[],MATCH("Lutron Kit PN",Lutron_CFlex_Lookup[#Headers],0),FALSE),"")</f>
        <v>ELD3T5-2M40-q</v>
      </c>
      <c r="AI755" s="1" t="str">
        <f>_xlfn.IFNA(VLOOKUP(Master_Reference[[#This Row],[C-Flex 5000K Eco Part Number]],Lutron_CFlex_Lookup[],MATCH("Lutron Kit PN",Lutron_CFlex_Lookup[#Headers],0),FALSE),"")</f>
        <v>ELD3T5-2M50-q</v>
      </c>
      <c r="AJ755" s="1" t="str">
        <f>_xlfn.IFNA(VLOOKUP(Master_Reference[[#This Row],[C-Flex 3000K 3W Part Number]],Lutron_CFlex_Lookup[],MATCH("Lutron Kit PN",Lutron_CFlex_Lookup[#Headers],0),FALSE),"")</f>
        <v>3LD3T5-2M30-q</v>
      </c>
      <c r="AK755" s="1" t="str">
        <f>_xlfn.IFNA(VLOOKUP(Master_Reference[[#This Row],[C-Flex 3500K 3W Part Number]],Lutron_CFlex_Lookup[],MATCH("Lutron Kit PN",Lutron_CFlex_Lookup[#Headers],0),FALSE),"")</f>
        <v>3LD3T5-2M35-q</v>
      </c>
      <c r="AL755" s="1" t="str">
        <f>_xlfn.IFNA(VLOOKUP(Master_Reference[[#This Row],[C-Flex 4000K 3W Part Number]],Lutron_CFlex_Lookup[],MATCH("Lutron Kit PN",Lutron_CFlex_Lookup[#Headers],0),FALSE),"")</f>
        <v>3LD3T5-2M40-q</v>
      </c>
      <c r="AM755" s="1" t="str">
        <f>_xlfn.IFNA(VLOOKUP(Master_Reference[[#This Row],[C-Flex 5000K 3W Part Number]],Lutron_CFlex_Lookup[],MATCH("Lutron Kit PN",Lutron_CFlex_Lookup[#Headers],0),FALSE),"")</f>
        <v>3LD3T5-2M50-q</v>
      </c>
      <c r="AN755" s="1" t="b">
        <f>NOT(ISNA(VLOOKUP(Master_Reference[[#This Row],[Model Number]],ObsoleteModels[],1,FALSE)))</f>
        <v>1</v>
      </c>
      <c r="AO755" s="1" t="str">
        <f>IF(LEFT(Master_Reference[[#This Row],[Model Number]],1)="U",LEFT(Master_Reference[[#This Row],[Model Number]],4),LEFT(Master_Reference[[#This Row],[Model Number]],3))</f>
        <v>H3D</v>
      </c>
    </row>
    <row r="756" spans="1:41" x14ac:dyDescent="0.25">
      <c r="A756" s="2" t="s">
        <v>1057</v>
      </c>
      <c r="B756" s="1" t="b">
        <v>1</v>
      </c>
      <c r="C756" s="1" t="b">
        <v>1</v>
      </c>
      <c r="G756" s="1" t="str">
        <f>IF(OR(LEFT(RIGHT(Master_Reference[[#This Row],[Model Number]],3),1)="C",LEFT(RIGHT(Master_Reference[[#This Row],[Model Number]],4),1)="C"),TRUE,"")</f>
        <v/>
      </c>
      <c r="H756" s="1" t="str">
        <f>IF(LEFT(Master_Reference[[#This Row],[Model Number]],1)="U",TRUE,"")</f>
        <v/>
      </c>
      <c r="I756" s="1" t="b">
        <f>IF(Master_Reference[[#This Row],[Lamp Type]]="T4","",IF(Master_Reference[[#This Row],[Case Type]]="M","",TRUE))</f>
        <v>1</v>
      </c>
      <c r="J756" s="1" t="str">
        <f t="shared" si="10"/>
        <v>T5</v>
      </c>
      <c r="K756" s="1">
        <v>21</v>
      </c>
      <c r="L756" s="1" t="s">
        <v>115</v>
      </c>
      <c r="M756" s="1">
        <v>2</v>
      </c>
      <c r="N756" s="1" t="s">
        <v>149</v>
      </c>
      <c r="O756" s="1" t="s">
        <v>113</v>
      </c>
      <c r="Q756" s="1" t="s">
        <v>91</v>
      </c>
      <c r="R756" t="b">
        <f>IF(COUNTBLANK(Master_Reference[[#This Row],[C-Flex 3000K Eco Part Number]:[C-Flex 4000K Eco Part Number]])=3,FALSE,TRUE)</f>
        <v>0</v>
      </c>
      <c r="S756" t="b">
        <f>IF(COUNTBLANK(Master_Reference[[#This Row],[C-Flex 3000K 3W Part Number]:[C-Flex 4000K 3W Part Number]])=3,FALSE,TRUE)</f>
        <v>0</v>
      </c>
      <c r="T756" t="b">
        <f>IF(COUNTBLANK(Master_Reference[[#This Row],[Lutron 3000K Eco Part Number]:[Lutron 4000K Eco Part Number]])=3,FALSE,TRUE)</f>
        <v>0</v>
      </c>
      <c r="U756" t="b">
        <f>IF(COUNTBLANK(Master_Reference[[#This Row],[Lutron 3000K 3W Part Number]:[Lutron 4000K 3W Part Number]])=3,FALSE,TRUE)</f>
        <v>0</v>
      </c>
      <c r="V756" s="12"/>
      <c r="W756" s="12"/>
      <c r="X756" s="12"/>
      <c r="Y756" t="s">
        <v>2125</v>
      </c>
      <c r="Z756" s="12"/>
      <c r="AA756" s="12"/>
      <c r="AB756" s="12"/>
      <c r="AC756" t="s">
        <v>2125</v>
      </c>
      <c r="AD756" t="str">
        <f>SUBSTITUTE(Master_Reference[[#This Row],[C-Flex 4000K Eco Part Number]],"40-","xx-")</f>
        <v/>
      </c>
      <c r="AE756" t="str">
        <f>SUBSTITUTE(Master_Reference[[#This Row],[C-Flex 4000K 3W Part Number]],"40-","xx-")</f>
        <v/>
      </c>
      <c r="AF756" s="1" t="str">
        <f>_xlfn.IFNA(VLOOKUP(Master_Reference[[#This Row],[C-Flex 3000K Eco Part Number]],Lutron_CFlex_Lookup[],MATCH("Lutron Kit PN",Lutron_CFlex_Lookup[#Headers],0),FALSE),"")</f>
        <v/>
      </c>
      <c r="AG756" s="1" t="str">
        <f>_xlfn.IFNA(VLOOKUP(Master_Reference[[#This Row],[C-Flex 3500K Eco Part Number]],Lutron_CFlex_Lookup[],MATCH("Lutron Kit PN",Lutron_CFlex_Lookup[#Headers],0),FALSE),"")</f>
        <v/>
      </c>
      <c r="AH756" s="1" t="str">
        <f>_xlfn.IFNA(VLOOKUP(Master_Reference[[#This Row],[C-Flex 4000K Eco Part Number]],Lutron_CFlex_Lookup[],MATCH("Lutron Kit PN",Lutron_CFlex_Lookup[#Headers],0),FALSE),"")</f>
        <v/>
      </c>
      <c r="AI756" s="1" t="str">
        <f>_xlfn.IFNA(VLOOKUP(Master_Reference[[#This Row],[C-Flex 5000K Eco Part Number]],Lutron_CFlex_Lookup[],MATCH("Lutron Kit PN",Lutron_CFlex_Lookup[#Headers],0),FALSE),"")</f>
        <v/>
      </c>
      <c r="AJ756" s="1" t="str">
        <f>_xlfn.IFNA(VLOOKUP(Master_Reference[[#This Row],[C-Flex 3000K 3W Part Number]],Lutron_CFlex_Lookup[],MATCH("Lutron Kit PN",Lutron_CFlex_Lookup[#Headers],0),FALSE),"")</f>
        <v/>
      </c>
      <c r="AK756" s="1" t="str">
        <f>_xlfn.IFNA(VLOOKUP(Master_Reference[[#This Row],[C-Flex 3500K 3W Part Number]],Lutron_CFlex_Lookup[],MATCH("Lutron Kit PN",Lutron_CFlex_Lookup[#Headers],0),FALSE),"")</f>
        <v/>
      </c>
      <c r="AL756" s="1" t="str">
        <f>_xlfn.IFNA(VLOOKUP(Master_Reference[[#This Row],[C-Flex 4000K 3W Part Number]],Lutron_CFlex_Lookup[],MATCH("Lutron Kit PN",Lutron_CFlex_Lookup[#Headers],0),FALSE),"")</f>
        <v/>
      </c>
      <c r="AM756" s="1" t="str">
        <f>_xlfn.IFNA(VLOOKUP(Master_Reference[[#This Row],[C-Flex 5000K 3W Part Number]],Lutron_CFlex_Lookup[],MATCH("Lutron Kit PN",Lutron_CFlex_Lookup[#Headers],0),FALSE),"")</f>
        <v/>
      </c>
      <c r="AN756" s="1" t="b">
        <f>NOT(ISNA(VLOOKUP(Master_Reference[[#This Row],[Model Number]],ObsoleteModels[],1,FALSE)))</f>
        <v>1</v>
      </c>
      <c r="AO756" s="1" t="str">
        <f>IF(LEFT(Master_Reference[[#This Row],[Model Number]],1)="U",LEFT(Master_Reference[[#This Row],[Model Number]],4),LEFT(Master_Reference[[#This Row],[Model Number]],3))</f>
        <v>H3D</v>
      </c>
    </row>
    <row r="757" spans="1:41" x14ac:dyDescent="0.25">
      <c r="A757" s="2" t="s">
        <v>1058</v>
      </c>
      <c r="B757" s="1" t="b">
        <v>1</v>
      </c>
      <c r="C757" s="1" t="b">
        <v>1</v>
      </c>
      <c r="G757" s="1" t="b">
        <f>IF(OR(LEFT(RIGHT(Master_Reference[[#This Row],[Model Number]],3),1)="C",LEFT(RIGHT(Master_Reference[[#This Row],[Model Number]],4),1)="C"),TRUE,"")</f>
        <v>1</v>
      </c>
      <c r="H757" s="1" t="str">
        <f>IF(LEFT(Master_Reference[[#This Row],[Model Number]],1)="U",TRUE,"")</f>
        <v/>
      </c>
      <c r="I757" s="1" t="b">
        <f>IF(Master_Reference[[#This Row],[Lamp Type]]="T4","",IF(Master_Reference[[#This Row],[Case Type]]="M","",TRUE))</f>
        <v>1</v>
      </c>
      <c r="J757" s="1" t="str">
        <f t="shared" si="10"/>
        <v>T5</v>
      </c>
      <c r="K757" s="1">
        <v>21</v>
      </c>
      <c r="L757" s="1" t="s">
        <v>115</v>
      </c>
      <c r="M757" s="1">
        <v>2</v>
      </c>
      <c r="N757" s="1" t="s">
        <v>149</v>
      </c>
      <c r="O757" s="1" t="s">
        <v>113</v>
      </c>
      <c r="R757" t="b">
        <f>IF(COUNTBLANK(Master_Reference[[#This Row],[C-Flex 3000K Eco Part Number]:[C-Flex 4000K Eco Part Number]])=3,FALSE,TRUE)</f>
        <v>1</v>
      </c>
      <c r="S757" t="b">
        <f>IF(COUNTBLANK(Master_Reference[[#This Row],[C-Flex 3000K 3W Part Number]:[C-Flex 4000K 3W Part Number]])=3,FALSE,TRUE)</f>
        <v>1</v>
      </c>
      <c r="T757" t="b">
        <f>IF(COUNTBLANK(Master_Reference[[#This Row],[Lutron 3000K Eco Part Number]:[Lutron 4000K Eco Part Number]])=3,FALSE,TRUE)</f>
        <v>1</v>
      </c>
      <c r="U757" t="b">
        <f>IF(COUNTBLANK(Master_Reference[[#This Row],[Lutron 3000K 3W Part Number]:[Lutron 4000K 3W Part Number]])=3,FALSE,TRUE)</f>
        <v>1</v>
      </c>
      <c r="V757" s="12" t="s">
        <v>341</v>
      </c>
      <c r="W757" s="12" t="s">
        <v>342</v>
      </c>
      <c r="X757" s="12" t="s">
        <v>343</v>
      </c>
      <c r="Y757" t="s">
        <v>1718</v>
      </c>
      <c r="Z757" s="12" t="s">
        <v>138</v>
      </c>
      <c r="AA757" s="12" t="s">
        <v>139</v>
      </c>
      <c r="AB757" s="12" t="s">
        <v>140</v>
      </c>
      <c r="AC757" t="s">
        <v>1806</v>
      </c>
      <c r="AD757" t="str">
        <f>SUBSTITUTE(Master_Reference[[#This Row],[C-Flex 4000K Eco Part Number]],"40-","xx-")</f>
        <v>RP-T5-3FT-2L-8xx-E1-M-G2</v>
      </c>
      <c r="AE757" t="str">
        <f>SUBSTITUTE(Master_Reference[[#This Row],[C-Flex 4000K 3W Part Number]],"40-","xx-")</f>
        <v>RP-T5-3FT-2L-8xx-3W-M-G2</v>
      </c>
      <c r="AF757" s="1" t="str">
        <f>_xlfn.IFNA(VLOOKUP(Master_Reference[[#This Row],[C-Flex 3000K Eco Part Number]],Lutron_CFlex_Lookup[],MATCH("Lutron Kit PN",Lutron_CFlex_Lookup[#Headers],0),FALSE),"")</f>
        <v>ELD3T5-2M30-q</v>
      </c>
      <c r="AG757" s="1" t="str">
        <f>_xlfn.IFNA(VLOOKUP(Master_Reference[[#This Row],[C-Flex 3500K Eco Part Number]],Lutron_CFlex_Lookup[],MATCH("Lutron Kit PN",Lutron_CFlex_Lookup[#Headers],0),FALSE),"")</f>
        <v>ELD3T5-2M35-q</v>
      </c>
      <c r="AH757" s="1" t="str">
        <f>_xlfn.IFNA(VLOOKUP(Master_Reference[[#This Row],[C-Flex 4000K Eco Part Number]],Lutron_CFlex_Lookup[],MATCH("Lutron Kit PN",Lutron_CFlex_Lookup[#Headers],0),FALSE),"")</f>
        <v>ELD3T5-2M40-q</v>
      </c>
      <c r="AI757" s="1" t="str">
        <f>_xlfn.IFNA(VLOOKUP(Master_Reference[[#This Row],[C-Flex 5000K Eco Part Number]],Lutron_CFlex_Lookup[],MATCH("Lutron Kit PN",Lutron_CFlex_Lookup[#Headers],0),FALSE),"")</f>
        <v>ELD3T5-2M50-q</v>
      </c>
      <c r="AJ757" s="1" t="str">
        <f>_xlfn.IFNA(VLOOKUP(Master_Reference[[#This Row],[C-Flex 3000K 3W Part Number]],Lutron_CFlex_Lookup[],MATCH("Lutron Kit PN",Lutron_CFlex_Lookup[#Headers],0),FALSE),"")</f>
        <v>3LD3T5-2M30-q</v>
      </c>
      <c r="AK757" s="1" t="str">
        <f>_xlfn.IFNA(VLOOKUP(Master_Reference[[#This Row],[C-Flex 3500K 3W Part Number]],Lutron_CFlex_Lookup[],MATCH("Lutron Kit PN",Lutron_CFlex_Lookup[#Headers],0),FALSE),"")</f>
        <v>3LD3T5-2M35-q</v>
      </c>
      <c r="AL757" s="1" t="str">
        <f>_xlfn.IFNA(VLOOKUP(Master_Reference[[#This Row],[C-Flex 4000K 3W Part Number]],Lutron_CFlex_Lookup[],MATCH("Lutron Kit PN",Lutron_CFlex_Lookup[#Headers],0),FALSE),"")</f>
        <v>3LD3T5-2M40-q</v>
      </c>
      <c r="AM757" s="1" t="str">
        <f>_xlfn.IFNA(VLOOKUP(Master_Reference[[#This Row],[C-Flex 5000K 3W Part Number]],Lutron_CFlex_Lookup[],MATCH("Lutron Kit PN",Lutron_CFlex_Lookup[#Headers],0),FALSE),"")</f>
        <v>3LD3T5-2M50-q</v>
      </c>
      <c r="AN757" s="1" t="b">
        <f>NOT(ISNA(VLOOKUP(Master_Reference[[#This Row],[Model Number]],ObsoleteModels[],1,FALSE)))</f>
        <v>1</v>
      </c>
      <c r="AO757" s="1" t="str">
        <f>IF(LEFT(Master_Reference[[#This Row],[Model Number]],1)="U",LEFT(Master_Reference[[#This Row],[Model Number]],4),LEFT(Master_Reference[[#This Row],[Model Number]],3))</f>
        <v>H3D</v>
      </c>
    </row>
    <row r="758" spans="1:41" x14ac:dyDescent="0.25">
      <c r="A758" s="2" t="s">
        <v>1059</v>
      </c>
      <c r="B758" s="1" t="b">
        <v>1</v>
      </c>
      <c r="C758" s="1" t="b">
        <v>1</v>
      </c>
      <c r="G758" s="1" t="b">
        <f>IF(OR(LEFT(RIGHT(Master_Reference[[#This Row],[Model Number]],3),1)="C",LEFT(RIGHT(Master_Reference[[#This Row],[Model Number]],4),1)="C"),TRUE,"")</f>
        <v>1</v>
      </c>
      <c r="H758" s="1" t="str">
        <f>IF(LEFT(Master_Reference[[#This Row],[Model Number]],1)="U",TRUE,"")</f>
        <v/>
      </c>
      <c r="I758" s="1" t="b">
        <f>IF(Master_Reference[[#This Row],[Lamp Type]]="T4","",IF(Master_Reference[[#This Row],[Case Type]]="M","",TRUE))</f>
        <v>1</v>
      </c>
      <c r="J758" s="1" t="str">
        <f t="shared" si="10"/>
        <v>T5</v>
      </c>
      <c r="K758" s="1">
        <v>21</v>
      </c>
      <c r="L758" s="1" t="s">
        <v>115</v>
      </c>
      <c r="M758" s="1">
        <v>2</v>
      </c>
      <c r="N758" s="1" t="s">
        <v>149</v>
      </c>
      <c r="O758" s="1" t="s">
        <v>113</v>
      </c>
      <c r="R758" t="b">
        <f>IF(COUNTBLANK(Master_Reference[[#This Row],[C-Flex 3000K Eco Part Number]:[C-Flex 4000K Eco Part Number]])=3,FALSE,TRUE)</f>
        <v>1</v>
      </c>
      <c r="S758" t="b">
        <f>IF(COUNTBLANK(Master_Reference[[#This Row],[C-Flex 3000K 3W Part Number]:[C-Flex 4000K 3W Part Number]])=3,FALSE,TRUE)</f>
        <v>1</v>
      </c>
      <c r="T758" t="b">
        <f>IF(COUNTBLANK(Master_Reference[[#This Row],[Lutron 3000K Eco Part Number]:[Lutron 4000K Eco Part Number]])=3,FALSE,TRUE)</f>
        <v>1</v>
      </c>
      <c r="U758" t="b">
        <f>IF(COUNTBLANK(Master_Reference[[#This Row],[Lutron 3000K 3W Part Number]:[Lutron 4000K 3W Part Number]])=3,FALSE,TRUE)</f>
        <v>1</v>
      </c>
      <c r="V758" s="12" t="s">
        <v>341</v>
      </c>
      <c r="W758" s="12" t="s">
        <v>342</v>
      </c>
      <c r="X758" s="12" t="s">
        <v>343</v>
      </c>
      <c r="Y758" t="s">
        <v>1718</v>
      </c>
      <c r="Z758" s="12" t="s">
        <v>138</v>
      </c>
      <c r="AA758" s="12" t="s">
        <v>139</v>
      </c>
      <c r="AB758" s="12" t="s">
        <v>140</v>
      </c>
      <c r="AC758" t="s">
        <v>1806</v>
      </c>
      <c r="AD758" t="str">
        <f>SUBSTITUTE(Master_Reference[[#This Row],[C-Flex 4000K Eco Part Number]],"40-","xx-")</f>
        <v>RP-T5-3FT-2L-8xx-E1-M-G2</v>
      </c>
      <c r="AE758" t="str">
        <f>SUBSTITUTE(Master_Reference[[#This Row],[C-Flex 4000K 3W Part Number]],"40-","xx-")</f>
        <v>RP-T5-3FT-2L-8xx-3W-M-G2</v>
      </c>
      <c r="AF758" s="1" t="str">
        <f>_xlfn.IFNA(VLOOKUP(Master_Reference[[#This Row],[C-Flex 3000K Eco Part Number]],Lutron_CFlex_Lookup[],MATCH("Lutron Kit PN",Lutron_CFlex_Lookup[#Headers],0),FALSE),"")</f>
        <v>ELD3T5-2M30-q</v>
      </c>
      <c r="AG758" s="1" t="str">
        <f>_xlfn.IFNA(VLOOKUP(Master_Reference[[#This Row],[C-Flex 3500K Eco Part Number]],Lutron_CFlex_Lookup[],MATCH("Lutron Kit PN",Lutron_CFlex_Lookup[#Headers],0),FALSE),"")</f>
        <v>ELD3T5-2M35-q</v>
      </c>
      <c r="AH758" s="1" t="str">
        <f>_xlfn.IFNA(VLOOKUP(Master_Reference[[#This Row],[C-Flex 4000K Eco Part Number]],Lutron_CFlex_Lookup[],MATCH("Lutron Kit PN",Lutron_CFlex_Lookup[#Headers],0),FALSE),"")</f>
        <v>ELD3T5-2M40-q</v>
      </c>
      <c r="AI758" s="1" t="str">
        <f>_xlfn.IFNA(VLOOKUP(Master_Reference[[#This Row],[C-Flex 5000K Eco Part Number]],Lutron_CFlex_Lookup[],MATCH("Lutron Kit PN",Lutron_CFlex_Lookup[#Headers],0),FALSE),"")</f>
        <v>ELD3T5-2M50-q</v>
      </c>
      <c r="AJ758" s="1" t="str">
        <f>_xlfn.IFNA(VLOOKUP(Master_Reference[[#This Row],[C-Flex 3000K 3W Part Number]],Lutron_CFlex_Lookup[],MATCH("Lutron Kit PN",Lutron_CFlex_Lookup[#Headers],0),FALSE),"")</f>
        <v>3LD3T5-2M30-q</v>
      </c>
      <c r="AK758" s="1" t="str">
        <f>_xlfn.IFNA(VLOOKUP(Master_Reference[[#This Row],[C-Flex 3500K 3W Part Number]],Lutron_CFlex_Lookup[],MATCH("Lutron Kit PN",Lutron_CFlex_Lookup[#Headers],0),FALSE),"")</f>
        <v>3LD3T5-2M35-q</v>
      </c>
      <c r="AL758" s="1" t="str">
        <f>_xlfn.IFNA(VLOOKUP(Master_Reference[[#This Row],[C-Flex 4000K 3W Part Number]],Lutron_CFlex_Lookup[],MATCH("Lutron Kit PN",Lutron_CFlex_Lookup[#Headers],0),FALSE),"")</f>
        <v>3LD3T5-2M40-q</v>
      </c>
      <c r="AM758" s="1" t="str">
        <f>_xlfn.IFNA(VLOOKUP(Master_Reference[[#This Row],[C-Flex 5000K 3W Part Number]],Lutron_CFlex_Lookup[],MATCH("Lutron Kit PN",Lutron_CFlex_Lookup[#Headers],0),FALSE),"")</f>
        <v>3LD3T5-2M50-q</v>
      </c>
      <c r="AN758" s="1" t="b">
        <f>NOT(ISNA(VLOOKUP(Master_Reference[[#This Row],[Model Number]],ObsoleteModels[],1,FALSE)))</f>
        <v>1</v>
      </c>
      <c r="AO758" s="1" t="str">
        <f>IF(LEFT(Master_Reference[[#This Row],[Model Number]],1)="U",LEFT(Master_Reference[[#This Row],[Model Number]],4),LEFT(Master_Reference[[#This Row],[Model Number]],3))</f>
        <v>H3D</v>
      </c>
    </row>
    <row r="759" spans="1:41" x14ac:dyDescent="0.25">
      <c r="A759" s="2" t="s">
        <v>1060</v>
      </c>
      <c r="B759" s="1" t="b">
        <v>1</v>
      </c>
      <c r="C759" s="1" t="b">
        <v>1</v>
      </c>
      <c r="G759" s="1" t="b">
        <f>IF(OR(LEFT(RIGHT(Master_Reference[[#This Row],[Model Number]],3),1)="C",LEFT(RIGHT(Master_Reference[[#This Row],[Model Number]],4),1)="C"),TRUE,"")</f>
        <v>1</v>
      </c>
      <c r="H759" s="1" t="str">
        <f>IF(LEFT(Master_Reference[[#This Row],[Model Number]],1)="U",TRUE,"")</f>
        <v/>
      </c>
      <c r="I759" s="1" t="b">
        <f>IF(Master_Reference[[#This Row],[Lamp Type]]="T4","",IF(Master_Reference[[#This Row],[Case Type]]="M","",TRUE))</f>
        <v>1</v>
      </c>
      <c r="J759" s="1" t="str">
        <f t="shared" si="10"/>
        <v>T5</v>
      </c>
      <c r="K759" s="1">
        <v>21</v>
      </c>
      <c r="L759" s="1" t="s">
        <v>115</v>
      </c>
      <c r="M759" s="1">
        <v>2</v>
      </c>
      <c r="N759" s="1" t="s">
        <v>149</v>
      </c>
      <c r="O759" s="1" t="s">
        <v>113</v>
      </c>
      <c r="R759" t="b">
        <f>IF(COUNTBLANK(Master_Reference[[#This Row],[C-Flex 3000K Eco Part Number]:[C-Flex 4000K Eco Part Number]])=3,FALSE,TRUE)</f>
        <v>1</v>
      </c>
      <c r="S759" t="b">
        <f>IF(COUNTBLANK(Master_Reference[[#This Row],[C-Flex 3000K 3W Part Number]:[C-Flex 4000K 3W Part Number]])=3,FALSE,TRUE)</f>
        <v>1</v>
      </c>
      <c r="T759" t="b">
        <f>IF(COUNTBLANK(Master_Reference[[#This Row],[Lutron 3000K Eco Part Number]:[Lutron 4000K Eco Part Number]])=3,FALSE,TRUE)</f>
        <v>1</v>
      </c>
      <c r="U759" t="b">
        <f>IF(COUNTBLANK(Master_Reference[[#This Row],[Lutron 3000K 3W Part Number]:[Lutron 4000K 3W Part Number]])=3,FALSE,TRUE)</f>
        <v>1</v>
      </c>
      <c r="V759" s="12" t="s">
        <v>341</v>
      </c>
      <c r="W759" s="12" t="s">
        <v>342</v>
      </c>
      <c r="X759" s="12" t="s">
        <v>343</v>
      </c>
      <c r="Y759" t="s">
        <v>1718</v>
      </c>
      <c r="Z759" s="12" t="s">
        <v>138</v>
      </c>
      <c r="AA759" s="12" t="s">
        <v>139</v>
      </c>
      <c r="AB759" s="12" t="s">
        <v>140</v>
      </c>
      <c r="AC759" t="s">
        <v>1806</v>
      </c>
      <c r="AD759" t="str">
        <f>SUBSTITUTE(Master_Reference[[#This Row],[C-Flex 4000K Eco Part Number]],"40-","xx-")</f>
        <v>RP-T5-3FT-2L-8xx-E1-M-G2</v>
      </c>
      <c r="AE759" t="str">
        <f>SUBSTITUTE(Master_Reference[[#This Row],[C-Flex 4000K 3W Part Number]],"40-","xx-")</f>
        <v>RP-T5-3FT-2L-8xx-3W-M-G2</v>
      </c>
      <c r="AF759" s="1" t="str">
        <f>_xlfn.IFNA(VLOOKUP(Master_Reference[[#This Row],[C-Flex 3000K Eco Part Number]],Lutron_CFlex_Lookup[],MATCH("Lutron Kit PN",Lutron_CFlex_Lookup[#Headers],0),FALSE),"")</f>
        <v>ELD3T5-2M30-q</v>
      </c>
      <c r="AG759" s="1" t="str">
        <f>_xlfn.IFNA(VLOOKUP(Master_Reference[[#This Row],[C-Flex 3500K Eco Part Number]],Lutron_CFlex_Lookup[],MATCH("Lutron Kit PN",Lutron_CFlex_Lookup[#Headers],0),FALSE),"")</f>
        <v>ELD3T5-2M35-q</v>
      </c>
      <c r="AH759" s="1" t="str">
        <f>_xlfn.IFNA(VLOOKUP(Master_Reference[[#This Row],[C-Flex 4000K Eco Part Number]],Lutron_CFlex_Lookup[],MATCH("Lutron Kit PN",Lutron_CFlex_Lookup[#Headers],0),FALSE),"")</f>
        <v>ELD3T5-2M40-q</v>
      </c>
      <c r="AI759" s="1" t="str">
        <f>_xlfn.IFNA(VLOOKUP(Master_Reference[[#This Row],[C-Flex 5000K Eco Part Number]],Lutron_CFlex_Lookup[],MATCH("Lutron Kit PN",Lutron_CFlex_Lookup[#Headers],0),FALSE),"")</f>
        <v>ELD3T5-2M50-q</v>
      </c>
      <c r="AJ759" s="1" t="str">
        <f>_xlfn.IFNA(VLOOKUP(Master_Reference[[#This Row],[C-Flex 3000K 3W Part Number]],Lutron_CFlex_Lookup[],MATCH("Lutron Kit PN",Lutron_CFlex_Lookup[#Headers],0),FALSE),"")</f>
        <v>3LD3T5-2M30-q</v>
      </c>
      <c r="AK759" s="1" t="str">
        <f>_xlfn.IFNA(VLOOKUP(Master_Reference[[#This Row],[C-Flex 3500K 3W Part Number]],Lutron_CFlex_Lookup[],MATCH("Lutron Kit PN",Lutron_CFlex_Lookup[#Headers],0),FALSE),"")</f>
        <v>3LD3T5-2M35-q</v>
      </c>
      <c r="AL759" s="1" t="str">
        <f>_xlfn.IFNA(VLOOKUP(Master_Reference[[#This Row],[C-Flex 4000K 3W Part Number]],Lutron_CFlex_Lookup[],MATCH("Lutron Kit PN",Lutron_CFlex_Lookup[#Headers],0),FALSE),"")</f>
        <v>3LD3T5-2M40-q</v>
      </c>
      <c r="AM759" s="1" t="str">
        <f>_xlfn.IFNA(VLOOKUP(Master_Reference[[#This Row],[C-Flex 5000K 3W Part Number]],Lutron_CFlex_Lookup[],MATCH("Lutron Kit PN",Lutron_CFlex_Lookup[#Headers],0),FALSE),"")</f>
        <v>3LD3T5-2M50-q</v>
      </c>
      <c r="AN759" s="1" t="b">
        <f>NOT(ISNA(VLOOKUP(Master_Reference[[#This Row],[Model Number]],ObsoleteModels[],1,FALSE)))</f>
        <v>1</v>
      </c>
      <c r="AO759" s="1" t="str">
        <f>IF(LEFT(Master_Reference[[#This Row],[Model Number]],1)="U",LEFT(Master_Reference[[#This Row],[Model Number]],4),LEFT(Master_Reference[[#This Row],[Model Number]],3))</f>
        <v>H3D</v>
      </c>
    </row>
    <row r="760" spans="1:41" x14ac:dyDescent="0.25">
      <c r="A760" s="2" t="s">
        <v>1061</v>
      </c>
      <c r="B760" s="1" t="b">
        <v>1</v>
      </c>
      <c r="C760" s="1" t="b">
        <v>1</v>
      </c>
      <c r="G760" s="1" t="str">
        <f>IF(OR(LEFT(RIGHT(Master_Reference[[#This Row],[Model Number]],3),1)="C",LEFT(RIGHT(Master_Reference[[#This Row],[Model Number]],4),1)="C"),TRUE,"")</f>
        <v/>
      </c>
      <c r="H760" s="1" t="str">
        <f>IF(LEFT(Master_Reference[[#This Row],[Model Number]],1)="U",TRUE,"")</f>
        <v/>
      </c>
      <c r="I760" s="1" t="b">
        <f>IF(Master_Reference[[#This Row],[Lamp Type]]="T4","",IF(Master_Reference[[#This Row],[Case Type]]="M","",TRUE))</f>
        <v>1</v>
      </c>
      <c r="J760" s="1" t="str">
        <f t="shared" si="10"/>
        <v>T5</v>
      </c>
      <c r="K760" s="1">
        <v>21</v>
      </c>
      <c r="L760" s="1" t="s">
        <v>115</v>
      </c>
      <c r="M760" s="1">
        <v>1</v>
      </c>
      <c r="N760" s="1" t="s">
        <v>149</v>
      </c>
      <c r="O760" s="1" t="s">
        <v>113</v>
      </c>
      <c r="R760" t="b">
        <f>IF(COUNTBLANK(Master_Reference[[#This Row],[C-Flex 3000K Eco Part Number]:[C-Flex 4000K Eco Part Number]])=3,FALSE,TRUE)</f>
        <v>1</v>
      </c>
      <c r="S760" t="b">
        <f>IF(COUNTBLANK(Master_Reference[[#This Row],[C-Flex 3000K 3W Part Number]:[C-Flex 4000K 3W Part Number]])=3,FALSE,TRUE)</f>
        <v>1</v>
      </c>
      <c r="T760" t="b">
        <f>IF(COUNTBLANK(Master_Reference[[#This Row],[Lutron 3000K Eco Part Number]:[Lutron 4000K Eco Part Number]])=3,FALSE,TRUE)</f>
        <v>1</v>
      </c>
      <c r="U760" t="b">
        <f>IF(COUNTBLANK(Master_Reference[[#This Row],[Lutron 3000K 3W Part Number]:[Lutron 4000K 3W Part Number]])=3,FALSE,TRUE)</f>
        <v>1</v>
      </c>
      <c r="V760" s="12" t="s">
        <v>337</v>
      </c>
      <c r="W760" s="12" t="s">
        <v>338</v>
      </c>
      <c r="X760" s="12" t="s">
        <v>339</v>
      </c>
      <c r="Y760" t="s">
        <v>1717</v>
      </c>
      <c r="Z760" s="12" t="s">
        <v>134</v>
      </c>
      <c r="AA760" s="12" t="s">
        <v>135</v>
      </c>
      <c r="AB760" s="12" t="s">
        <v>136</v>
      </c>
      <c r="AC760" t="s">
        <v>1805</v>
      </c>
      <c r="AD760" t="str">
        <f>SUBSTITUTE(Master_Reference[[#This Row],[C-Flex 4000K Eco Part Number]],"40-","xx-")</f>
        <v>RP-T5-3FT-1L-8xx-E1-M-G2</v>
      </c>
      <c r="AE760" t="str">
        <f>SUBSTITUTE(Master_Reference[[#This Row],[C-Flex 4000K 3W Part Number]],"40-","xx-")</f>
        <v>RP-T5-3FT-1L-8xx-3W-M-G2</v>
      </c>
      <c r="AF760" s="1" t="str">
        <f>_xlfn.IFNA(VLOOKUP(Master_Reference[[#This Row],[C-Flex 3000K Eco Part Number]],Lutron_CFlex_Lookup[],MATCH("Lutron Kit PN",Lutron_CFlex_Lookup[#Headers],0),FALSE),"")</f>
        <v>ELD3T5-1M30-q</v>
      </c>
      <c r="AG760" s="1" t="str">
        <f>_xlfn.IFNA(VLOOKUP(Master_Reference[[#This Row],[C-Flex 3500K Eco Part Number]],Lutron_CFlex_Lookup[],MATCH("Lutron Kit PN",Lutron_CFlex_Lookup[#Headers],0),FALSE),"")</f>
        <v>ELD3T5-1M35-q</v>
      </c>
      <c r="AH760" s="1" t="str">
        <f>_xlfn.IFNA(VLOOKUP(Master_Reference[[#This Row],[C-Flex 4000K Eco Part Number]],Lutron_CFlex_Lookup[],MATCH("Lutron Kit PN",Lutron_CFlex_Lookup[#Headers],0),FALSE),"")</f>
        <v>ELD3T5-1M40-q</v>
      </c>
      <c r="AI760" s="1" t="str">
        <f>_xlfn.IFNA(VLOOKUP(Master_Reference[[#This Row],[C-Flex 5000K Eco Part Number]],Lutron_CFlex_Lookup[],MATCH("Lutron Kit PN",Lutron_CFlex_Lookup[#Headers],0),FALSE),"")</f>
        <v>ELD3T5-1M50-q</v>
      </c>
      <c r="AJ760" s="1" t="str">
        <f>_xlfn.IFNA(VLOOKUP(Master_Reference[[#This Row],[C-Flex 3000K 3W Part Number]],Lutron_CFlex_Lookup[],MATCH("Lutron Kit PN",Lutron_CFlex_Lookup[#Headers],0),FALSE),"")</f>
        <v>3LD3T5-1M30-q</v>
      </c>
      <c r="AK760" s="1" t="str">
        <f>_xlfn.IFNA(VLOOKUP(Master_Reference[[#This Row],[C-Flex 3500K 3W Part Number]],Lutron_CFlex_Lookup[],MATCH("Lutron Kit PN",Lutron_CFlex_Lookup[#Headers],0),FALSE),"")</f>
        <v>3LD3T5-1M35-q</v>
      </c>
      <c r="AL760" s="1" t="str">
        <f>_xlfn.IFNA(VLOOKUP(Master_Reference[[#This Row],[C-Flex 4000K 3W Part Number]],Lutron_CFlex_Lookup[],MATCH("Lutron Kit PN",Lutron_CFlex_Lookup[#Headers],0),FALSE),"")</f>
        <v>3LD3T5-1M40-q</v>
      </c>
      <c r="AM760" s="1" t="str">
        <f>_xlfn.IFNA(VLOOKUP(Master_Reference[[#This Row],[C-Flex 5000K 3W Part Number]],Lutron_CFlex_Lookup[],MATCH("Lutron Kit PN",Lutron_CFlex_Lookup[#Headers],0),FALSE),"")</f>
        <v>3LD3T5-1M50-q</v>
      </c>
      <c r="AN760" s="1" t="b">
        <f>NOT(ISNA(VLOOKUP(Master_Reference[[#This Row],[Model Number]],ObsoleteModels[],1,FALSE)))</f>
        <v>1</v>
      </c>
      <c r="AO760" s="1" t="str">
        <f>IF(LEFT(Master_Reference[[#This Row],[Model Number]],1)="U",LEFT(Master_Reference[[#This Row],[Model Number]],4),LEFT(Master_Reference[[#This Row],[Model Number]],3))</f>
        <v>H3D</v>
      </c>
    </row>
    <row r="761" spans="1:41" x14ac:dyDescent="0.25">
      <c r="A761" s="2" t="s">
        <v>1062</v>
      </c>
      <c r="B761" s="1" t="b">
        <v>1</v>
      </c>
      <c r="C761" s="1" t="b">
        <v>1</v>
      </c>
      <c r="G761" s="1" t="str">
        <f>IF(OR(LEFT(RIGHT(Master_Reference[[#This Row],[Model Number]],3),1)="C",LEFT(RIGHT(Master_Reference[[#This Row],[Model Number]],4),1)="C"),TRUE,"")</f>
        <v/>
      </c>
      <c r="H761" s="1" t="str">
        <f>IF(LEFT(Master_Reference[[#This Row],[Model Number]],1)="U",TRUE,"")</f>
        <v/>
      </c>
      <c r="I761" s="1" t="b">
        <f>IF(Master_Reference[[#This Row],[Lamp Type]]="T4","",IF(Master_Reference[[#This Row],[Case Type]]="M","",TRUE))</f>
        <v>1</v>
      </c>
      <c r="J761" s="1" t="str">
        <f t="shared" si="10"/>
        <v>T5</v>
      </c>
      <c r="K761" s="1">
        <v>21</v>
      </c>
      <c r="L761" s="1" t="s">
        <v>115</v>
      </c>
      <c r="M761" s="1">
        <v>2</v>
      </c>
      <c r="N761" s="1" t="s">
        <v>149</v>
      </c>
      <c r="O761" s="1" t="s">
        <v>113</v>
      </c>
      <c r="R761" t="b">
        <f>IF(COUNTBLANK(Master_Reference[[#This Row],[C-Flex 3000K Eco Part Number]:[C-Flex 4000K Eco Part Number]])=3,FALSE,TRUE)</f>
        <v>1</v>
      </c>
      <c r="S761" t="b">
        <f>IF(COUNTBLANK(Master_Reference[[#This Row],[C-Flex 3000K 3W Part Number]:[C-Flex 4000K 3W Part Number]])=3,FALSE,TRUE)</f>
        <v>1</v>
      </c>
      <c r="T761" t="b">
        <f>IF(COUNTBLANK(Master_Reference[[#This Row],[Lutron 3000K Eco Part Number]:[Lutron 4000K Eco Part Number]])=3,FALSE,TRUE)</f>
        <v>1</v>
      </c>
      <c r="U761" t="b">
        <f>IF(COUNTBLANK(Master_Reference[[#This Row],[Lutron 3000K 3W Part Number]:[Lutron 4000K 3W Part Number]])=3,FALSE,TRUE)</f>
        <v>1</v>
      </c>
      <c r="V761" s="12" t="s">
        <v>341</v>
      </c>
      <c r="W761" s="12" t="s">
        <v>342</v>
      </c>
      <c r="X761" s="12" t="s">
        <v>343</v>
      </c>
      <c r="Y761" t="s">
        <v>1718</v>
      </c>
      <c r="Z761" s="12" t="s">
        <v>138</v>
      </c>
      <c r="AA761" s="12" t="s">
        <v>139</v>
      </c>
      <c r="AB761" s="12" t="s">
        <v>140</v>
      </c>
      <c r="AC761" t="s">
        <v>1806</v>
      </c>
      <c r="AD761" t="str">
        <f>SUBSTITUTE(Master_Reference[[#This Row],[C-Flex 4000K Eco Part Number]],"40-","xx-")</f>
        <v>RP-T5-3FT-2L-8xx-E1-M-G2</v>
      </c>
      <c r="AE761" t="str">
        <f>SUBSTITUTE(Master_Reference[[#This Row],[C-Flex 4000K 3W Part Number]],"40-","xx-")</f>
        <v>RP-T5-3FT-2L-8xx-3W-M-G2</v>
      </c>
      <c r="AF761" s="1" t="str">
        <f>_xlfn.IFNA(VLOOKUP(Master_Reference[[#This Row],[C-Flex 3000K Eco Part Number]],Lutron_CFlex_Lookup[],MATCH("Lutron Kit PN",Lutron_CFlex_Lookup[#Headers],0),FALSE),"")</f>
        <v>ELD3T5-2M30-q</v>
      </c>
      <c r="AG761" s="1" t="str">
        <f>_xlfn.IFNA(VLOOKUP(Master_Reference[[#This Row],[C-Flex 3500K Eco Part Number]],Lutron_CFlex_Lookup[],MATCH("Lutron Kit PN",Lutron_CFlex_Lookup[#Headers],0),FALSE),"")</f>
        <v>ELD3T5-2M35-q</v>
      </c>
      <c r="AH761" s="1" t="str">
        <f>_xlfn.IFNA(VLOOKUP(Master_Reference[[#This Row],[C-Flex 4000K Eco Part Number]],Lutron_CFlex_Lookup[],MATCH("Lutron Kit PN",Lutron_CFlex_Lookup[#Headers],0),FALSE),"")</f>
        <v>ELD3T5-2M40-q</v>
      </c>
      <c r="AI761" s="1" t="str">
        <f>_xlfn.IFNA(VLOOKUP(Master_Reference[[#This Row],[C-Flex 5000K Eco Part Number]],Lutron_CFlex_Lookup[],MATCH("Lutron Kit PN",Lutron_CFlex_Lookup[#Headers],0),FALSE),"")</f>
        <v>ELD3T5-2M50-q</v>
      </c>
      <c r="AJ761" s="1" t="str">
        <f>_xlfn.IFNA(VLOOKUP(Master_Reference[[#This Row],[C-Flex 3000K 3W Part Number]],Lutron_CFlex_Lookup[],MATCH("Lutron Kit PN",Lutron_CFlex_Lookup[#Headers],0),FALSE),"")</f>
        <v>3LD3T5-2M30-q</v>
      </c>
      <c r="AK761" s="1" t="str">
        <f>_xlfn.IFNA(VLOOKUP(Master_Reference[[#This Row],[C-Flex 3500K 3W Part Number]],Lutron_CFlex_Lookup[],MATCH("Lutron Kit PN",Lutron_CFlex_Lookup[#Headers],0),FALSE),"")</f>
        <v>3LD3T5-2M35-q</v>
      </c>
      <c r="AL761" s="1" t="str">
        <f>_xlfn.IFNA(VLOOKUP(Master_Reference[[#This Row],[C-Flex 4000K 3W Part Number]],Lutron_CFlex_Lookup[],MATCH("Lutron Kit PN",Lutron_CFlex_Lookup[#Headers],0),FALSE),"")</f>
        <v>3LD3T5-2M40-q</v>
      </c>
      <c r="AM761" s="1" t="str">
        <f>_xlfn.IFNA(VLOOKUP(Master_Reference[[#This Row],[C-Flex 5000K 3W Part Number]],Lutron_CFlex_Lookup[],MATCH("Lutron Kit PN",Lutron_CFlex_Lookup[#Headers],0),FALSE),"")</f>
        <v>3LD3T5-2M50-q</v>
      </c>
      <c r="AN761" s="1" t="b">
        <f>NOT(ISNA(VLOOKUP(Master_Reference[[#This Row],[Model Number]],ObsoleteModels[],1,FALSE)))</f>
        <v>1</v>
      </c>
      <c r="AO761" s="1" t="str">
        <f>IF(LEFT(Master_Reference[[#This Row],[Model Number]],1)="U",LEFT(Master_Reference[[#This Row],[Model Number]],4),LEFT(Master_Reference[[#This Row],[Model Number]],3))</f>
        <v>H3D</v>
      </c>
    </row>
    <row r="762" spans="1:41" x14ac:dyDescent="0.25">
      <c r="A762" s="2" t="s">
        <v>1063</v>
      </c>
      <c r="B762" s="1" t="b">
        <v>1</v>
      </c>
      <c r="C762" s="1" t="b">
        <v>1</v>
      </c>
      <c r="G762" s="1" t="str">
        <f>IF(OR(LEFT(RIGHT(Master_Reference[[#This Row],[Model Number]],3),1)="C",LEFT(RIGHT(Master_Reference[[#This Row],[Model Number]],4),1)="C"),TRUE,"")</f>
        <v/>
      </c>
      <c r="H762" s="1" t="str">
        <f>IF(LEFT(Master_Reference[[#This Row],[Model Number]],1)="U",TRUE,"")</f>
        <v/>
      </c>
      <c r="I762" s="1" t="b">
        <f>IF(Master_Reference[[#This Row],[Lamp Type]]="T4","",IF(Master_Reference[[#This Row],[Case Type]]="M","",TRUE))</f>
        <v>1</v>
      </c>
      <c r="J762" s="1" t="s">
        <v>297</v>
      </c>
      <c r="K762" s="1">
        <v>24</v>
      </c>
      <c r="L762" s="1" t="s">
        <v>112</v>
      </c>
      <c r="M762" s="1">
        <v>1</v>
      </c>
      <c r="N762" s="1" t="s">
        <v>149</v>
      </c>
      <c r="O762" s="1" t="s">
        <v>113</v>
      </c>
      <c r="R762" t="b">
        <f>IF(COUNTBLANK(Master_Reference[[#This Row],[C-Flex 3000K Eco Part Number]:[C-Flex 4000K Eco Part Number]])=3,FALSE,TRUE)</f>
        <v>1</v>
      </c>
      <c r="S762" t="b">
        <f>IF(COUNTBLANK(Master_Reference[[#This Row],[C-Flex 3000K 3W Part Number]:[C-Flex 4000K 3W Part Number]])=3,FALSE,TRUE)</f>
        <v>1</v>
      </c>
      <c r="T762" t="b">
        <f>IF(COUNTBLANK(Master_Reference[[#This Row],[Lutron 3000K Eco Part Number]:[Lutron 4000K Eco Part Number]])=3,FALSE,TRUE)</f>
        <v>1</v>
      </c>
      <c r="U762" t="b">
        <f>IF(COUNTBLANK(Master_Reference[[#This Row],[Lutron 3000K 3W Part Number]:[Lutron 4000K 3W Part Number]])=3,FALSE,TRUE)</f>
        <v>1</v>
      </c>
      <c r="V762" s="12" t="s">
        <v>355</v>
      </c>
      <c r="W762" s="12" t="s">
        <v>356</v>
      </c>
      <c r="X762" s="12" t="s">
        <v>357</v>
      </c>
      <c r="Y762" t="s">
        <v>1721</v>
      </c>
      <c r="Z762" s="12" t="s">
        <v>358</v>
      </c>
      <c r="AA762" s="12" t="s">
        <v>359</v>
      </c>
      <c r="AB762" s="12" t="s">
        <v>360</v>
      </c>
      <c r="AC762" t="s">
        <v>1809</v>
      </c>
      <c r="AD762" t="str">
        <f>SUBSTITUTE(Master_Reference[[#This Row],[C-Flex 4000K Eco Part Number]],"40-","xx-")</f>
        <v>RP-T5HO-2FT-1L-8xx-E1-M-G2</v>
      </c>
      <c r="AE762" t="str">
        <f>SUBSTITUTE(Master_Reference[[#This Row],[C-Flex 4000K 3W Part Number]],"40-","xx-")</f>
        <v>RP-T5HO-2FT-1L-8xx-3W-M-G2</v>
      </c>
      <c r="AF762" s="1" t="str">
        <f>_xlfn.IFNA(VLOOKUP(Master_Reference[[#This Row],[C-Flex 3000K Eco Part Number]],Lutron_CFlex_Lookup[],MATCH("Lutron Kit PN",Lutron_CFlex_Lookup[#Headers],0),FALSE),"")</f>
        <v>ELD2T5H-1M30-q</v>
      </c>
      <c r="AG762" s="1" t="str">
        <f>_xlfn.IFNA(VLOOKUP(Master_Reference[[#This Row],[C-Flex 3500K Eco Part Number]],Lutron_CFlex_Lookup[],MATCH("Lutron Kit PN",Lutron_CFlex_Lookup[#Headers],0),FALSE),"")</f>
        <v>ELD2T5H-1M35-q</v>
      </c>
      <c r="AH762" s="1" t="str">
        <f>_xlfn.IFNA(VLOOKUP(Master_Reference[[#This Row],[C-Flex 4000K Eco Part Number]],Lutron_CFlex_Lookup[],MATCH("Lutron Kit PN",Lutron_CFlex_Lookup[#Headers],0),FALSE),"")</f>
        <v>ELD2T5H-1M40-q</v>
      </c>
      <c r="AI762" s="1" t="str">
        <f>_xlfn.IFNA(VLOOKUP(Master_Reference[[#This Row],[C-Flex 5000K Eco Part Number]],Lutron_CFlex_Lookup[],MATCH("Lutron Kit PN",Lutron_CFlex_Lookup[#Headers],0),FALSE),"")</f>
        <v>ELD2T5H-1M50-q</v>
      </c>
      <c r="AJ762" s="1" t="str">
        <f>_xlfn.IFNA(VLOOKUP(Master_Reference[[#This Row],[C-Flex 3000K 3W Part Number]],Lutron_CFlex_Lookup[],MATCH("Lutron Kit PN",Lutron_CFlex_Lookup[#Headers],0),FALSE),"")</f>
        <v>3LD2T5H-1M30-q</v>
      </c>
      <c r="AK762" s="1" t="str">
        <f>_xlfn.IFNA(VLOOKUP(Master_Reference[[#This Row],[C-Flex 3500K 3W Part Number]],Lutron_CFlex_Lookup[],MATCH("Lutron Kit PN",Lutron_CFlex_Lookup[#Headers],0),FALSE),"")</f>
        <v>3LD2T5H-1M35-q</v>
      </c>
      <c r="AL762" s="1" t="str">
        <f>_xlfn.IFNA(VLOOKUP(Master_Reference[[#This Row],[C-Flex 4000K 3W Part Number]],Lutron_CFlex_Lookup[],MATCH("Lutron Kit PN",Lutron_CFlex_Lookup[#Headers],0),FALSE),"")</f>
        <v>3LD2T5H-1M40-q</v>
      </c>
      <c r="AM762" s="1" t="str">
        <f>_xlfn.IFNA(VLOOKUP(Master_Reference[[#This Row],[C-Flex 5000K 3W Part Number]],Lutron_CFlex_Lookup[],MATCH("Lutron Kit PN",Lutron_CFlex_Lookup[#Headers],0),FALSE),"")</f>
        <v>3LD2T5H-1M50-q</v>
      </c>
      <c r="AN762" s="1" t="b">
        <f>NOT(ISNA(VLOOKUP(Master_Reference[[#This Row],[Model Number]],ObsoleteModels[],1,FALSE)))</f>
        <v>1</v>
      </c>
      <c r="AO762" s="1" t="str">
        <f>IF(LEFT(Master_Reference[[#This Row],[Model Number]],1)="U",LEFT(Master_Reference[[#This Row],[Model Number]],4),LEFT(Master_Reference[[#This Row],[Model Number]],3))</f>
        <v>H3D</v>
      </c>
    </row>
    <row r="763" spans="1:41" x14ac:dyDescent="0.25">
      <c r="A763" s="2" t="s">
        <v>1064</v>
      </c>
      <c r="B763" s="1" t="b">
        <v>1</v>
      </c>
      <c r="C763" s="1" t="b">
        <v>1</v>
      </c>
      <c r="G763" s="1" t="str">
        <f>IF(OR(LEFT(RIGHT(Master_Reference[[#This Row],[Model Number]],3),1)="C",LEFT(RIGHT(Master_Reference[[#This Row],[Model Number]],4),1)="C"),TRUE,"")</f>
        <v/>
      </c>
      <c r="H763" s="1" t="str">
        <f>IF(LEFT(Master_Reference[[#This Row],[Model Number]],1)="U",TRUE,"")</f>
        <v/>
      </c>
      <c r="I763" s="1" t="b">
        <f>IF(Master_Reference[[#This Row],[Lamp Type]]="T4","",IF(Master_Reference[[#This Row],[Case Type]]="M","",TRUE))</f>
        <v>1</v>
      </c>
      <c r="J763" s="1" t="s">
        <v>297</v>
      </c>
      <c r="K763" s="1">
        <v>24</v>
      </c>
      <c r="L763" s="1" t="s">
        <v>112</v>
      </c>
      <c r="M763" s="1">
        <v>1</v>
      </c>
      <c r="N763" s="1" t="s">
        <v>149</v>
      </c>
      <c r="O763" s="1" t="s">
        <v>113</v>
      </c>
      <c r="Q763" s="1" t="s">
        <v>91</v>
      </c>
      <c r="R763" t="b">
        <f>IF(COUNTBLANK(Master_Reference[[#This Row],[C-Flex 3000K Eco Part Number]:[C-Flex 4000K Eco Part Number]])=3,FALSE,TRUE)</f>
        <v>0</v>
      </c>
      <c r="S763" t="b">
        <f>IF(COUNTBLANK(Master_Reference[[#This Row],[C-Flex 3000K 3W Part Number]:[C-Flex 4000K 3W Part Number]])=3,FALSE,TRUE)</f>
        <v>0</v>
      </c>
      <c r="T763" t="b">
        <f>IF(COUNTBLANK(Master_Reference[[#This Row],[Lutron 3000K Eco Part Number]:[Lutron 4000K Eco Part Number]])=3,FALSE,TRUE)</f>
        <v>0</v>
      </c>
      <c r="U763" t="b">
        <f>IF(COUNTBLANK(Master_Reference[[#This Row],[Lutron 3000K 3W Part Number]:[Lutron 4000K 3W Part Number]])=3,FALSE,TRUE)</f>
        <v>0</v>
      </c>
      <c r="V763" s="12"/>
      <c r="W763" s="12"/>
      <c r="X763" s="12"/>
      <c r="Y763" t="s">
        <v>2125</v>
      </c>
      <c r="Z763" s="12"/>
      <c r="AA763" s="12"/>
      <c r="AB763" s="12"/>
      <c r="AC763" t="s">
        <v>2125</v>
      </c>
      <c r="AD763" t="str">
        <f>SUBSTITUTE(Master_Reference[[#This Row],[C-Flex 4000K Eco Part Number]],"40-","xx-")</f>
        <v/>
      </c>
      <c r="AE763" t="str">
        <f>SUBSTITUTE(Master_Reference[[#This Row],[C-Flex 4000K 3W Part Number]],"40-","xx-")</f>
        <v/>
      </c>
      <c r="AF763" s="1" t="str">
        <f>_xlfn.IFNA(VLOOKUP(Master_Reference[[#This Row],[C-Flex 3000K Eco Part Number]],Lutron_CFlex_Lookup[],MATCH("Lutron Kit PN",Lutron_CFlex_Lookup[#Headers],0),FALSE),"")</f>
        <v/>
      </c>
      <c r="AG763" s="1" t="str">
        <f>_xlfn.IFNA(VLOOKUP(Master_Reference[[#This Row],[C-Flex 3500K Eco Part Number]],Lutron_CFlex_Lookup[],MATCH("Lutron Kit PN",Lutron_CFlex_Lookup[#Headers],0),FALSE),"")</f>
        <v/>
      </c>
      <c r="AH763" s="1" t="str">
        <f>_xlfn.IFNA(VLOOKUP(Master_Reference[[#This Row],[C-Flex 4000K Eco Part Number]],Lutron_CFlex_Lookup[],MATCH("Lutron Kit PN",Lutron_CFlex_Lookup[#Headers],0),FALSE),"")</f>
        <v/>
      </c>
      <c r="AI763" s="1" t="str">
        <f>_xlfn.IFNA(VLOOKUP(Master_Reference[[#This Row],[C-Flex 5000K Eco Part Number]],Lutron_CFlex_Lookup[],MATCH("Lutron Kit PN",Lutron_CFlex_Lookup[#Headers],0),FALSE),"")</f>
        <v/>
      </c>
      <c r="AJ763" s="1" t="str">
        <f>_xlfn.IFNA(VLOOKUP(Master_Reference[[#This Row],[C-Flex 3000K 3W Part Number]],Lutron_CFlex_Lookup[],MATCH("Lutron Kit PN",Lutron_CFlex_Lookup[#Headers],0),FALSE),"")</f>
        <v/>
      </c>
      <c r="AK763" s="1" t="str">
        <f>_xlfn.IFNA(VLOOKUP(Master_Reference[[#This Row],[C-Flex 3500K 3W Part Number]],Lutron_CFlex_Lookup[],MATCH("Lutron Kit PN",Lutron_CFlex_Lookup[#Headers],0),FALSE),"")</f>
        <v/>
      </c>
      <c r="AL763" s="1" t="str">
        <f>_xlfn.IFNA(VLOOKUP(Master_Reference[[#This Row],[C-Flex 4000K 3W Part Number]],Lutron_CFlex_Lookup[],MATCH("Lutron Kit PN",Lutron_CFlex_Lookup[#Headers],0),FALSE),"")</f>
        <v/>
      </c>
      <c r="AM763" s="1" t="str">
        <f>_xlfn.IFNA(VLOOKUP(Master_Reference[[#This Row],[C-Flex 5000K 3W Part Number]],Lutron_CFlex_Lookup[],MATCH("Lutron Kit PN",Lutron_CFlex_Lookup[#Headers],0),FALSE),"")</f>
        <v/>
      </c>
      <c r="AN763" s="1" t="b">
        <f>NOT(ISNA(VLOOKUP(Master_Reference[[#This Row],[Model Number]],ObsoleteModels[],1,FALSE)))</f>
        <v>1</v>
      </c>
      <c r="AO763" s="1" t="str">
        <f>IF(LEFT(Master_Reference[[#This Row],[Model Number]],1)="U",LEFT(Master_Reference[[#This Row],[Model Number]],4),LEFT(Master_Reference[[#This Row],[Model Number]],3))</f>
        <v>H3D</v>
      </c>
    </row>
    <row r="764" spans="1:41" x14ac:dyDescent="0.25">
      <c r="A764" s="2" t="s">
        <v>1065</v>
      </c>
      <c r="B764" s="1" t="b">
        <v>1</v>
      </c>
      <c r="C764" s="1" t="b">
        <v>1</v>
      </c>
      <c r="G764" s="1" t="b">
        <f>IF(OR(LEFT(RIGHT(Master_Reference[[#This Row],[Model Number]],3),1)="C",LEFT(RIGHT(Master_Reference[[#This Row],[Model Number]],4),1)="C"),TRUE,"")</f>
        <v>1</v>
      </c>
      <c r="H764" s="1" t="str">
        <f>IF(LEFT(Master_Reference[[#This Row],[Model Number]],1)="U",TRUE,"")</f>
        <v/>
      </c>
      <c r="I764" s="1" t="b">
        <f>IF(Master_Reference[[#This Row],[Lamp Type]]="T4","",IF(Master_Reference[[#This Row],[Case Type]]="M","",TRUE))</f>
        <v>1</v>
      </c>
      <c r="J764" s="1" t="s">
        <v>297</v>
      </c>
      <c r="K764" s="1">
        <v>24</v>
      </c>
      <c r="L764" s="1" t="s">
        <v>112</v>
      </c>
      <c r="M764" s="1">
        <v>1</v>
      </c>
      <c r="N764" s="1" t="s">
        <v>149</v>
      </c>
      <c r="O764" s="1" t="s">
        <v>113</v>
      </c>
      <c r="R764" t="b">
        <f>IF(COUNTBLANK(Master_Reference[[#This Row],[C-Flex 3000K Eco Part Number]:[C-Flex 4000K Eco Part Number]])=3,FALSE,TRUE)</f>
        <v>1</v>
      </c>
      <c r="S764" t="b">
        <f>IF(COUNTBLANK(Master_Reference[[#This Row],[C-Flex 3000K 3W Part Number]:[C-Flex 4000K 3W Part Number]])=3,FALSE,TRUE)</f>
        <v>1</v>
      </c>
      <c r="T764" t="b">
        <f>IF(COUNTBLANK(Master_Reference[[#This Row],[Lutron 3000K Eco Part Number]:[Lutron 4000K Eco Part Number]])=3,FALSE,TRUE)</f>
        <v>1</v>
      </c>
      <c r="U764" t="b">
        <f>IF(COUNTBLANK(Master_Reference[[#This Row],[Lutron 3000K 3W Part Number]:[Lutron 4000K 3W Part Number]])=3,FALSE,TRUE)</f>
        <v>1</v>
      </c>
      <c r="V764" s="12" t="s">
        <v>355</v>
      </c>
      <c r="W764" s="12" t="s">
        <v>356</v>
      </c>
      <c r="X764" s="12" t="s">
        <v>357</v>
      </c>
      <c r="Y764" t="s">
        <v>1721</v>
      </c>
      <c r="Z764" s="12" t="s">
        <v>358</v>
      </c>
      <c r="AA764" s="12" t="s">
        <v>359</v>
      </c>
      <c r="AB764" s="12" t="s">
        <v>360</v>
      </c>
      <c r="AC764" t="s">
        <v>1809</v>
      </c>
      <c r="AD764" t="str">
        <f>SUBSTITUTE(Master_Reference[[#This Row],[C-Flex 4000K Eco Part Number]],"40-","xx-")</f>
        <v>RP-T5HO-2FT-1L-8xx-E1-M-G2</v>
      </c>
      <c r="AE764" t="str">
        <f>SUBSTITUTE(Master_Reference[[#This Row],[C-Flex 4000K 3W Part Number]],"40-","xx-")</f>
        <v>RP-T5HO-2FT-1L-8xx-3W-M-G2</v>
      </c>
      <c r="AF764" s="1" t="str">
        <f>_xlfn.IFNA(VLOOKUP(Master_Reference[[#This Row],[C-Flex 3000K Eco Part Number]],Lutron_CFlex_Lookup[],MATCH("Lutron Kit PN",Lutron_CFlex_Lookup[#Headers],0),FALSE),"")</f>
        <v>ELD2T5H-1M30-q</v>
      </c>
      <c r="AG764" s="1" t="str">
        <f>_xlfn.IFNA(VLOOKUP(Master_Reference[[#This Row],[C-Flex 3500K Eco Part Number]],Lutron_CFlex_Lookup[],MATCH("Lutron Kit PN",Lutron_CFlex_Lookup[#Headers],0),FALSE),"")</f>
        <v>ELD2T5H-1M35-q</v>
      </c>
      <c r="AH764" s="1" t="str">
        <f>_xlfn.IFNA(VLOOKUP(Master_Reference[[#This Row],[C-Flex 4000K Eco Part Number]],Lutron_CFlex_Lookup[],MATCH("Lutron Kit PN",Lutron_CFlex_Lookup[#Headers],0),FALSE),"")</f>
        <v>ELD2T5H-1M40-q</v>
      </c>
      <c r="AI764" s="1" t="str">
        <f>_xlfn.IFNA(VLOOKUP(Master_Reference[[#This Row],[C-Flex 5000K Eco Part Number]],Lutron_CFlex_Lookup[],MATCH("Lutron Kit PN",Lutron_CFlex_Lookup[#Headers],0),FALSE),"")</f>
        <v>ELD2T5H-1M50-q</v>
      </c>
      <c r="AJ764" s="1" t="str">
        <f>_xlfn.IFNA(VLOOKUP(Master_Reference[[#This Row],[C-Flex 3000K 3W Part Number]],Lutron_CFlex_Lookup[],MATCH("Lutron Kit PN",Lutron_CFlex_Lookup[#Headers],0),FALSE),"")</f>
        <v>3LD2T5H-1M30-q</v>
      </c>
      <c r="AK764" s="1" t="str">
        <f>_xlfn.IFNA(VLOOKUP(Master_Reference[[#This Row],[C-Flex 3500K 3W Part Number]],Lutron_CFlex_Lookup[],MATCH("Lutron Kit PN",Lutron_CFlex_Lookup[#Headers],0),FALSE),"")</f>
        <v>3LD2T5H-1M35-q</v>
      </c>
      <c r="AL764" s="1" t="str">
        <f>_xlfn.IFNA(VLOOKUP(Master_Reference[[#This Row],[C-Flex 4000K 3W Part Number]],Lutron_CFlex_Lookup[],MATCH("Lutron Kit PN",Lutron_CFlex_Lookup[#Headers],0),FALSE),"")</f>
        <v>3LD2T5H-1M40-q</v>
      </c>
      <c r="AM764" s="1" t="str">
        <f>_xlfn.IFNA(VLOOKUP(Master_Reference[[#This Row],[C-Flex 5000K 3W Part Number]],Lutron_CFlex_Lookup[],MATCH("Lutron Kit PN",Lutron_CFlex_Lookup[#Headers],0),FALSE),"")</f>
        <v>3LD2T5H-1M50-q</v>
      </c>
      <c r="AN764" s="1" t="b">
        <f>NOT(ISNA(VLOOKUP(Master_Reference[[#This Row],[Model Number]],ObsoleteModels[],1,FALSE)))</f>
        <v>1</v>
      </c>
      <c r="AO764" s="1" t="str">
        <f>IF(LEFT(Master_Reference[[#This Row],[Model Number]],1)="U",LEFT(Master_Reference[[#This Row],[Model Number]],4),LEFT(Master_Reference[[#This Row],[Model Number]],3))</f>
        <v>H3D</v>
      </c>
    </row>
    <row r="765" spans="1:41" x14ac:dyDescent="0.25">
      <c r="A765" s="2" t="s">
        <v>1066</v>
      </c>
      <c r="B765" s="1" t="b">
        <v>1</v>
      </c>
      <c r="C765" s="1" t="b">
        <v>1</v>
      </c>
      <c r="G765" s="1" t="str">
        <f>IF(OR(LEFT(RIGHT(Master_Reference[[#This Row],[Model Number]],3),1)="C",LEFT(RIGHT(Master_Reference[[#This Row],[Model Number]],4),1)="C"),TRUE,"")</f>
        <v/>
      </c>
      <c r="H765" s="1" t="str">
        <f>IF(LEFT(Master_Reference[[#This Row],[Model Number]],1)="U",TRUE,"")</f>
        <v/>
      </c>
      <c r="I765" s="1" t="b">
        <f>IF(Master_Reference[[#This Row],[Lamp Type]]="T4","",IF(Master_Reference[[#This Row],[Case Type]]="M","",TRUE))</f>
        <v>1</v>
      </c>
      <c r="J765" s="1" t="s">
        <v>297</v>
      </c>
      <c r="K765" s="1">
        <v>24</v>
      </c>
      <c r="L765" s="1" t="s">
        <v>112</v>
      </c>
      <c r="M765" s="1">
        <v>2</v>
      </c>
      <c r="N765" s="1" t="s">
        <v>149</v>
      </c>
      <c r="O765" s="1" t="s">
        <v>113</v>
      </c>
      <c r="R765" t="b">
        <f>IF(COUNTBLANK(Master_Reference[[#This Row],[C-Flex 3000K Eco Part Number]:[C-Flex 4000K Eco Part Number]])=3,FALSE,TRUE)</f>
        <v>1</v>
      </c>
      <c r="S765" t="b">
        <f>IF(COUNTBLANK(Master_Reference[[#This Row],[C-Flex 3000K 3W Part Number]:[C-Flex 4000K 3W Part Number]])=3,FALSE,TRUE)</f>
        <v>1</v>
      </c>
      <c r="T765" t="b">
        <f>IF(COUNTBLANK(Master_Reference[[#This Row],[Lutron 3000K Eco Part Number]:[Lutron 4000K Eco Part Number]])=3,FALSE,TRUE)</f>
        <v>1</v>
      </c>
      <c r="U765" t="b">
        <f>IF(COUNTBLANK(Master_Reference[[#This Row],[Lutron 3000K 3W Part Number]:[Lutron 4000K 3W Part Number]])=3,FALSE,TRUE)</f>
        <v>1</v>
      </c>
      <c r="V765" s="12" t="s">
        <v>362</v>
      </c>
      <c r="W765" s="12" t="s">
        <v>363</v>
      </c>
      <c r="X765" s="12" t="s">
        <v>364</v>
      </c>
      <c r="Y765" t="s">
        <v>1722</v>
      </c>
      <c r="Z765" s="12" t="s">
        <v>365</v>
      </c>
      <c r="AA765" s="12" t="s">
        <v>366</v>
      </c>
      <c r="AB765" s="12" t="s">
        <v>367</v>
      </c>
      <c r="AC765" t="s">
        <v>1810</v>
      </c>
      <c r="AD765" t="str">
        <f>SUBSTITUTE(Master_Reference[[#This Row],[C-Flex 4000K Eco Part Number]],"40-","xx-")</f>
        <v>RP-T5HO-2FT-2L-8xx-E1-M-G2</v>
      </c>
      <c r="AE765" t="str">
        <f>SUBSTITUTE(Master_Reference[[#This Row],[C-Flex 4000K 3W Part Number]],"40-","xx-")</f>
        <v>RP-T5HO-2FT-2L-8xx-3W-M-G2</v>
      </c>
      <c r="AF765" s="1" t="str">
        <f>_xlfn.IFNA(VLOOKUP(Master_Reference[[#This Row],[C-Flex 3000K Eco Part Number]],Lutron_CFlex_Lookup[],MATCH("Lutron Kit PN",Lutron_CFlex_Lookup[#Headers],0),FALSE),"")</f>
        <v>ELD2T5H-2M30-q</v>
      </c>
      <c r="AG765" s="1" t="str">
        <f>_xlfn.IFNA(VLOOKUP(Master_Reference[[#This Row],[C-Flex 3500K Eco Part Number]],Lutron_CFlex_Lookup[],MATCH("Lutron Kit PN",Lutron_CFlex_Lookup[#Headers],0),FALSE),"")</f>
        <v>ELD2T5H-2M35-q</v>
      </c>
      <c r="AH765" s="1" t="str">
        <f>_xlfn.IFNA(VLOOKUP(Master_Reference[[#This Row],[C-Flex 4000K Eco Part Number]],Lutron_CFlex_Lookup[],MATCH("Lutron Kit PN",Lutron_CFlex_Lookup[#Headers],0),FALSE),"")</f>
        <v>ELD2T5H-2M40-q</v>
      </c>
      <c r="AI765" s="1" t="str">
        <f>_xlfn.IFNA(VLOOKUP(Master_Reference[[#This Row],[C-Flex 5000K Eco Part Number]],Lutron_CFlex_Lookup[],MATCH("Lutron Kit PN",Lutron_CFlex_Lookup[#Headers],0),FALSE),"")</f>
        <v>ELD2T5H-2M50-q</v>
      </c>
      <c r="AJ765" s="1" t="str">
        <f>_xlfn.IFNA(VLOOKUP(Master_Reference[[#This Row],[C-Flex 3000K 3W Part Number]],Lutron_CFlex_Lookup[],MATCH("Lutron Kit PN",Lutron_CFlex_Lookup[#Headers],0),FALSE),"")</f>
        <v>3LD2T5H-2M30-q</v>
      </c>
      <c r="AK765" s="1" t="str">
        <f>_xlfn.IFNA(VLOOKUP(Master_Reference[[#This Row],[C-Flex 3500K 3W Part Number]],Lutron_CFlex_Lookup[],MATCH("Lutron Kit PN",Lutron_CFlex_Lookup[#Headers],0),FALSE),"")</f>
        <v>3LD2T5H-2M35-q</v>
      </c>
      <c r="AL765" s="1" t="str">
        <f>_xlfn.IFNA(VLOOKUP(Master_Reference[[#This Row],[C-Flex 4000K 3W Part Number]],Lutron_CFlex_Lookup[],MATCH("Lutron Kit PN",Lutron_CFlex_Lookup[#Headers],0),FALSE),"")</f>
        <v>3LD2T5H-2M40-q</v>
      </c>
      <c r="AM765" s="1" t="str">
        <f>_xlfn.IFNA(VLOOKUP(Master_Reference[[#This Row],[C-Flex 5000K 3W Part Number]],Lutron_CFlex_Lookup[],MATCH("Lutron Kit PN",Lutron_CFlex_Lookup[#Headers],0),FALSE),"")</f>
        <v>3LD2T5H-2M50-q</v>
      </c>
      <c r="AN765" s="1" t="b">
        <f>NOT(ISNA(VLOOKUP(Master_Reference[[#This Row],[Model Number]],ObsoleteModels[],1,FALSE)))</f>
        <v>1</v>
      </c>
      <c r="AO765" s="1" t="str">
        <f>IF(LEFT(Master_Reference[[#This Row],[Model Number]],1)="U",LEFT(Master_Reference[[#This Row],[Model Number]],4),LEFT(Master_Reference[[#This Row],[Model Number]],3))</f>
        <v>H3D</v>
      </c>
    </row>
    <row r="766" spans="1:41" x14ac:dyDescent="0.25">
      <c r="A766" s="2" t="s">
        <v>1067</v>
      </c>
      <c r="B766" s="1" t="b">
        <v>1</v>
      </c>
      <c r="C766" s="1" t="b">
        <v>1</v>
      </c>
      <c r="G766" s="1" t="str">
        <f>IF(OR(LEFT(RIGHT(Master_Reference[[#This Row],[Model Number]],3),1)="C",LEFT(RIGHT(Master_Reference[[#This Row],[Model Number]],4),1)="C"),TRUE,"")</f>
        <v/>
      </c>
      <c r="H766" s="1" t="str">
        <f>IF(LEFT(Master_Reference[[#This Row],[Model Number]],1)="U",TRUE,"")</f>
        <v/>
      </c>
      <c r="I766" s="1" t="b">
        <f>IF(Master_Reference[[#This Row],[Lamp Type]]="T4","",IF(Master_Reference[[#This Row],[Case Type]]="M","",TRUE))</f>
        <v>1</v>
      </c>
      <c r="J766" s="1" t="s">
        <v>297</v>
      </c>
      <c r="K766" s="1">
        <v>24</v>
      </c>
      <c r="L766" s="1" t="s">
        <v>112</v>
      </c>
      <c r="M766" s="1">
        <v>2</v>
      </c>
      <c r="N766" s="1" t="s">
        <v>149</v>
      </c>
      <c r="O766" s="1" t="s">
        <v>113</v>
      </c>
      <c r="Q766" s="1" t="s">
        <v>91</v>
      </c>
      <c r="R766" t="b">
        <f>IF(COUNTBLANK(Master_Reference[[#This Row],[C-Flex 3000K Eco Part Number]:[C-Flex 4000K Eco Part Number]])=3,FALSE,TRUE)</f>
        <v>0</v>
      </c>
      <c r="S766" t="b">
        <f>IF(COUNTBLANK(Master_Reference[[#This Row],[C-Flex 3000K 3W Part Number]:[C-Flex 4000K 3W Part Number]])=3,FALSE,TRUE)</f>
        <v>0</v>
      </c>
      <c r="T766" t="b">
        <f>IF(COUNTBLANK(Master_Reference[[#This Row],[Lutron 3000K Eco Part Number]:[Lutron 4000K Eco Part Number]])=3,FALSE,TRUE)</f>
        <v>0</v>
      </c>
      <c r="U766" t="b">
        <f>IF(COUNTBLANK(Master_Reference[[#This Row],[Lutron 3000K 3W Part Number]:[Lutron 4000K 3W Part Number]])=3,FALSE,TRUE)</f>
        <v>0</v>
      </c>
      <c r="V766" s="12"/>
      <c r="W766" s="12"/>
      <c r="X766" s="12"/>
      <c r="Y766" t="s">
        <v>2125</v>
      </c>
      <c r="Z766" s="12"/>
      <c r="AA766" s="12"/>
      <c r="AB766" s="12"/>
      <c r="AC766" t="s">
        <v>2125</v>
      </c>
      <c r="AD766" t="str">
        <f>SUBSTITUTE(Master_Reference[[#This Row],[C-Flex 4000K Eco Part Number]],"40-","xx-")</f>
        <v/>
      </c>
      <c r="AE766" t="str">
        <f>SUBSTITUTE(Master_Reference[[#This Row],[C-Flex 4000K 3W Part Number]],"40-","xx-")</f>
        <v/>
      </c>
      <c r="AF766" s="1" t="str">
        <f>_xlfn.IFNA(VLOOKUP(Master_Reference[[#This Row],[C-Flex 3000K Eco Part Number]],Lutron_CFlex_Lookup[],MATCH("Lutron Kit PN",Lutron_CFlex_Lookup[#Headers],0),FALSE),"")</f>
        <v/>
      </c>
      <c r="AG766" s="1" t="str">
        <f>_xlfn.IFNA(VLOOKUP(Master_Reference[[#This Row],[C-Flex 3500K Eco Part Number]],Lutron_CFlex_Lookup[],MATCH("Lutron Kit PN",Lutron_CFlex_Lookup[#Headers],0),FALSE),"")</f>
        <v/>
      </c>
      <c r="AH766" s="1" t="str">
        <f>_xlfn.IFNA(VLOOKUP(Master_Reference[[#This Row],[C-Flex 4000K Eco Part Number]],Lutron_CFlex_Lookup[],MATCH("Lutron Kit PN",Lutron_CFlex_Lookup[#Headers],0),FALSE),"")</f>
        <v/>
      </c>
      <c r="AI766" s="1" t="str">
        <f>_xlfn.IFNA(VLOOKUP(Master_Reference[[#This Row],[C-Flex 5000K Eco Part Number]],Lutron_CFlex_Lookup[],MATCH("Lutron Kit PN",Lutron_CFlex_Lookup[#Headers],0),FALSE),"")</f>
        <v/>
      </c>
      <c r="AJ766" s="1" t="str">
        <f>_xlfn.IFNA(VLOOKUP(Master_Reference[[#This Row],[C-Flex 3000K 3W Part Number]],Lutron_CFlex_Lookup[],MATCH("Lutron Kit PN",Lutron_CFlex_Lookup[#Headers],0),FALSE),"")</f>
        <v/>
      </c>
      <c r="AK766" s="1" t="str">
        <f>_xlfn.IFNA(VLOOKUP(Master_Reference[[#This Row],[C-Flex 3500K 3W Part Number]],Lutron_CFlex_Lookup[],MATCH("Lutron Kit PN",Lutron_CFlex_Lookup[#Headers],0),FALSE),"")</f>
        <v/>
      </c>
      <c r="AL766" s="1" t="str">
        <f>_xlfn.IFNA(VLOOKUP(Master_Reference[[#This Row],[C-Flex 4000K 3W Part Number]],Lutron_CFlex_Lookup[],MATCH("Lutron Kit PN",Lutron_CFlex_Lookup[#Headers],0),FALSE),"")</f>
        <v/>
      </c>
      <c r="AM766" s="1" t="str">
        <f>_xlfn.IFNA(VLOOKUP(Master_Reference[[#This Row],[C-Flex 5000K 3W Part Number]],Lutron_CFlex_Lookup[],MATCH("Lutron Kit PN",Lutron_CFlex_Lookup[#Headers],0),FALSE),"")</f>
        <v/>
      </c>
      <c r="AN766" s="1" t="b">
        <f>NOT(ISNA(VLOOKUP(Master_Reference[[#This Row],[Model Number]],ObsoleteModels[],1,FALSE)))</f>
        <v>1</v>
      </c>
      <c r="AO766" s="1" t="str">
        <f>IF(LEFT(Master_Reference[[#This Row],[Model Number]],1)="U",LEFT(Master_Reference[[#This Row],[Model Number]],4),LEFT(Master_Reference[[#This Row],[Model Number]],3))</f>
        <v>H3D</v>
      </c>
    </row>
    <row r="767" spans="1:41" x14ac:dyDescent="0.25">
      <c r="A767" s="2" t="s">
        <v>1068</v>
      </c>
      <c r="B767" s="1" t="b">
        <v>1</v>
      </c>
      <c r="C767" s="1" t="b">
        <v>1</v>
      </c>
      <c r="G767" s="1" t="b">
        <f>IF(OR(LEFT(RIGHT(Master_Reference[[#This Row],[Model Number]],3),1)="C",LEFT(RIGHT(Master_Reference[[#This Row],[Model Number]],4),1)="C"),TRUE,"")</f>
        <v>1</v>
      </c>
      <c r="H767" s="1" t="str">
        <f>IF(LEFT(Master_Reference[[#This Row],[Model Number]],1)="U",TRUE,"")</f>
        <v/>
      </c>
      <c r="I767" s="1" t="b">
        <f>IF(Master_Reference[[#This Row],[Lamp Type]]="T4","",IF(Master_Reference[[#This Row],[Case Type]]="M","",TRUE))</f>
        <v>1</v>
      </c>
      <c r="J767" s="1" t="s">
        <v>297</v>
      </c>
      <c r="K767" s="1">
        <v>24</v>
      </c>
      <c r="L767" s="1" t="s">
        <v>112</v>
      </c>
      <c r="M767" s="1">
        <v>2</v>
      </c>
      <c r="N767" s="1" t="s">
        <v>149</v>
      </c>
      <c r="O767" s="1" t="s">
        <v>113</v>
      </c>
      <c r="R767" t="b">
        <f>IF(COUNTBLANK(Master_Reference[[#This Row],[C-Flex 3000K Eco Part Number]:[C-Flex 4000K Eco Part Number]])=3,FALSE,TRUE)</f>
        <v>1</v>
      </c>
      <c r="S767" t="b">
        <f>IF(COUNTBLANK(Master_Reference[[#This Row],[C-Flex 3000K 3W Part Number]:[C-Flex 4000K 3W Part Number]])=3,FALSE,TRUE)</f>
        <v>1</v>
      </c>
      <c r="T767" t="b">
        <f>IF(COUNTBLANK(Master_Reference[[#This Row],[Lutron 3000K Eco Part Number]:[Lutron 4000K Eco Part Number]])=3,FALSE,TRUE)</f>
        <v>1</v>
      </c>
      <c r="U767" t="b">
        <f>IF(COUNTBLANK(Master_Reference[[#This Row],[Lutron 3000K 3W Part Number]:[Lutron 4000K 3W Part Number]])=3,FALSE,TRUE)</f>
        <v>1</v>
      </c>
      <c r="V767" s="12" t="s">
        <v>362</v>
      </c>
      <c r="W767" s="12" t="s">
        <v>363</v>
      </c>
      <c r="X767" s="12" t="s">
        <v>364</v>
      </c>
      <c r="Y767" t="s">
        <v>1722</v>
      </c>
      <c r="Z767" s="12" t="s">
        <v>365</v>
      </c>
      <c r="AA767" s="12" t="s">
        <v>366</v>
      </c>
      <c r="AB767" s="12" t="s">
        <v>367</v>
      </c>
      <c r="AC767" t="s">
        <v>1810</v>
      </c>
      <c r="AD767" t="str">
        <f>SUBSTITUTE(Master_Reference[[#This Row],[C-Flex 4000K Eco Part Number]],"40-","xx-")</f>
        <v>RP-T5HO-2FT-2L-8xx-E1-M-G2</v>
      </c>
      <c r="AE767" t="str">
        <f>SUBSTITUTE(Master_Reference[[#This Row],[C-Flex 4000K 3W Part Number]],"40-","xx-")</f>
        <v>RP-T5HO-2FT-2L-8xx-3W-M-G2</v>
      </c>
      <c r="AF767" s="1" t="str">
        <f>_xlfn.IFNA(VLOOKUP(Master_Reference[[#This Row],[C-Flex 3000K Eco Part Number]],Lutron_CFlex_Lookup[],MATCH("Lutron Kit PN",Lutron_CFlex_Lookup[#Headers],0),FALSE),"")</f>
        <v>ELD2T5H-2M30-q</v>
      </c>
      <c r="AG767" s="1" t="str">
        <f>_xlfn.IFNA(VLOOKUP(Master_Reference[[#This Row],[C-Flex 3500K Eco Part Number]],Lutron_CFlex_Lookup[],MATCH("Lutron Kit PN",Lutron_CFlex_Lookup[#Headers],0),FALSE),"")</f>
        <v>ELD2T5H-2M35-q</v>
      </c>
      <c r="AH767" s="1" t="str">
        <f>_xlfn.IFNA(VLOOKUP(Master_Reference[[#This Row],[C-Flex 4000K Eco Part Number]],Lutron_CFlex_Lookup[],MATCH("Lutron Kit PN",Lutron_CFlex_Lookup[#Headers],0),FALSE),"")</f>
        <v>ELD2T5H-2M40-q</v>
      </c>
      <c r="AI767" s="1" t="str">
        <f>_xlfn.IFNA(VLOOKUP(Master_Reference[[#This Row],[C-Flex 5000K Eco Part Number]],Lutron_CFlex_Lookup[],MATCH("Lutron Kit PN",Lutron_CFlex_Lookup[#Headers],0),FALSE),"")</f>
        <v>ELD2T5H-2M50-q</v>
      </c>
      <c r="AJ767" s="1" t="str">
        <f>_xlfn.IFNA(VLOOKUP(Master_Reference[[#This Row],[C-Flex 3000K 3W Part Number]],Lutron_CFlex_Lookup[],MATCH("Lutron Kit PN",Lutron_CFlex_Lookup[#Headers],0),FALSE),"")</f>
        <v>3LD2T5H-2M30-q</v>
      </c>
      <c r="AK767" s="1" t="str">
        <f>_xlfn.IFNA(VLOOKUP(Master_Reference[[#This Row],[C-Flex 3500K 3W Part Number]],Lutron_CFlex_Lookup[],MATCH("Lutron Kit PN",Lutron_CFlex_Lookup[#Headers],0),FALSE),"")</f>
        <v>3LD2T5H-2M35-q</v>
      </c>
      <c r="AL767" s="1" t="str">
        <f>_xlfn.IFNA(VLOOKUP(Master_Reference[[#This Row],[C-Flex 4000K 3W Part Number]],Lutron_CFlex_Lookup[],MATCH("Lutron Kit PN",Lutron_CFlex_Lookup[#Headers],0),FALSE),"")</f>
        <v>3LD2T5H-2M40-q</v>
      </c>
      <c r="AM767" s="1" t="str">
        <f>_xlfn.IFNA(VLOOKUP(Master_Reference[[#This Row],[C-Flex 5000K 3W Part Number]],Lutron_CFlex_Lookup[],MATCH("Lutron Kit PN",Lutron_CFlex_Lookup[#Headers],0),FALSE),"")</f>
        <v>3LD2T5H-2M50-q</v>
      </c>
      <c r="AN767" s="1" t="b">
        <f>NOT(ISNA(VLOOKUP(Master_Reference[[#This Row],[Model Number]],ObsoleteModels[],1,FALSE)))</f>
        <v>1</v>
      </c>
      <c r="AO767" s="1" t="str">
        <f>IF(LEFT(Master_Reference[[#This Row],[Model Number]],1)="U",LEFT(Master_Reference[[#This Row],[Model Number]],4),LEFT(Master_Reference[[#This Row],[Model Number]],3))</f>
        <v>H3D</v>
      </c>
    </row>
    <row r="768" spans="1:41" x14ac:dyDescent="0.25">
      <c r="A768" s="2" t="s">
        <v>1069</v>
      </c>
      <c r="B768" s="1" t="b">
        <v>1</v>
      </c>
      <c r="C768" s="1" t="b">
        <v>1</v>
      </c>
      <c r="G768" s="1" t="b">
        <f>IF(OR(LEFT(RIGHT(Master_Reference[[#This Row],[Model Number]],3),1)="C",LEFT(RIGHT(Master_Reference[[#This Row],[Model Number]],4),1)="C"),TRUE,"")</f>
        <v>1</v>
      </c>
      <c r="H768" s="1" t="str">
        <f>IF(LEFT(Master_Reference[[#This Row],[Model Number]],1)="U",TRUE,"")</f>
        <v/>
      </c>
      <c r="I768" s="1" t="b">
        <f>IF(Master_Reference[[#This Row],[Lamp Type]]="T4","",IF(Master_Reference[[#This Row],[Case Type]]="M","",TRUE))</f>
        <v>1</v>
      </c>
      <c r="J768" s="1" t="s">
        <v>297</v>
      </c>
      <c r="K768" s="1">
        <v>24</v>
      </c>
      <c r="L768" s="1" t="s">
        <v>112</v>
      </c>
      <c r="M768" s="1">
        <v>2</v>
      </c>
      <c r="N768" s="1" t="s">
        <v>149</v>
      </c>
      <c r="O768" s="1" t="s">
        <v>113</v>
      </c>
      <c r="R768" t="b">
        <f>IF(COUNTBLANK(Master_Reference[[#This Row],[C-Flex 3000K Eco Part Number]:[C-Flex 4000K Eco Part Number]])=3,FALSE,TRUE)</f>
        <v>1</v>
      </c>
      <c r="S768" t="b">
        <f>IF(COUNTBLANK(Master_Reference[[#This Row],[C-Flex 3000K 3W Part Number]:[C-Flex 4000K 3W Part Number]])=3,FALSE,TRUE)</f>
        <v>1</v>
      </c>
      <c r="T768" t="b">
        <f>IF(COUNTBLANK(Master_Reference[[#This Row],[Lutron 3000K Eco Part Number]:[Lutron 4000K Eco Part Number]])=3,FALSE,TRUE)</f>
        <v>1</v>
      </c>
      <c r="U768" t="b">
        <f>IF(COUNTBLANK(Master_Reference[[#This Row],[Lutron 3000K 3W Part Number]:[Lutron 4000K 3W Part Number]])=3,FALSE,TRUE)</f>
        <v>1</v>
      </c>
      <c r="V768" s="12" t="s">
        <v>362</v>
      </c>
      <c r="W768" s="12" t="s">
        <v>363</v>
      </c>
      <c r="X768" s="12" t="s">
        <v>364</v>
      </c>
      <c r="Y768" t="s">
        <v>1722</v>
      </c>
      <c r="Z768" s="12" t="s">
        <v>365</v>
      </c>
      <c r="AA768" s="12" t="s">
        <v>366</v>
      </c>
      <c r="AB768" s="12" t="s">
        <v>367</v>
      </c>
      <c r="AC768" t="s">
        <v>1810</v>
      </c>
      <c r="AD768" t="str">
        <f>SUBSTITUTE(Master_Reference[[#This Row],[C-Flex 4000K Eco Part Number]],"40-","xx-")</f>
        <v>RP-T5HO-2FT-2L-8xx-E1-M-G2</v>
      </c>
      <c r="AE768" t="str">
        <f>SUBSTITUTE(Master_Reference[[#This Row],[C-Flex 4000K 3W Part Number]],"40-","xx-")</f>
        <v>RP-T5HO-2FT-2L-8xx-3W-M-G2</v>
      </c>
      <c r="AF768" s="1" t="str">
        <f>_xlfn.IFNA(VLOOKUP(Master_Reference[[#This Row],[C-Flex 3000K Eco Part Number]],Lutron_CFlex_Lookup[],MATCH("Lutron Kit PN",Lutron_CFlex_Lookup[#Headers],0),FALSE),"")</f>
        <v>ELD2T5H-2M30-q</v>
      </c>
      <c r="AG768" s="1" t="str">
        <f>_xlfn.IFNA(VLOOKUP(Master_Reference[[#This Row],[C-Flex 3500K Eco Part Number]],Lutron_CFlex_Lookup[],MATCH("Lutron Kit PN",Lutron_CFlex_Lookup[#Headers],0),FALSE),"")</f>
        <v>ELD2T5H-2M35-q</v>
      </c>
      <c r="AH768" s="1" t="str">
        <f>_xlfn.IFNA(VLOOKUP(Master_Reference[[#This Row],[C-Flex 4000K Eco Part Number]],Lutron_CFlex_Lookup[],MATCH("Lutron Kit PN",Lutron_CFlex_Lookup[#Headers],0),FALSE),"")</f>
        <v>ELD2T5H-2M40-q</v>
      </c>
      <c r="AI768" s="1" t="str">
        <f>_xlfn.IFNA(VLOOKUP(Master_Reference[[#This Row],[C-Flex 5000K Eco Part Number]],Lutron_CFlex_Lookup[],MATCH("Lutron Kit PN",Lutron_CFlex_Lookup[#Headers],0),FALSE),"")</f>
        <v>ELD2T5H-2M50-q</v>
      </c>
      <c r="AJ768" s="1" t="str">
        <f>_xlfn.IFNA(VLOOKUP(Master_Reference[[#This Row],[C-Flex 3000K 3W Part Number]],Lutron_CFlex_Lookup[],MATCH("Lutron Kit PN",Lutron_CFlex_Lookup[#Headers],0),FALSE),"")</f>
        <v>3LD2T5H-2M30-q</v>
      </c>
      <c r="AK768" s="1" t="str">
        <f>_xlfn.IFNA(VLOOKUP(Master_Reference[[#This Row],[C-Flex 3500K 3W Part Number]],Lutron_CFlex_Lookup[],MATCH("Lutron Kit PN",Lutron_CFlex_Lookup[#Headers],0),FALSE),"")</f>
        <v>3LD2T5H-2M35-q</v>
      </c>
      <c r="AL768" s="1" t="str">
        <f>_xlfn.IFNA(VLOOKUP(Master_Reference[[#This Row],[C-Flex 4000K 3W Part Number]],Lutron_CFlex_Lookup[],MATCH("Lutron Kit PN",Lutron_CFlex_Lookup[#Headers],0),FALSE),"")</f>
        <v>3LD2T5H-2M40-q</v>
      </c>
      <c r="AM768" s="1" t="str">
        <f>_xlfn.IFNA(VLOOKUP(Master_Reference[[#This Row],[C-Flex 5000K 3W Part Number]],Lutron_CFlex_Lookup[],MATCH("Lutron Kit PN",Lutron_CFlex_Lookup[#Headers],0),FALSE),"")</f>
        <v>3LD2T5H-2M50-q</v>
      </c>
      <c r="AN768" s="1" t="b">
        <f>NOT(ISNA(VLOOKUP(Master_Reference[[#This Row],[Model Number]],ObsoleteModels[],1,FALSE)))</f>
        <v>1</v>
      </c>
      <c r="AO768" s="1" t="str">
        <f>IF(LEFT(Master_Reference[[#This Row],[Model Number]],1)="U",LEFT(Master_Reference[[#This Row],[Model Number]],4),LEFT(Master_Reference[[#This Row],[Model Number]],3))</f>
        <v>H3D</v>
      </c>
    </row>
    <row r="769" spans="1:41" x14ac:dyDescent="0.25">
      <c r="A769" s="2" t="s">
        <v>1070</v>
      </c>
      <c r="B769" s="1" t="b">
        <v>1</v>
      </c>
      <c r="C769" s="1" t="b">
        <v>1</v>
      </c>
      <c r="G769" s="1" t="str">
        <f>IF(OR(LEFT(RIGHT(Master_Reference[[#This Row],[Model Number]],3),1)="C",LEFT(RIGHT(Master_Reference[[#This Row],[Model Number]],4),1)="C"),TRUE,"")</f>
        <v/>
      </c>
      <c r="H769" s="1" t="str">
        <f>IF(LEFT(Master_Reference[[#This Row],[Model Number]],1)="U",TRUE,"")</f>
        <v/>
      </c>
      <c r="I769" s="1" t="b">
        <f>IF(Master_Reference[[#This Row],[Lamp Type]]="T4","",IF(Master_Reference[[#This Row],[Case Type]]="M","",TRUE))</f>
        <v>1</v>
      </c>
      <c r="J769" s="1" t="str">
        <f t="shared" ref="J769:J783" si="11">RIGHT(LEFT((A769),5),2)</f>
        <v>T5</v>
      </c>
      <c r="K769" s="1">
        <v>28</v>
      </c>
      <c r="L769" s="1" t="s">
        <v>118</v>
      </c>
      <c r="M769" s="1">
        <v>1</v>
      </c>
      <c r="N769" s="1" t="s">
        <v>149</v>
      </c>
      <c r="O769" s="1" t="s">
        <v>113</v>
      </c>
      <c r="R769" t="b">
        <f>IF(COUNTBLANK(Master_Reference[[#This Row],[C-Flex 3000K Eco Part Number]:[C-Flex 4000K Eco Part Number]])=3,FALSE,TRUE)</f>
        <v>1</v>
      </c>
      <c r="S769" t="b">
        <f>IF(COUNTBLANK(Master_Reference[[#This Row],[C-Flex 3000K 3W Part Number]:[C-Flex 4000K 3W Part Number]])=3,FALSE,TRUE)</f>
        <v>1</v>
      </c>
      <c r="T769" t="b">
        <f>IF(COUNTBLANK(Master_Reference[[#This Row],[Lutron 3000K Eco Part Number]:[Lutron 4000K Eco Part Number]])=3,FALSE,TRUE)</f>
        <v>1</v>
      </c>
      <c r="U769" t="b">
        <f>IF(COUNTBLANK(Master_Reference[[#This Row],[Lutron 3000K 3W Part Number]:[Lutron 4000K 3W Part Number]])=3,FALSE,TRUE)</f>
        <v>1</v>
      </c>
      <c r="V769" s="12" t="s">
        <v>283</v>
      </c>
      <c r="W769" s="12" t="s">
        <v>284</v>
      </c>
      <c r="X769" s="12" t="s">
        <v>285</v>
      </c>
      <c r="Y769" t="s">
        <v>1719</v>
      </c>
      <c r="Z769" s="12" t="s">
        <v>286</v>
      </c>
      <c r="AA769" s="12" t="s">
        <v>287</v>
      </c>
      <c r="AB769" s="12" t="s">
        <v>288</v>
      </c>
      <c r="AC769" t="s">
        <v>1807</v>
      </c>
      <c r="AD769" t="str">
        <f>SUBSTITUTE(Master_Reference[[#This Row],[C-Flex 4000K Eco Part Number]],"40-","xx-")</f>
        <v>RP-T5-4FT-1L-8xx-E1-M-G2</v>
      </c>
      <c r="AE769" t="str">
        <f>SUBSTITUTE(Master_Reference[[#This Row],[C-Flex 4000K 3W Part Number]],"40-","xx-")</f>
        <v>RP-T5-4FT-1L-8xx-3W-M-G2</v>
      </c>
      <c r="AF769" s="1" t="str">
        <f>_xlfn.IFNA(VLOOKUP(Master_Reference[[#This Row],[C-Flex 3000K Eco Part Number]],Lutron_CFlex_Lookup[],MATCH("Lutron Kit PN",Lutron_CFlex_Lookup[#Headers],0),FALSE),"")</f>
        <v>ELD4T5-1M30-q</v>
      </c>
      <c r="AG769" s="1" t="str">
        <f>_xlfn.IFNA(VLOOKUP(Master_Reference[[#This Row],[C-Flex 3500K Eco Part Number]],Lutron_CFlex_Lookup[],MATCH("Lutron Kit PN",Lutron_CFlex_Lookup[#Headers],0),FALSE),"")</f>
        <v>ELD4T5-1M35-q</v>
      </c>
      <c r="AH769" s="1" t="str">
        <f>_xlfn.IFNA(VLOOKUP(Master_Reference[[#This Row],[C-Flex 4000K Eco Part Number]],Lutron_CFlex_Lookup[],MATCH("Lutron Kit PN",Lutron_CFlex_Lookup[#Headers],0),FALSE),"")</f>
        <v>ELD4T5-1M40-q</v>
      </c>
      <c r="AI769" s="1" t="str">
        <f>_xlfn.IFNA(VLOOKUP(Master_Reference[[#This Row],[C-Flex 5000K Eco Part Number]],Lutron_CFlex_Lookup[],MATCH("Lutron Kit PN",Lutron_CFlex_Lookup[#Headers],0),FALSE),"")</f>
        <v>ELD4T5-1M50-q</v>
      </c>
      <c r="AJ769" s="1" t="str">
        <f>_xlfn.IFNA(VLOOKUP(Master_Reference[[#This Row],[C-Flex 3000K 3W Part Number]],Lutron_CFlex_Lookup[],MATCH("Lutron Kit PN",Lutron_CFlex_Lookup[#Headers],0),FALSE),"")</f>
        <v>3LD4T5-1M30-q</v>
      </c>
      <c r="AK769" s="1" t="str">
        <f>_xlfn.IFNA(VLOOKUP(Master_Reference[[#This Row],[C-Flex 3500K 3W Part Number]],Lutron_CFlex_Lookup[],MATCH("Lutron Kit PN",Lutron_CFlex_Lookup[#Headers],0),FALSE),"")</f>
        <v>3LD4T5-1M35-q</v>
      </c>
      <c r="AL769" s="1" t="str">
        <f>_xlfn.IFNA(VLOOKUP(Master_Reference[[#This Row],[C-Flex 4000K 3W Part Number]],Lutron_CFlex_Lookup[],MATCH("Lutron Kit PN",Lutron_CFlex_Lookup[#Headers],0),FALSE),"")</f>
        <v>3LD4T5-1M40-q</v>
      </c>
      <c r="AM769" s="1" t="str">
        <f>_xlfn.IFNA(VLOOKUP(Master_Reference[[#This Row],[C-Flex 5000K 3W Part Number]],Lutron_CFlex_Lookup[],MATCH("Lutron Kit PN",Lutron_CFlex_Lookup[#Headers],0),FALSE),"")</f>
        <v>3LD4T5-1M50-q</v>
      </c>
      <c r="AN769" s="1" t="b">
        <f>NOT(ISNA(VLOOKUP(Master_Reference[[#This Row],[Model Number]],ObsoleteModels[],1,FALSE)))</f>
        <v>1</v>
      </c>
      <c r="AO769" s="1" t="str">
        <f>IF(LEFT(Master_Reference[[#This Row],[Model Number]],1)="U",LEFT(Master_Reference[[#This Row],[Model Number]],4),LEFT(Master_Reference[[#This Row],[Model Number]],3))</f>
        <v>H3D</v>
      </c>
    </row>
    <row r="770" spans="1:41" x14ac:dyDescent="0.25">
      <c r="A770" s="2" t="s">
        <v>1071</v>
      </c>
      <c r="B770" s="1" t="b">
        <v>1</v>
      </c>
      <c r="C770" s="1" t="b">
        <v>1</v>
      </c>
      <c r="G770" s="1" t="str">
        <f>IF(OR(LEFT(RIGHT(Master_Reference[[#This Row],[Model Number]],3),1)="C",LEFT(RIGHT(Master_Reference[[#This Row],[Model Number]],4),1)="C"),TRUE,"")</f>
        <v/>
      </c>
      <c r="H770" s="1" t="str">
        <f>IF(LEFT(Master_Reference[[#This Row],[Model Number]],1)="U",TRUE,"")</f>
        <v/>
      </c>
      <c r="I770" s="1" t="b">
        <f>IF(Master_Reference[[#This Row],[Lamp Type]]="T4","",IF(Master_Reference[[#This Row],[Case Type]]="M","",TRUE))</f>
        <v>1</v>
      </c>
      <c r="J770" s="1" t="str">
        <f t="shared" si="11"/>
        <v>T5</v>
      </c>
      <c r="K770" s="1">
        <v>28</v>
      </c>
      <c r="L770" s="1" t="s">
        <v>118</v>
      </c>
      <c r="M770" s="1">
        <v>1</v>
      </c>
      <c r="N770" s="1" t="s">
        <v>149</v>
      </c>
      <c r="O770" s="1" t="s">
        <v>113</v>
      </c>
      <c r="Q770" s="1" t="s">
        <v>91</v>
      </c>
      <c r="R770" t="b">
        <f>IF(COUNTBLANK(Master_Reference[[#This Row],[C-Flex 3000K Eco Part Number]:[C-Flex 4000K Eco Part Number]])=3,FALSE,TRUE)</f>
        <v>0</v>
      </c>
      <c r="S770" t="b">
        <f>IF(COUNTBLANK(Master_Reference[[#This Row],[C-Flex 3000K 3W Part Number]:[C-Flex 4000K 3W Part Number]])=3,FALSE,TRUE)</f>
        <v>0</v>
      </c>
      <c r="T770" t="b">
        <f>IF(COUNTBLANK(Master_Reference[[#This Row],[Lutron 3000K Eco Part Number]:[Lutron 4000K Eco Part Number]])=3,FALSE,TRUE)</f>
        <v>0</v>
      </c>
      <c r="U770" t="b">
        <f>IF(COUNTBLANK(Master_Reference[[#This Row],[Lutron 3000K 3W Part Number]:[Lutron 4000K 3W Part Number]])=3,FALSE,TRUE)</f>
        <v>0</v>
      </c>
      <c r="V770" s="12"/>
      <c r="W770" s="12"/>
      <c r="X770" s="12"/>
      <c r="Y770" t="s">
        <v>2125</v>
      </c>
      <c r="Z770" s="12"/>
      <c r="AA770" s="12"/>
      <c r="AB770" s="12"/>
      <c r="AC770" t="s">
        <v>2125</v>
      </c>
      <c r="AD770" t="str">
        <f>SUBSTITUTE(Master_Reference[[#This Row],[C-Flex 4000K Eco Part Number]],"40-","xx-")</f>
        <v/>
      </c>
      <c r="AE770" t="str">
        <f>SUBSTITUTE(Master_Reference[[#This Row],[C-Flex 4000K 3W Part Number]],"40-","xx-")</f>
        <v/>
      </c>
      <c r="AF770" s="1" t="str">
        <f>_xlfn.IFNA(VLOOKUP(Master_Reference[[#This Row],[C-Flex 3000K Eco Part Number]],Lutron_CFlex_Lookup[],MATCH("Lutron Kit PN",Lutron_CFlex_Lookup[#Headers],0),FALSE),"")</f>
        <v/>
      </c>
      <c r="AG770" s="1" t="str">
        <f>_xlfn.IFNA(VLOOKUP(Master_Reference[[#This Row],[C-Flex 3500K Eco Part Number]],Lutron_CFlex_Lookup[],MATCH("Lutron Kit PN",Lutron_CFlex_Lookup[#Headers],0),FALSE),"")</f>
        <v/>
      </c>
      <c r="AH770" s="1" t="str">
        <f>_xlfn.IFNA(VLOOKUP(Master_Reference[[#This Row],[C-Flex 4000K Eco Part Number]],Lutron_CFlex_Lookup[],MATCH("Lutron Kit PN",Lutron_CFlex_Lookup[#Headers],0),FALSE),"")</f>
        <v/>
      </c>
      <c r="AI770" s="1" t="str">
        <f>_xlfn.IFNA(VLOOKUP(Master_Reference[[#This Row],[C-Flex 5000K Eco Part Number]],Lutron_CFlex_Lookup[],MATCH("Lutron Kit PN",Lutron_CFlex_Lookup[#Headers],0),FALSE),"")</f>
        <v/>
      </c>
      <c r="AJ770" s="1" t="str">
        <f>_xlfn.IFNA(VLOOKUP(Master_Reference[[#This Row],[C-Flex 3000K 3W Part Number]],Lutron_CFlex_Lookup[],MATCH("Lutron Kit PN",Lutron_CFlex_Lookup[#Headers],0),FALSE),"")</f>
        <v/>
      </c>
      <c r="AK770" s="1" t="str">
        <f>_xlfn.IFNA(VLOOKUP(Master_Reference[[#This Row],[C-Flex 3500K 3W Part Number]],Lutron_CFlex_Lookup[],MATCH("Lutron Kit PN",Lutron_CFlex_Lookup[#Headers],0),FALSE),"")</f>
        <v/>
      </c>
      <c r="AL770" s="1" t="str">
        <f>_xlfn.IFNA(VLOOKUP(Master_Reference[[#This Row],[C-Flex 4000K 3W Part Number]],Lutron_CFlex_Lookup[],MATCH("Lutron Kit PN",Lutron_CFlex_Lookup[#Headers],0),FALSE),"")</f>
        <v/>
      </c>
      <c r="AM770" s="1" t="str">
        <f>_xlfn.IFNA(VLOOKUP(Master_Reference[[#This Row],[C-Flex 5000K 3W Part Number]],Lutron_CFlex_Lookup[],MATCH("Lutron Kit PN",Lutron_CFlex_Lookup[#Headers],0),FALSE),"")</f>
        <v/>
      </c>
      <c r="AN770" s="1" t="b">
        <f>NOT(ISNA(VLOOKUP(Master_Reference[[#This Row],[Model Number]],ObsoleteModels[],1,FALSE)))</f>
        <v>1</v>
      </c>
      <c r="AO770" s="1" t="str">
        <f>IF(LEFT(Master_Reference[[#This Row],[Model Number]],1)="U",LEFT(Master_Reference[[#This Row],[Model Number]],4),LEFT(Master_Reference[[#This Row],[Model Number]],3))</f>
        <v>H3D</v>
      </c>
    </row>
    <row r="771" spans="1:41" x14ac:dyDescent="0.25">
      <c r="A771" s="2" t="s">
        <v>1072</v>
      </c>
      <c r="B771" s="1" t="b">
        <v>1</v>
      </c>
      <c r="C771" s="1" t="b">
        <v>1</v>
      </c>
      <c r="G771" s="1" t="b">
        <f>IF(OR(LEFT(RIGHT(Master_Reference[[#This Row],[Model Number]],3),1)="C",LEFT(RIGHT(Master_Reference[[#This Row],[Model Number]],4),1)="C"),TRUE,"")</f>
        <v>1</v>
      </c>
      <c r="H771" s="1" t="str">
        <f>IF(LEFT(Master_Reference[[#This Row],[Model Number]],1)="U",TRUE,"")</f>
        <v/>
      </c>
      <c r="I771" s="1" t="b">
        <f>IF(Master_Reference[[#This Row],[Lamp Type]]="T4","",IF(Master_Reference[[#This Row],[Case Type]]="M","",TRUE))</f>
        <v>1</v>
      </c>
      <c r="J771" s="1" t="str">
        <f t="shared" si="11"/>
        <v>T5</v>
      </c>
      <c r="K771" s="1">
        <v>28</v>
      </c>
      <c r="L771" s="1" t="s">
        <v>118</v>
      </c>
      <c r="M771" s="1">
        <v>1</v>
      </c>
      <c r="N771" s="1" t="s">
        <v>149</v>
      </c>
      <c r="O771" s="1" t="s">
        <v>113</v>
      </c>
      <c r="R771" t="b">
        <f>IF(COUNTBLANK(Master_Reference[[#This Row],[C-Flex 3000K Eco Part Number]:[C-Flex 4000K Eco Part Number]])=3,FALSE,TRUE)</f>
        <v>1</v>
      </c>
      <c r="S771" t="b">
        <f>IF(COUNTBLANK(Master_Reference[[#This Row],[C-Flex 3000K 3W Part Number]:[C-Flex 4000K 3W Part Number]])=3,FALSE,TRUE)</f>
        <v>1</v>
      </c>
      <c r="T771" t="b">
        <f>IF(COUNTBLANK(Master_Reference[[#This Row],[Lutron 3000K Eco Part Number]:[Lutron 4000K Eco Part Number]])=3,FALSE,TRUE)</f>
        <v>1</v>
      </c>
      <c r="U771" t="b">
        <f>IF(COUNTBLANK(Master_Reference[[#This Row],[Lutron 3000K 3W Part Number]:[Lutron 4000K 3W Part Number]])=3,FALSE,TRUE)</f>
        <v>1</v>
      </c>
      <c r="V771" s="12" t="s">
        <v>283</v>
      </c>
      <c r="W771" s="12" t="s">
        <v>284</v>
      </c>
      <c r="X771" s="12" t="s">
        <v>285</v>
      </c>
      <c r="Y771" t="s">
        <v>1719</v>
      </c>
      <c r="Z771" s="12" t="s">
        <v>286</v>
      </c>
      <c r="AA771" s="12" t="s">
        <v>287</v>
      </c>
      <c r="AB771" s="12" t="s">
        <v>288</v>
      </c>
      <c r="AC771" t="s">
        <v>1807</v>
      </c>
      <c r="AD771" t="str">
        <f>SUBSTITUTE(Master_Reference[[#This Row],[C-Flex 4000K Eco Part Number]],"40-","xx-")</f>
        <v>RP-T5-4FT-1L-8xx-E1-M-G2</v>
      </c>
      <c r="AE771" t="str">
        <f>SUBSTITUTE(Master_Reference[[#This Row],[C-Flex 4000K 3W Part Number]],"40-","xx-")</f>
        <v>RP-T5-4FT-1L-8xx-3W-M-G2</v>
      </c>
      <c r="AF771" s="1" t="str">
        <f>_xlfn.IFNA(VLOOKUP(Master_Reference[[#This Row],[C-Flex 3000K Eco Part Number]],Lutron_CFlex_Lookup[],MATCH("Lutron Kit PN",Lutron_CFlex_Lookup[#Headers],0),FALSE),"")</f>
        <v>ELD4T5-1M30-q</v>
      </c>
      <c r="AG771" s="1" t="str">
        <f>_xlfn.IFNA(VLOOKUP(Master_Reference[[#This Row],[C-Flex 3500K Eco Part Number]],Lutron_CFlex_Lookup[],MATCH("Lutron Kit PN",Lutron_CFlex_Lookup[#Headers],0),FALSE),"")</f>
        <v>ELD4T5-1M35-q</v>
      </c>
      <c r="AH771" s="1" t="str">
        <f>_xlfn.IFNA(VLOOKUP(Master_Reference[[#This Row],[C-Flex 4000K Eco Part Number]],Lutron_CFlex_Lookup[],MATCH("Lutron Kit PN",Lutron_CFlex_Lookup[#Headers],0),FALSE),"")</f>
        <v>ELD4T5-1M40-q</v>
      </c>
      <c r="AI771" s="1" t="str">
        <f>_xlfn.IFNA(VLOOKUP(Master_Reference[[#This Row],[C-Flex 5000K Eco Part Number]],Lutron_CFlex_Lookup[],MATCH("Lutron Kit PN",Lutron_CFlex_Lookup[#Headers],0),FALSE),"")</f>
        <v>ELD4T5-1M50-q</v>
      </c>
      <c r="AJ771" s="1" t="str">
        <f>_xlfn.IFNA(VLOOKUP(Master_Reference[[#This Row],[C-Flex 3000K 3W Part Number]],Lutron_CFlex_Lookup[],MATCH("Lutron Kit PN",Lutron_CFlex_Lookup[#Headers],0),FALSE),"")</f>
        <v>3LD4T5-1M30-q</v>
      </c>
      <c r="AK771" s="1" t="str">
        <f>_xlfn.IFNA(VLOOKUP(Master_Reference[[#This Row],[C-Flex 3500K 3W Part Number]],Lutron_CFlex_Lookup[],MATCH("Lutron Kit PN",Lutron_CFlex_Lookup[#Headers],0),FALSE),"")</f>
        <v>3LD4T5-1M35-q</v>
      </c>
      <c r="AL771" s="1" t="str">
        <f>_xlfn.IFNA(VLOOKUP(Master_Reference[[#This Row],[C-Flex 4000K 3W Part Number]],Lutron_CFlex_Lookup[],MATCH("Lutron Kit PN",Lutron_CFlex_Lookup[#Headers],0),FALSE),"")</f>
        <v>3LD4T5-1M40-q</v>
      </c>
      <c r="AM771" s="1" t="str">
        <f>_xlfn.IFNA(VLOOKUP(Master_Reference[[#This Row],[C-Flex 5000K 3W Part Number]],Lutron_CFlex_Lookup[],MATCH("Lutron Kit PN",Lutron_CFlex_Lookup[#Headers],0),FALSE),"")</f>
        <v>3LD4T5-1M50-q</v>
      </c>
      <c r="AN771" s="1" t="b">
        <f>NOT(ISNA(VLOOKUP(Master_Reference[[#This Row],[Model Number]],ObsoleteModels[],1,FALSE)))</f>
        <v>1</v>
      </c>
      <c r="AO771" s="1" t="str">
        <f>IF(LEFT(Master_Reference[[#This Row],[Model Number]],1)="U",LEFT(Master_Reference[[#This Row],[Model Number]],4),LEFT(Master_Reference[[#This Row],[Model Number]],3))</f>
        <v>H3D</v>
      </c>
    </row>
    <row r="772" spans="1:41" x14ac:dyDescent="0.25">
      <c r="A772" s="2" t="s">
        <v>1073</v>
      </c>
      <c r="B772" s="1" t="b">
        <v>1</v>
      </c>
      <c r="C772" s="1" t="b">
        <v>1</v>
      </c>
      <c r="G772" s="1" t="b">
        <f>IF(OR(LEFT(RIGHT(Master_Reference[[#This Row],[Model Number]],3),1)="C",LEFT(RIGHT(Master_Reference[[#This Row],[Model Number]],4),1)="C"),TRUE,"")</f>
        <v>1</v>
      </c>
      <c r="H772" s="1" t="str">
        <f>IF(LEFT(Master_Reference[[#This Row],[Model Number]],1)="U",TRUE,"")</f>
        <v/>
      </c>
      <c r="I772" s="1" t="b">
        <f>IF(Master_Reference[[#This Row],[Lamp Type]]="T4","",IF(Master_Reference[[#This Row],[Case Type]]="M","",TRUE))</f>
        <v>1</v>
      </c>
      <c r="J772" s="1" t="str">
        <f t="shared" si="11"/>
        <v>T5</v>
      </c>
      <c r="K772" s="1">
        <v>28</v>
      </c>
      <c r="L772" s="1" t="s">
        <v>118</v>
      </c>
      <c r="M772" s="1">
        <v>1</v>
      </c>
      <c r="N772" s="1" t="s">
        <v>149</v>
      </c>
      <c r="O772" s="1" t="s">
        <v>113</v>
      </c>
      <c r="R772" t="b">
        <f>IF(COUNTBLANK(Master_Reference[[#This Row],[C-Flex 3000K Eco Part Number]:[C-Flex 4000K Eco Part Number]])=3,FALSE,TRUE)</f>
        <v>1</v>
      </c>
      <c r="S772" t="b">
        <f>IF(COUNTBLANK(Master_Reference[[#This Row],[C-Flex 3000K 3W Part Number]:[C-Flex 4000K 3W Part Number]])=3,FALSE,TRUE)</f>
        <v>1</v>
      </c>
      <c r="T772" t="b">
        <f>IF(COUNTBLANK(Master_Reference[[#This Row],[Lutron 3000K Eco Part Number]:[Lutron 4000K Eco Part Number]])=3,FALSE,TRUE)</f>
        <v>1</v>
      </c>
      <c r="U772" t="b">
        <f>IF(COUNTBLANK(Master_Reference[[#This Row],[Lutron 3000K 3W Part Number]:[Lutron 4000K 3W Part Number]])=3,FALSE,TRUE)</f>
        <v>1</v>
      </c>
      <c r="V772" s="12" t="s">
        <v>283</v>
      </c>
      <c r="W772" s="12" t="s">
        <v>284</v>
      </c>
      <c r="X772" s="12" t="s">
        <v>285</v>
      </c>
      <c r="Y772" t="s">
        <v>1719</v>
      </c>
      <c r="Z772" s="12" t="s">
        <v>286</v>
      </c>
      <c r="AA772" s="12" t="s">
        <v>287</v>
      </c>
      <c r="AB772" s="12" t="s">
        <v>288</v>
      </c>
      <c r="AC772" t="s">
        <v>1807</v>
      </c>
      <c r="AD772" t="str">
        <f>SUBSTITUTE(Master_Reference[[#This Row],[C-Flex 4000K Eco Part Number]],"40-","xx-")</f>
        <v>RP-T5-4FT-1L-8xx-E1-M-G2</v>
      </c>
      <c r="AE772" t="str">
        <f>SUBSTITUTE(Master_Reference[[#This Row],[C-Flex 4000K 3W Part Number]],"40-","xx-")</f>
        <v>RP-T5-4FT-1L-8xx-3W-M-G2</v>
      </c>
      <c r="AF772" s="1" t="str">
        <f>_xlfn.IFNA(VLOOKUP(Master_Reference[[#This Row],[C-Flex 3000K Eco Part Number]],Lutron_CFlex_Lookup[],MATCH("Lutron Kit PN",Lutron_CFlex_Lookup[#Headers],0),FALSE),"")</f>
        <v>ELD4T5-1M30-q</v>
      </c>
      <c r="AG772" s="1" t="str">
        <f>_xlfn.IFNA(VLOOKUP(Master_Reference[[#This Row],[C-Flex 3500K Eco Part Number]],Lutron_CFlex_Lookup[],MATCH("Lutron Kit PN",Lutron_CFlex_Lookup[#Headers],0),FALSE),"")</f>
        <v>ELD4T5-1M35-q</v>
      </c>
      <c r="AH772" s="1" t="str">
        <f>_xlfn.IFNA(VLOOKUP(Master_Reference[[#This Row],[C-Flex 4000K Eco Part Number]],Lutron_CFlex_Lookup[],MATCH("Lutron Kit PN",Lutron_CFlex_Lookup[#Headers],0),FALSE),"")</f>
        <v>ELD4T5-1M40-q</v>
      </c>
      <c r="AI772" s="1" t="str">
        <f>_xlfn.IFNA(VLOOKUP(Master_Reference[[#This Row],[C-Flex 5000K Eco Part Number]],Lutron_CFlex_Lookup[],MATCH("Lutron Kit PN",Lutron_CFlex_Lookup[#Headers],0),FALSE),"")</f>
        <v>ELD4T5-1M50-q</v>
      </c>
      <c r="AJ772" s="1" t="str">
        <f>_xlfn.IFNA(VLOOKUP(Master_Reference[[#This Row],[C-Flex 3000K 3W Part Number]],Lutron_CFlex_Lookup[],MATCH("Lutron Kit PN",Lutron_CFlex_Lookup[#Headers],0),FALSE),"")</f>
        <v>3LD4T5-1M30-q</v>
      </c>
      <c r="AK772" s="1" t="str">
        <f>_xlfn.IFNA(VLOOKUP(Master_Reference[[#This Row],[C-Flex 3500K 3W Part Number]],Lutron_CFlex_Lookup[],MATCH("Lutron Kit PN",Lutron_CFlex_Lookup[#Headers],0),FALSE),"")</f>
        <v>3LD4T5-1M35-q</v>
      </c>
      <c r="AL772" s="1" t="str">
        <f>_xlfn.IFNA(VLOOKUP(Master_Reference[[#This Row],[C-Flex 4000K 3W Part Number]],Lutron_CFlex_Lookup[],MATCH("Lutron Kit PN",Lutron_CFlex_Lookup[#Headers],0),FALSE),"")</f>
        <v>3LD4T5-1M40-q</v>
      </c>
      <c r="AM772" s="1" t="str">
        <f>_xlfn.IFNA(VLOOKUP(Master_Reference[[#This Row],[C-Flex 5000K 3W Part Number]],Lutron_CFlex_Lookup[],MATCH("Lutron Kit PN",Lutron_CFlex_Lookup[#Headers],0),FALSE),"")</f>
        <v>3LD4T5-1M50-q</v>
      </c>
      <c r="AN772" s="1" t="b">
        <f>NOT(ISNA(VLOOKUP(Master_Reference[[#This Row],[Model Number]],ObsoleteModels[],1,FALSE)))</f>
        <v>1</v>
      </c>
      <c r="AO772" s="1" t="str">
        <f>IF(LEFT(Master_Reference[[#This Row],[Model Number]],1)="U",LEFT(Master_Reference[[#This Row],[Model Number]],4),LEFT(Master_Reference[[#This Row],[Model Number]],3))</f>
        <v>H3D</v>
      </c>
    </row>
    <row r="773" spans="1:41" x14ac:dyDescent="0.25">
      <c r="A773" s="2" t="s">
        <v>1074</v>
      </c>
      <c r="B773" s="1" t="b">
        <v>1</v>
      </c>
      <c r="C773" s="1" t="b">
        <v>1</v>
      </c>
      <c r="G773" s="1" t="b">
        <f>IF(OR(LEFT(RIGHT(Master_Reference[[#This Row],[Model Number]],3),1)="C",LEFT(RIGHT(Master_Reference[[#This Row],[Model Number]],4),1)="C"),TRUE,"")</f>
        <v>1</v>
      </c>
      <c r="H773" s="1" t="str">
        <f>IF(LEFT(Master_Reference[[#This Row],[Model Number]],1)="U",TRUE,"")</f>
        <v/>
      </c>
      <c r="I773" s="1" t="b">
        <f>IF(Master_Reference[[#This Row],[Lamp Type]]="T4","",IF(Master_Reference[[#This Row],[Case Type]]="M","",TRUE))</f>
        <v>1</v>
      </c>
      <c r="J773" s="1" t="str">
        <f t="shared" si="11"/>
        <v>T5</v>
      </c>
      <c r="K773" s="1">
        <v>28</v>
      </c>
      <c r="L773" s="1" t="s">
        <v>118</v>
      </c>
      <c r="M773" s="1">
        <v>1</v>
      </c>
      <c r="N773" s="1" t="s">
        <v>149</v>
      </c>
      <c r="O773" s="1" t="s">
        <v>113</v>
      </c>
      <c r="R773" t="b">
        <f>IF(COUNTBLANK(Master_Reference[[#This Row],[C-Flex 3000K Eco Part Number]:[C-Flex 4000K Eco Part Number]])=3,FALSE,TRUE)</f>
        <v>1</v>
      </c>
      <c r="S773" t="b">
        <f>IF(COUNTBLANK(Master_Reference[[#This Row],[C-Flex 3000K 3W Part Number]:[C-Flex 4000K 3W Part Number]])=3,FALSE,TRUE)</f>
        <v>1</v>
      </c>
      <c r="T773" t="b">
        <f>IF(COUNTBLANK(Master_Reference[[#This Row],[Lutron 3000K Eco Part Number]:[Lutron 4000K Eco Part Number]])=3,FALSE,TRUE)</f>
        <v>1</v>
      </c>
      <c r="U773" t="b">
        <f>IF(COUNTBLANK(Master_Reference[[#This Row],[Lutron 3000K 3W Part Number]:[Lutron 4000K 3W Part Number]])=3,FALSE,TRUE)</f>
        <v>1</v>
      </c>
      <c r="V773" s="12" t="s">
        <v>283</v>
      </c>
      <c r="W773" s="12" t="s">
        <v>284</v>
      </c>
      <c r="X773" s="12" t="s">
        <v>285</v>
      </c>
      <c r="Y773" t="s">
        <v>1719</v>
      </c>
      <c r="Z773" s="12" t="s">
        <v>286</v>
      </c>
      <c r="AA773" s="12" t="s">
        <v>287</v>
      </c>
      <c r="AB773" s="12" t="s">
        <v>288</v>
      </c>
      <c r="AC773" t="s">
        <v>1807</v>
      </c>
      <c r="AD773" t="str">
        <f>SUBSTITUTE(Master_Reference[[#This Row],[C-Flex 4000K Eco Part Number]],"40-","xx-")</f>
        <v>RP-T5-4FT-1L-8xx-E1-M-G2</v>
      </c>
      <c r="AE773" t="str">
        <f>SUBSTITUTE(Master_Reference[[#This Row],[C-Flex 4000K 3W Part Number]],"40-","xx-")</f>
        <v>RP-T5-4FT-1L-8xx-3W-M-G2</v>
      </c>
      <c r="AF773" s="1" t="str">
        <f>_xlfn.IFNA(VLOOKUP(Master_Reference[[#This Row],[C-Flex 3000K Eco Part Number]],Lutron_CFlex_Lookup[],MATCH("Lutron Kit PN",Lutron_CFlex_Lookup[#Headers],0),FALSE),"")</f>
        <v>ELD4T5-1M30-q</v>
      </c>
      <c r="AG773" s="1" t="str">
        <f>_xlfn.IFNA(VLOOKUP(Master_Reference[[#This Row],[C-Flex 3500K Eco Part Number]],Lutron_CFlex_Lookup[],MATCH("Lutron Kit PN",Lutron_CFlex_Lookup[#Headers],0),FALSE),"")</f>
        <v>ELD4T5-1M35-q</v>
      </c>
      <c r="AH773" s="1" t="str">
        <f>_xlfn.IFNA(VLOOKUP(Master_Reference[[#This Row],[C-Flex 4000K Eco Part Number]],Lutron_CFlex_Lookup[],MATCH("Lutron Kit PN",Lutron_CFlex_Lookup[#Headers],0),FALSE),"")</f>
        <v>ELD4T5-1M40-q</v>
      </c>
      <c r="AI773" s="1" t="str">
        <f>_xlfn.IFNA(VLOOKUP(Master_Reference[[#This Row],[C-Flex 5000K Eco Part Number]],Lutron_CFlex_Lookup[],MATCH("Lutron Kit PN",Lutron_CFlex_Lookup[#Headers],0),FALSE),"")</f>
        <v>ELD4T5-1M50-q</v>
      </c>
      <c r="AJ773" s="1" t="str">
        <f>_xlfn.IFNA(VLOOKUP(Master_Reference[[#This Row],[C-Flex 3000K 3W Part Number]],Lutron_CFlex_Lookup[],MATCH("Lutron Kit PN",Lutron_CFlex_Lookup[#Headers],0),FALSE),"")</f>
        <v>3LD4T5-1M30-q</v>
      </c>
      <c r="AK773" s="1" t="str">
        <f>_xlfn.IFNA(VLOOKUP(Master_Reference[[#This Row],[C-Flex 3500K 3W Part Number]],Lutron_CFlex_Lookup[],MATCH("Lutron Kit PN",Lutron_CFlex_Lookup[#Headers],0),FALSE),"")</f>
        <v>3LD4T5-1M35-q</v>
      </c>
      <c r="AL773" s="1" t="str">
        <f>_xlfn.IFNA(VLOOKUP(Master_Reference[[#This Row],[C-Flex 4000K 3W Part Number]],Lutron_CFlex_Lookup[],MATCH("Lutron Kit PN",Lutron_CFlex_Lookup[#Headers],0),FALSE),"")</f>
        <v>3LD4T5-1M40-q</v>
      </c>
      <c r="AM773" s="1" t="str">
        <f>_xlfn.IFNA(VLOOKUP(Master_Reference[[#This Row],[C-Flex 5000K 3W Part Number]],Lutron_CFlex_Lookup[],MATCH("Lutron Kit PN",Lutron_CFlex_Lookup[#Headers],0),FALSE),"")</f>
        <v>3LD4T5-1M50-q</v>
      </c>
      <c r="AN773" s="1" t="b">
        <f>NOT(ISNA(VLOOKUP(Master_Reference[[#This Row],[Model Number]],ObsoleteModels[],1,FALSE)))</f>
        <v>1</v>
      </c>
      <c r="AO773" s="1" t="str">
        <f>IF(LEFT(Master_Reference[[#This Row],[Model Number]],1)="U",LEFT(Master_Reference[[#This Row],[Model Number]],4),LEFT(Master_Reference[[#This Row],[Model Number]],3))</f>
        <v>H3D</v>
      </c>
    </row>
    <row r="774" spans="1:41" x14ac:dyDescent="0.25">
      <c r="A774" s="2" t="s">
        <v>1075</v>
      </c>
      <c r="B774" s="1" t="b">
        <v>1</v>
      </c>
      <c r="C774" s="1" t="b">
        <v>1</v>
      </c>
      <c r="G774" s="1" t="b">
        <f>IF(OR(LEFT(RIGHT(Master_Reference[[#This Row],[Model Number]],3),1)="C",LEFT(RIGHT(Master_Reference[[#This Row],[Model Number]],4),1)="C"),TRUE,"")</f>
        <v>1</v>
      </c>
      <c r="H774" s="1" t="str">
        <f>IF(LEFT(Master_Reference[[#This Row],[Model Number]],1)="U",TRUE,"")</f>
        <v/>
      </c>
      <c r="I774" s="1" t="b">
        <f>IF(Master_Reference[[#This Row],[Lamp Type]]="T4","",IF(Master_Reference[[#This Row],[Case Type]]="M","",TRUE))</f>
        <v>1</v>
      </c>
      <c r="J774" s="1" t="str">
        <f t="shared" si="11"/>
        <v>T5</v>
      </c>
      <c r="K774" s="1">
        <v>28</v>
      </c>
      <c r="L774" s="1" t="s">
        <v>118</v>
      </c>
      <c r="M774" s="1">
        <v>1</v>
      </c>
      <c r="N774" s="1" t="s">
        <v>149</v>
      </c>
      <c r="O774" s="1" t="s">
        <v>113</v>
      </c>
      <c r="R774" t="b">
        <f>IF(COUNTBLANK(Master_Reference[[#This Row],[C-Flex 3000K Eco Part Number]:[C-Flex 4000K Eco Part Number]])=3,FALSE,TRUE)</f>
        <v>1</v>
      </c>
      <c r="S774" t="b">
        <f>IF(COUNTBLANK(Master_Reference[[#This Row],[C-Flex 3000K 3W Part Number]:[C-Flex 4000K 3W Part Number]])=3,FALSE,TRUE)</f>
        <v>1</v>
      </c>
      <c r="T774" t="b">
        <f>IF(COUNTBLANK(Master_Reference[[#This Row],[Lutron 3000K Eco Part Number]:[Lutron 4000K Eco Part Number]])=3,FALSE,TRUE)</f>
        <v>1</v>
      </c>
      <c r="U774" t="b">
        <f>IF(COUNTBLANK(Master_Reference[[#This Row],[Lutron 3000K 3W Part Number]:[Lutron 4000K 3W Part Number]])=3,FALSE,TRUE)</f>
        <v>1</v>
      </c>
      <c r="V774" s="12" t="s">
        <v>283</v>
      </c>
      <c r="W774" s="12" t="s">
        <v>284</v>
      </c>
      <c r="X774" s="12" t="s">
        <v>285</v>
      </c>
      <c r="Y774" t="s">
        <v>1719</v>
      </c>
      <c r="Z774" s="12" t="s">
        <v>286</v>
      </c>
      <c r="AA774" s="12" t="s">
        <v>287</v>
      </c>
      <c r="AB774" s="12" t="s">
        <v>288</v>
      </c>
      <c r="AC774" t="s">
        <v>1807</v>
      </c>
      <c r="AD774" t="str">
        <f>SUBSTITUTE(Master_Reference[[#This Row],[C-Flex 4000K Eco Part Number]],"40-","xx-")</f>
        <v>RP-T5-4FT-1L-8xx-E1-M-G2</v>
      </c>
      <c r="AE774" t="str">
        <f>SUBSTITUTE(Master_Reference[[#This Row],[C-Flex 4000K 3W Part Number]],"40-","xx-")</f>
        <v>RP-T5-4FT-1L-8xx-3W-M-G2</v>
      </c>
      <c r="AF774" s="1" t="str">
        <f>_xlfn.IFNA(VLOOKUP(Master_Reference[[#This Row],[C-Flex 3000K Eco Part Number]],Lutron_CFlex_Lookup[],MATCH("Lutron Kit PN",Lutron_CFlex_Lookup[#Headers],0),FALSE),"")</f>
        <v>ELD4T5-1M30-q</v>
      </c>
      <c r="AG774" s="1" t="str">
        <f>_xlfn.IFNA(VLOOKUP(Master_Reference[[#This Row],[C-Flex 3500K Eco Part Number]],Lutron_CFlex_Lookup[],MATCH("Lutron Kit PN",Lutron_CFlex_Lookup[#Headers],0),FALSE),"")</f>
        <v>ELD4T5-1M35-q</v>
      </c>
      <c r="AH774" s="1" t="str">
        <f>_xlfn.IFNA(VLOOKUP(Master_Reference[[#This Row],[C-Flex 4000K Eco Part Number]],Lutron_CFlex_Lookup[],MATCH("Lutron Kit PN",Lutron_CFlex_Lookup[#Headers],0),FALSE),"")</f>
        <v>ELD4T5-1M40-q</v>
      </c>
      <c r="AI774" s="1" t="str">
        <f>_xlfn.IFNA(VLOOKUP(Master_Reference[[#This Row],[C-Flex 5000K Eco Part Number]],Lutron_CFlex_Lookup[],MATCH("Lutron Kit PN",Lutron_CFlex_Lookup[#Headers],0),FALSE),"")</f>
        <v>ELD4T5-1M50-q</v>
      </c>
      <c r="AJ774" s="1" t="str">
        <f>_xlfn.IFNA(VLOOKUP(Master_Reference[[#This Row],[C-Flex 3000K 3W Part Number]],Lutron_CFlex_Lookup[],MATCH("Lutron Kit PN",Lutron_CFlex_Lookup[#Headers],0),FALSE),"")</f>
        <v>3LD4T5-1M30-q</v>
      </c>
      <c r="AK774" s="1" t="str">
        <f>_xlfn.IFNA(VLOOKUP(Master_Reference[[#This Row],[C-Flex 3500K 3W Part Number]],Lutron_CFlex_Lookup[],MATCH("Lutron Kit PN",Lutron_CFlex_Lookup[#Headers],0),FALSE),"")</f>
        <v>3LD4T5-1M35-q</v>
      </c>
      <c r="AL774" s="1" t="str">
        <f>_xlfn.IFNA(VLOOKUP(Master_Reference[[#This Row],[C-Flex 4000K 3W Part Number]],Lutron_CFlex_Lookup[],MATCH("Lutron Kit PN",Lutron_CFlex_Lookup[#Headers],0),FALSE),"")</f>
        <v>3LD4T5-1M40-q</v>
      </c>
      <c r="AM774" s="1" t="str">
        <f>_xlfn.IFNA(VLOOKUP(Master_Reference[[#This Row],[C-Flex 5000K 3W Part Number]],Lutron_CFlex_Lookup[],MATCH("Lutron Kit PN",Lutron_CFlex_Lookup[#Headers],0),FALSE),"")</f>
        <v>3LD4T5-1M50-q</v>
      </c>
      <c r="AN774" s="1" t="b">
        <f>NOT(ISNA(VLOOKUP(Master_Reference[[#This Row],[Model Number]],ObsoleteModels[],1,FALSE)))</f>
        <v>1</v>
      </c>
      <c r="AO774" s="1" t="str">
        <f>IF(LEFT(Master_Reference[[#This Row],[Model Number]],1)="U",LEFT(Master_Reference[[#This Row],[Model Number]],4),LEFT(Master_Reference[[#This Row],[Model Number]],3))</f>
        <v>H3D</v>
      </c>
    </row>
    <row r="775" spans="1:41" x14ac:dyDescent="0.25">
      <c r="A775" s="2" t="s">
        <v>1076</v>
      </c>
      <c r="B775" s="1" t="b">
        <v>1</v>
      </c>
      <c r="C775" s="1" t="b">
        <v>1</v>
      </c>
      <c r="G775" s="1" t="b">
        <f>IF(OR(LEFT(RIGHT(Master_Reference[[#This Row],[Model Number]],3),1)="C",LEFT(RIGHT(Master_Reference[[#This Row],[Model Number]],4),1)="C"),TRUE,"")</f>
        <v>1</v>
      </c>
      <c r="H775" s="1" t="str">
        <f>IF(LEFT(Master_Reference[[#This Row],[Model Number]],1)="U",TRUE,"")</f>
        <v/>
      </c>
      <c r="I775" s="1" t="b">
        <f>IF(Master_Reference[[#This Row],[Lamp Type]]="T4","",IF(Master_Reference[[#This Row],[Case Type]]="M","",TRUE))</f>
        <v>1</v>
      </c>
      <c r="J775" s="1" t="str">
        <f t="shared" si="11"/>
        <v>T5</v>
      </c>
      <c r="K775" s="1">
        <v>28</v>
      </c>
      <c r="L775" s="1" t="s">
        <v>118</v>
      </c>
      <c r="M775" s="1">
        <v>1</v>
      </c>
      <c r="N775" s="1" t="s">
        <v>149</v>
      </c>
      <c r="O775" s="1" t="s">
        <v>113</v>
      </c>
      <c r="R775" t="b">
        <f>IF(COUNTBLANK(Master_Reference[[#This Row],[C-Flex 3000K Eco Part Number]:[C-Flex 4000K Eco Part Number]])=3,FALSE,TRUE)</f>
        <v>1</v>
      </c>
      <c r="S775" t="b">
        <f>IF(COUNTBLANK(Master_Reference[[#This Row],[C-Flex 3000K 3W Part Number]:[C-Flex 4000K 3W Part Number]])=3,FALSE,TRUE)</f>
        <v>1</v>
      </c>
      <c r="T775" t="b">
        <f>IF(COUNTBLANK(Master_Reference[[#This Row],[Lutron 3000K Eco Part Number]:[Lutron 4000K Eco Part Number]])=3,FALSE,TRUE)</f>
        <v>1</v>
      </c>
      <c r="U775" t="b">
        <f>IF(COUNTBLANK(Master_Reference[[#This Row],[Lutron 3000K 3W Part Number]:[Lutron 4000K 3W Part Number]])=3,FALSE,TRUE)</f>
        <v>1</v>
      </c>
      <c r="V775" s="12" t="s">
        <v>283</v>
      </c>
      <c r="W775" s="12" t="s">
        <v>284</v>
      </c>
      <c r="X775" s="12" t="s">
        <v>285</v>
      </c>
      <c r="Y775" t="s">
        <v>1719</v>
      </c>
      <c r="Z775" s="12" t="s">
        <v>286</v>
      </c>
      <c r="AA775" s="12" t="s">
        <v>287</v>
      </c>
      <c r="AB775" s="12" t="s">
        <v>288</v>
      </c>
      <c r="AC775" t="s">
        <v>1807</v>
      </c>
      <c r="AD775" t="str">
        <f>SUBSTITUTE(Master_Reference[[#This Row],[C-Flex 4000K Eco Part Number]],"40-","xx-")</f>
        <v>RP-T5-4FT-1L-8xx-E1-M-G2</v>
      </c>
      <c r="AE775" t="str">
        <f>SUBSTITUTE(Master_Reference[[#This Row],[C-Flex 4000K 3W Part Number]],"40-","xx-")</f>
        <v>RP-T5-4FT-1L-8xx-3W-M-G2</v>
      </c>
      <c r="AF775" s="1" t="str">
        <f>_xlfn.IFNA(VLOOKUP(Master_Reference[[#This Row],[C-Flex 3000K Eco Part Number]],Lutron_CFlex_Lookup[],MATCH("Lutron Kit PN",Lutron_CFlex_Lookup[#Headers],0),FALSE),"")</f>
        <v>ELD4T5-1M30-q</v>
      </c>
      <c r="AG775" s="1" t="str">
        <f>_xlfn.IFNA(VLOOKUP(Master_Reference[[#This Row],[C-Flex 3500K Eco Part Number]],Lutron_CFlex_Lookup[],MATCH("Lutron Kit PN",Lutron_CFlex_Lookup[#Headers],0),FALSE),"")</f>
        <v>ELD4T5-1M35-q</v>
      </c>
      <c r="AH775" s="1" t="str">
        <f>_xlfn.IFNA(VLOOKUP(Master_Reference[[#This Row],[C-Flex 4000K Eco Part Number]],Lutron_CFlex_Lookup[],MATCH("Lutron Kit PN",Lutron_CFlex_Lookup[#Headers],0),FALSE),"")</f>
        <v>ELD4T5-1M40-q</v>
      </c>
      <c r="AI775" s="1" t="str">
        <f>_xlfn.IFNA(VLOOKUP(Master_Reference[[#This Row],[C-Flex 5000K Eco Part Number]],Lutron_CFlex_Lookup[],MATCH("Lutron Kit PN",Lutron_CFlex_Lookup[#Headers],0),FALSE),"")</f>
        <v>ELD4T5-1M50-q</v>
      </c>
      <c r="AJ775" s="1" t="str">
        <f>_xlfn.IFNA(VLOOKUP(Master_Reference[[#This Row],[C-Flex 3000K 3W Part Number]],Lutron_CFlex_Lookup[],MATCH("Lutron Kit PN",Lutron_CFlex_Lookup[#Headers],0),FALSE),"")</f>
        <v>3LD4T5-1M30-q</v>
      </c>
      <c r="AK775" s="1" t="str">
        <f>_xlfn.IFNA(VLOOKUP(Master_Reference[[#This Row],[C-Flex 3500K 3W Part Number]],Lutron_CFlex_Lookup[],MATCH("Lutron Kit PN",Lutron_CFlex_Lookup[#Headers],0),FALSE),"")</f>
        <v>3LD4T5-1M35-q</v>
      </c>
      <c r="AL775" s="1" t="str">
        <f>_xlfn.IFNA(VLOOKUP(Master_Reference[[#This Row],[C-Flex 4000K 3W Part Number]],Lutron_CFlex_Lookup[],MATCH("Lutron Kit PN",Lutron_CFlex_Lookup[#Headers],0),FALSE),"")</f>
        <v>3LD4T5-1M40-q</v>
      </c>
      <c r="AM775" s="1" t="str">
        <f>_xlfn.IFNA(VLOOKUP(Master_Reference[[#This Row],[C-Flex 5000K 3W Part Number]],Lutron_CFlex_Lookup[],MATCH("Lutron Kit PN",Lutron_CFlex_Lookup[#Headers],0),FALSE),"")</f>
        <v>3LD4T5-1M50-q</v>
      </c>
      <c r="AN775" s="1" t="b">
        <f>NOT(ISNA(VLOOKUP(Master_Reference[[#This Row],[Model Number]],ObsoleteModels[],1,FALSE)))</f>
        <v>1</v>
      </c>
      <c r="AO775" s="1" t="str">
        <f>IF(LEFT(Master_Reference[[#This Row],[Model Number]],1)="U",LEFT(Master_Reference[[#This Row],[Model Number]],4),LEFT(Master_Reference[[#This Row],[Model Number]],3))</f>
        <v>H3D</v>
      </c>
    </row>
    <row r="776" spans="1:41" x14ac:dyDescent="0.25">
      <c r="A776" s="2" t="s">
        <v>1077</v>
      </c>
      <c r="B776" s="1" t="b">
        <v>1</v>
      </c>
      <c r="C776" s="1" t="b">
        <v>1</v>
      </c>
      <c r="G776" s="1" t="str">
        <f>IF(OR(LEFT(RIGHT(Master_Reference[[#This Row],[Model Number]],3),1)="C",LEFT(RIGHT(Master_Reference[[#This Row],[Model Number]],4),1)="C"),TRUE,"")</f>
        <v/>
      </c>
      <c r="H776" s="1" t="str">
        <f>IF(LEFT(Master_Reference[[#This Row],[Model Number]],1)="U",TRUE,"")</f>
        <v/>
      </c>
      <c r="I776" s="1" t="b">
        <f>IF(Master_Reference[[#This Row],[Lamp Type]]="T4","",IF(Master_Reference[[#This Row],[Case Type]]="M","",TRUE))</f>
        <v>1</v>
      </c>
      <c r="J776" s="1" t="str">
        <f t="shared" si="11"/>
        <v>T5</v>
      </c>
      <c r="K776" s="1">
        <v>28</v>
      </c>
      <c r="L776" s="1" t="s">
        <v>118</v>
      </c>
      <c r="M776" s="1">
        <v>2</v>
      </c>
      <c r="N776" s="1" t="s">
        <v>149</v>
      </c>
      <c r="O776" s="1" t="s">
        <v>113</v>
      </c>
      <c r="R776" t="b">
        <f>IF(COUNTBLANK(Master_Reference[[#This Row],[C-Flex 3000K Eco Part Number]:[C-Flex 4000K Eco Part Number]])=3,FALSE,TRUE)</f>
        <v>1</v>
      </c>
      <c r="S776" t="b">
        <f>IF(COUNTBLANK(Master_Reference[[#This Row],[C-Flex 3000K 3W Part Number]:[C-Flex 4000K 3W Part Number]])=3,FALSE,TRUE)</f>
        <v>1</v>
      </c>
      <c r="T776" t="b">
        <f>IF(COUNTBLANK(Master_Reference[[#This Row],[Lutron 3000K Eco Part Number]:[Lutron 4000K Eco Part Number]])=3,FALSE,TRUE)</f>
        <v>1</v>
      </c>
      <c r="U776" t="b">
        <f>IF(COUNTBLANK(Master_Reference[[#This Row],[Lutron 3000K 3W Part Number]:[Lutron 4000K 3W Part Number]])=3,FALSE,TRUE)</f>
        <v>1</v>
      </c>
      <c r="V776" s="12" t="s">
        <v>290</v>
      </c>
      <c r="W776" s="12" t="s">
        <v>291</v>
      </c>
      <c r="X776" s="12" t="s">
        <v>292</v>
      </c>
      <c r="Y776" t="s">
        <v>1720</v>
      </c>
      <c r="Z776" s="12" t="s">
        <v>293</v>
      </c>
      <c r="AA776" s="12" t="s">
        <v>294</v>
      </c>
      <c r="AB776" s="12" t="s">
        <v>295</v>
      </c>
      <c r="AC776" t="s">
        <v>1808</v>
      </c>
      <c r="AD776" t="str">
        <f>SUBSTITUTE(Master_Reference[[#This Row],[C-Flex 4000K Eco Part Number]],"40-","xx-")</f>
        <v>RP-T5-4FT-2L-8xx-E1-M-G2</v>
      </c>
      <c r="AE776" t="str">
        <f>SUBSTITUTE(Master_Reference[[#This Row],[C-Flex 4000K 3W Part Number]],"40-","xx-")</f>
        <v>RP-T5-4FT-2L-8xx-3W-M-G2</v>
      </c>
      <c r="AF776" s="1" t="str">
        <f>_xlfn.IFNA(VLOOKUP(Master_Reference[[#This Row],[C-Flex 3000K Eco Part Number]],Lutron_CFlex_Lookup[],MATCH("Lutron Kit PN",Lutron_CFlex_Lookup[#Headers],0),FALSE),"")</f>
        <v>ELD4T5-2M30-q</v>
      </c>
      <c r="AG776" s="1" t="str">
        <f>_xlfn.IFNA(VLOOKUP(Master_Reference[[#This Row],[C-Flex 3500K Eco Part Number]],Lutron_CFlex_Lookup[],MATCH("Lutron Kit PN",Lutron_CFlex_Lookup[#Headers],0),FALSE),"")</f>
        <v>ELD4T5-2M35-q</v>
      </c>
      <c r="AH776" s="1" t="str">
        <f>_xlfn.IFNA(VLOOKUP(Master_Reference[[#This Row],[C-Flex 4000K Eco Part Number]],Lutron_CFlex_Lookup[],MATCH("Lutron Kit PN",Lutron_CFlex_Lookup[#Headers],0),FALSE),"")</f>
        <v>ELD4T5-2M40-q</v>
      </c>
      <c r="AI776" s="1" t="str">
        <f>_xlfn.IFNA(VLOOKUP(Master_Reference[[#This Row],[C-Flex 5000K Eco Part Number]],Lutron_CFlex_Lookup[],MATCH("Lutron Kit PN",Lutron_CFlex_Lookup[#Headers],0),FALSE),"")</f>
        <v>ELD4T5-2M50-q</v>
      </c>
      <c r="AJ776" s="1" t="str">
        <f>_xlfn.IFNA(VLOOKUP(Master_Reference[[#This Row],[C-Flex 3000K 3W Part Number]],Lutron_CFlex_Lookup[],MATCH("Lutron Kit PN",Lutron_CFlex_Lookup[#Headers],0),FALSE),"")</f>
        <v>3LD4T5-2M30-q</v>
      </c>
      <c r="AK776" s="1" t="str">
        <f>_xlfn.IFNA(VLOOKUP(Master_Reference[[#This Row],[C-Flex 3500K 3W Part Number]],Lutron_CFlex_Lookup[],MATCH("Lutron Kit PN",Lutron_CFlex_Lookup[#Headers],0),FALSE),"")</f>
        <v>3LD4T5-2M35-q</v>
      </c>
      <c r="AL776" s="1" t="str">
        <f>_xlfn.IFNA(VLOOKUP(Master_Reference[[#This Row],[C-Flex 4000K 3W Part Number]],Lutron_CFlex_Lookup[],MATCH("Lutron Kit PN",Lutron_CFlex_Lookup[#Headers],0),FALSE),"")</f>
        <v>3LD4T5-2M40-q</v>
      </c>
      <c r="AM776" s="1" t="str">
        <f>_xlfn.IFNA(VLOOKUP(Master_Reference[[#This Row],[C-Flex 5000K 3W Part Number]],Lutron_CFlex_Lookup[],MATCH("Lutron Kit PN",Lutron_CFlex_Lookup[#Headers],0),FALSE),"")</f>
        <v>3LD4T5-2M50-q</v>
      </c>
      <c r="AN776" s="1" t="b">
        <f>NOT(ISNA(VLOOKUP(Master_Reference[[#This Row],[Model Number]],ObsoleteModels[],1,FALSE)))</f>
        <v>1</v>
      </c>
      <c r="AO776" s="1" t="str">
        <f>IF(LEFT(Master_Reference[[#This Row],[Model Number]],1)="U",LEFT(Master_Reference[[#This Row],[Model Number]],4),LEFT(Master_Reference[[#This Row],[Model Number]],3))</f>
        <v>H3D</v>
      </c>
    </row>
    <row r="777" spans="1:41" x14ac:dyDescent="0.25">
      <c r="A777" s="2" t="s">
        <v>1078</v>
      </c>
      <c r="B777" s="1" t="b">
        <v>1</v>
      </c>
      <c r="C777" s="1" t="b">
        <v>1</v>
      </c>
      <c r="G777" s="1" t="str">
        <f>IF(OR(LEFT(RIGHT(Master_Reference[[#This Row],[Model Number]],3),1)="C",LEFT(RIGHT(Master_Reference[[#This Row],[Model Number]],4),1)="C"),TRUE,"")</f>
        <v/>
      </c>
      <c r="H777" s="1" t="str">
        <f>IF(LEFT(Master_Reference[[#This Row],[Model Number]],1)="U",TRUE,"")</f>
        <v/>
      </c>
      <c r="I777" s="1" t="b">
        <f>IF(Master_Reference[[#This Row],[Lamp Type]]="T4","",IF(Master_Reference[[#This Row],[Case Type]]="M","",TRUE))</f>
        <v>1</v>
      </c>
      <c r="J777" s="1" t="str">
        <f t="shared" si="11"/>
        <v>T5</v>
      </c>
      <c r="K777" s="1">
        <v>28</v>
      </c>
      <c r="L777" s="1" t="s">
        <v>118</v>
      </c>
      <c r="M777" s="1">
        <v>2</v>
      </c>
      <c r="N777" s="1" t="s">
        <v>149</v>
      </c>
      <c r="O777" s="1" t="s">
        <v>113</v>
      </c>
      <c r="Q777" s="1" t="s">
        <v>91</v>
      </c>
      <c r="R777" t="b">
        <f>IF(COUNTBLANK(Master_Reference[[#This Row],[C-Flex 3000K Eco Part Number]:[C-Flex 4000K Eco Part Number]])=3,FALSE,TRUE)</f>
        <v>0</v>
      </c>
      <c r="S777" t="b">
        <f>IF(COUNTBLANK(Master_Reference[[#This Row],[C-Flex 3000K 3W Part Number]:[C-Flex 4000K 3W Part Number]])=3,FALSE,TRUE)</f>
        <v>0</v>
      </c>
      <c r="T777" t="b">
        <f>IF(COUNTBLANK(Master_Reference[[#This Row],[Lutron 3000K Eco Part Number]:[Lutron 4000K Eco Part Number]])=3,FALSE,TRUE)</f>
        <v>0</v>
      </c>
      <c r="U777" t="b">
        <f>IF(COUNTBLANK(Master_Reference[[#This Row],[Lutron 3000K 3W Part Number]:[Lutron 4000K 3W Part Number]])=3,FALSE,TRUE)</f>
        <v>0</v>
      </c>
      <c r="V777" s="12"/>
      <c r="W777" s="12"/>
      <c r="X777" s="12"/>
      <c r="Y777" t="s">
        <v>2125</v>
      </c>
      <c r="Z777" s="12"/>
      <c r="AA777" s="12"/>
      <c r="AB777" s="12"/>
      <c r="AC777" t="s">
        <v>2125</v>
      </c>
      <c r="AD777" t="str">
        <f>SUBSTITUTE(Master_Reference[[#This Row],[C-Flex 4000K Eco Part Number]],"40-","xx-")</f>
        <v/>
      </c>
      <c r="AE777" t="str">
        <f>SUBSTITUTE(Master_Reference[[#This Row],[C-Flex 4000K 3W Part Number]],"40-","xx-")</f>
        <v/>
      </c>
      <c r="AF777" s="1" t="str">
        <f>_xlfn.IFNA(VLOOKUP(Master_Reference[[#This Row],[C-Flex 3000K Eco Part Number]],Lutron_CFlex_Lookup[],MATCH("Lutron Kit PN",Lutron_CFlex_Lookup[#Headers],0),FALSE),"")</f>
        <v/>
      </c>
      <c r="AG777" s="1" t="str">
        <f>_xlfn.IFNA(VLOOKUP(Master_Reference[[#This Row],[C-Flex 3500K Eco Part Number]],Lutron_CFlex_Lookup[],MATCH("Lutron Kit PN",Lutron_CFlex_Lookup[#Headers],0),FALSE),"")</f>
        <v/>
      </c>
      <c r="AH777" s="1" t="str">
        <f>_xlfn.IFNA(VLOOKUP(Master_Reference[[#This Row],[C-Flex 4000K Eco Part Number]],Lutron_CFlex_Lookup[],MATCH("Lutron Kit PN",Lutron_CFlex_Lookup[#Headers],0),FALSE),"")</f>
        <v/>
      </c>
      <c r="AI777" s="1" t="str">
        <f>_xlfn.IFNA(VLOOKUP(Master_Reference[[#This Row],[C-Flex 5000K Eco Part Number]],Lutron_CFlex_Lookup[],MATCH("Lutron Kit PN",Lutron_CFlex_Lookup[#Headers],0),FALSE),"")</f>
        <v/>
      </c>
      <c r="AJ777" s="1" t="str">
        <f>_xlfn.IFNA(VLOOKUP(Master_Reference[[#This Row],[C-Flex 3000K 3W Part Number]],Lutron_CFlex_Lookup[],MATCH("Lutron Kit PN",Lutron_CFlex_Lookup[#Headers],0),FALSE),"")</f>
        <v/>
      </c>
      <c r="AK777" s="1" t="str">
        <f>_xlfn.IFNA(VLOOKUP(Master_Reference[[#This Row],[C-Flex 3500K 3W Part Number]],Lutron_CFlex_Lookup[],MATCH("Lutron Kit PN",Lutron_CFlex_Lookup[#Headers],0),FALSE),"")</f>
        <v/>
      </c>
      <c r="AL777" s="1" t="str">
        <f>_xlfn.IFNA(VLOOKUP(Master_Reference[[#This Row],[C-Flex 4000K 3W Part Number]],Lutron_CFlex_Lookup[],MATCH("Lutron Kit PN",Lutron_CFlex_Lookup[#Headers],0),FALSE),"")</f>
        <v/>
      </c>
      <c r="AM777" s="1" t="str">
        <f>_xlfn.IFNA(VLOOKUP(Master_Reference[[#This Row],[C-Flex 5000K 3W Part Number]],Lutron_CFlex_Lookup[],MATCH("Lutron Kit PN",Lutron_CFlex_Lookup[#Headers],0),FALSE),"")</f>
        <v/>
      </c>
      <c r="AN777" s="1" t="b">
        <f>NOT(ISNA(VLOOKUP(Master_Reference[[#This Row],[Model Number]],ObsoleteModels[],1,FALSE)))</f>
        <v>1</v>
      </c>
      <c r="AO777" s="1" t="str">
        <f>IF(LEFT(Master_Reference[[#This Row],[Model Number]],1)="U",LEFT(Master_Reference[[#This Row],[Model Number]],4),LEFT(Master_Reference[[#This Row],[Model Number]],3))</f>
        <v>H3D</v>
      </c>
    </row>
    <row r="778" spans="1:41" x14ac:dyDescent="0.25">
      <c r="A778" s="2" t="s">
        <v>1079</v>
      </c>
      <c r="B778" s="1" t="b">
        <v>1</v>
      </c>
      <c r="C778" s="1" t="b">
        <v>1</v>
      </c>
      <c r="G778" s="1" t="b">
        <f>IF(OR(LEFT(RIGHT(Master_Reference[[#This Row],[Model Number]],3),1)="C",LEFT(RIGHT(Master_Reference[[#This Row],[Model Number]],4),1)="C"),TRUE,"")</f>
        <v>1</v>
      </c>
      <c r="H778" s="1" t="str">
        <f>IF(LEFT(Master_Reference[[#This Row],[Model Number]],1)="U",TRUE,"")</f>
        <v/>
      </c>
      <c r="I778" s="1" t="b">
        <f>IF(Master_Reference[[#This Row],[Lamp Type]]="T4","",IF(Master_Reference[[#This Row],[Case Type]]="M","",TRUE))</f>
        <v>1</v>
      </c>
      <c r="J778" s="1" t="str">
        <f t="shared" si="11"/>
        <v>T5</v>
      </c>
      <c r="K778" s="1">
        <v>28</v>
      </c>
      <c r="L778" s="1" t="s">
        <v>118</v>
      </c>
      <c r="M778" s="1">
        <v>2</v>
      </c>
      <c r="N778" s="1" t="s">
        <v>149</v>
      </c>
      <c r="O778" s="1" t="s">
        <v>113</v>
      </c>
      <c r="R778" t="b">
        <f>IF(COUNTBLANK(Master_Reference[[#This Row],[C-Flex 3000K Eco Part Number]:[C-Flex 4000K Eco Part Number]])=3,FALSE,TRUE)</f>
        <v>1</v>
      </c>
      <c r="S778" t="b">
        <f>IF(COUNTBLANK(Master_Reference[[#This Row],[C-Flex 3000K 3W Part Number]:[C-Flex 4000K 3W Part Number]])=3,FALSE,TRUE)</f>
        <v>1</v>
      </c>
      <c r="T778" t="b">
        <f>IF(COUNTBLANK(Master_Reference[[#This Row],[Lutron 3000K Eco Part Number]:[Lutron 4000K Eco Part Number]])=3,FALSE,TRUE)</f>
        <v>1</v>
      </c>
      <c r="U778" t="b">
        <f>IF(COUNTBLANK(Master_Reference[[#This Row],[Lutron 3000K 3W Part Number]:[Lutron 4000K 3W Part Number]])=3,FALSE,TRUE)</f>
        <v>1</v>
      </c>
      <c r="V778" s="12" t="s">
        <v>290</v>
      </c>
      <c r="W778" s="12" t="s">
        <v>291</v>
      </c>
      <c r="X778" s="12" t="s">
        <v>292</v>
      </c>
      <c r="Y778" t="s">
        <v>1720</v>
      </c>
      <c r="Z778" s="12" t="s">
        <v>293</v>
      </c>
      <c r="AA778" s="12" t="s">
        <v>294</v>
      </c>
      <c r="AB778" s="12" t="s">
        <v>295</v>
      </c>
      <c r="AC778" t="s">
        <v>1808</v>
      </c>
      <c r="AD778" t="str">
        <f>SUBSTITUTE(Master_Reference[[#This Row],[C-Flex 4000K Eco Part Number]],"40-","xx-")</f>
        <v>RP-T5-4FT-2L-8xx-E1-M-G2</v>
      </c>
      <c r="AE778" t="str">
        <f>SUBSTITUTE(Master_Reference[[#This Row],[C-Flex 4000K 3W Part Number]],"40-","xx-")</f>
        <v>RP-T5-4FT-2L-8xx-3W-M-G2</v>
      </c>
      <c r="AF778" s="1" t="str">
        <f>_xlfn.IFNA(VLOOKUP(Master_Reference[[#This Row],[C-Flex 3000K Eco Part Number]],Lutron_CFlex_Lookup[],MATCH("Lutron Kit PN",Lutron_CFlex_Lookup[#Headers],0),FALSE),"")</f>
        <v>ELD4T5-2M30-q</v>
      </c>
      <c r="AG778" s="1" t="str">
        <f>_xlfn.IFNA(VLOOKUP(Master_Reference[[#This Row],[C-Flex 3500K Eco Part Number]],Lutron_CFlex_Lookup[],MATCH("Lutron Kit PN",Lutron_CFlex_Lookup[#Headers],0),FALSE),"")</f>
        <v>ELD4T5-2M35-q</v>
      </c>
      <c r="AH778" s="1" t="str">
        <f>_xlfn.IFNA(VLOOKUP(Master_Reference[[#This Row],[C-Flex 4000K Eco Part Number]],Lutron_CFlex_Lookup[],MATCH("Lutron Kit PN",Lutron_CFlex_Lookup[#Headers],0),FALSE),"")</f>
        <v>ELD4T5-2M40-q</v>
      </c>
      <c r="AI778" s="1" t="str">
        <f>_xlfn.IFNA(VLOOKUP(Master_Reference[[#This Row],[C-Flex 5000K Eco Part Number]],Lutron_CFlex_Lookup[],MATCH("Lutron Kit PN",Lutron_CFlex_Lookup[#Headers],0),FALSE),"")</f>
        <v>ELD4T5-2M50-q</v>
      </c>
      <c r="AJ778" s="1" t="str">
        <f>_xlfn.IFNA(VLOOKUP(Master_Reference[[#This Row],[C-Flex 3000K 3W Part Number]],Lutron_CFlex_Lookup[],MATCH("Lutron Kit PN",Lutron_CFlex_Lookup[#Headers],0),FALSE),"")</f>
        <v>3LD4T5-2M30-q</v>
      </c>
      <c r="AK778" s="1" t="str">
        <f>_xlfn.IFNA(VLOOKUP(Master_Reference[[#This Row],[C-Flex 3500K 3W Part Number]],Lutron_CFlex_Lookup[],MATCH("Lutron Kit PN",Lutron_CFlex_Lookup[#Headers],0),FALSE),"")</f>
        <v>3LD4T5-2M35-q</v>
      </c>
      <c r="AL778" s="1" t="str">
        <f>_xlfn.IFNA(VLOOKUP(Master_Reference[[#This Row],[C-Flex 4000K 3W Part Number]],Lutron_CFlex_Lookup[],MATCH("Lutron Kit PN",Lutron_CFlex_Lookup[#Headers],0),FALSE),"")</f>
        <v>3LD4T5-2M40-q</v>
      </c>
      <c r="AM778" s="1" t="str">
        <f>_xlfn.IFNA(VLOOKUP(Master_Reference[[#This Row],[C-Flex 5000K 3W Part Number]],Lutron_CFlex_Lookup[],MATCH("Lutron Kit PN",Lutron_CFlex_Lookup[#Headers],0),FALSE),"")</f>
        <v>3LD4T5-2M50-q</v>
      </c>
      <c r="AN778" s="1" t="b">
        <f>NOT(ISNA(VLOOKUP(Master_Reference[[#This Row],[Model Number]],ObsoleteModels[],1,FALSE)))</f>
        <v>1</v>
      </c>
      <c r="AO778" s="1" t="str">
        <f>IF(LEFT(Master_Reference[[#This Row],[Model Number]],1)="U",LEFT(Master_Reference[[#This Row],[Model Number]],4),LEFT(Master_Reference[[#This Row],[Model Number]],3))</f>
        <v>H3D</v>
      </c>
    </row>
    <row r="779" spans="1:41" x14ac:dyDescent="0.25">
      <c r="A779" s="2" t="s">
        <v>1080</v>
      </c>
      <c r="B779" s="1" t="b">
        <v>1</v>
      </c>
      <c r="C779" s="1" t="b">
        <v>1</v>
      </c>
      <c r="G779" s="1" t="b">
        <f>IF(OR(LEFT(RIGHT(Master_Reference[[#This Row],[Model Number]],3),1)="C",LEFT(RIGHT(Master_Reference[[#This Row],[Model Number]],4),1)="C"),TRUE,"")</f>
        <v>1</v>
      </c>
      <c r="H779" s="1" t="str">
        <f>IF(LEFT(Master_Reference[[#This Row],[Model Number]],1)="U",TRUE,"")</f>
        <v/>
      </c>
      <c r="I779" s="1" t="b">
        <f>IF(Master_Reference[[#This Row],[Lamp Type]]="T4","",IF(Master_Reference[[#This Row],[Case Type]]="M","",TRUE))</f>
        <v>1</v>
      </c>
      <c r="J779" s="1" t="str">
        <f t="shared" si="11"/>
        <v>T5</v>
      </c>
      <c r="K779" s="1">
        <v>28</v>
      </c>
      <c r="L779" s="1" t="s">
        <v>118</v>
      </c>
      <c r="M779" s="1">
        <v>2</v>
      </c>
      <c r="N779" s="1" t="s">
        <v>149</v>
      </c>
      <c r="O779" s="1" t="s">
        <v>113</v>
      </c>
      <c r="R779" t="b">
        <f>IF(COUNTBLANK(Master_Reference[[#This Row],[C-Flex 3000K Eco Part Number]:[C-Flex 4000K Eco Part Number]])=3,FALSE,TRUE)</f>
        <v>1</v>
      </c>
      <c r="S779" t="b">
        <f>IF(COUNTBLANK(Master_Reference[[#This Row],[C-Flex 3000K 3W Part Number]:[C-Flex 4000K 3W Part Number]])=3,FALSE,TRUE)</f>
        <v>1</v>
      </c>
      <c r="T779" t="b">
        <f>IF(COUNTBLANK(Master_Reference[[#This Row],[Lutron 3000K Eco Part Number]:[Lutron 4000K Eco Part Number]])=3,FALSE,TRUE)</f>
        <v>1</v>
      </c>
      <c r="U779" t="b">
        <f>IF(COUNTBLANK(Master_Reference[[#This Row],[Lutron 3000K 3W Part Number]:[Lutron 4000K 3W Part Number]])=3,FALSE,TRUE)</f>
        <v>1</v>
      </c>
      <c r="V779" s="12" t="s">
        <v>290</v>
      </c>
      <c r="W779" s="12" t="s">
        <v>291</v>
      </c>
      <c r="X779" s="12" t="s">
        <v>292</v>
      </c>
      <c r="Y779" t="s">
        <v>1720</v>
      </c>
      <c r="Z779" s="12" t="s">
        <v>293</v>
      </c>
      <c r="AA779" s="12" t="s">
        <v>294</v>
      </c>
      <c r="AB779" s="12" t="s">
        <v>295</v>
      </c>
      <c r="AC779" t="s">
        <v>1808</v>
      </c>
      <c r="AD779" t="str">
        <f>SUBSTITUTE(Master_Reference[[#This Row],[C-Flex 4000K Eco Part Number]],"40-","xx-")</f>
        <v>RP-T5-4FT-2L-8xx-E1-M-G2</v>
      </c>
      <c r="AE779" t="str">
        <f>SUBSTITUTE(Master_Reference[[#This Row],[C-Flex 4000K 3W Part Number]],"40-","xx-")</f>
        <v>RP-T5-4FT-2L-8xx-3W-M-G2</v>
      </c>
      <c r="AF779" s="1" t="str">
        <f>_xlfn.IFNA(VLOOKUP(Master_Reference[[#This Row],[C-Flex 3000K Eco Part Number]],Lutron_CFlex_Lookup[],MATCH("Lutron Kit PN",Lutron_CFlex_Lookup[#Headers],0),FALSE),"")</f>
        <v>ELD4T5-2M30-q</v>
      </c>
      <c r="AG779" s="1" t="str">
        <f>_xlfn.IFNA(VLOOKUP(Master_Reference[[#This Row],[C-Flex 3500K Eco Part Number]],Lutron_CFlex_Lookup[],MATCH("Lutron Kit PN",Lutron_CFlex_Lookup[#Headers],0),FALSE),"")</f>
        <v>ELD4T5-2M35-q</v>
      </c>
      <c r="AH779" s="1" t="str">
        <f>_xlfn.IFNA(VLOOKUP(Master_Reference[[#This Row],[C-Flex 4000K Eco Part Number]],Lutron_CFlex_Lookup[],MATCH("Lutron Kit PN",Lutron_CFlex_Lookup[#Headers],0),FALSE),"")</f>
        <v>ELD4T5-2M40-q</v>
      </c>
      <c r="AI779" s="1" t="str">
        <f>_xlfn.IFNA(VLOOKUP(Master_Reference[[#This Row],[C-Flex 5000K Eco Part Number]],Lutron_CFlex_Lookup[],MATCH("Lutron Kit PN",Lutron_CFlex_Lookup[#Headers],0),FALSE),"")</f>
        <v>ELD4T5-2M50-q</v>
      </c>
      <c r="AJ779" s="1" t="str">
        <f>_xlfn.IFNA(VLOOKUP(Master_Reference[[#This Row],[C-Flex 3000K 3W Part Number]],Lutron_CFlex_Lookup[],MATCH("Lutron Kit PN",Lutron_CFlex_Lookup[#Headers],0),FALSE),"")</f>
        <v>3LD4T5-2M30-q</v>
      </c>
      <c r="AK779" s="1" t="str">
        <f>_xlfn.IFNA(VLOOKUP(Master_Reference[[#This Row],[C-Flex 3500K 3W Part Number]],Lutron_CFlex_Lookup[],MATCH("Lutron Kit PN",Lutron_CFlex_Lookup[#Headers],0),FALSE),"")</f>
        <v>3LD4T5-2M35-q</v>
      </c>
      <c r="AL779" s="1" t="str">
        <f>_xlfn.IFNA(VLOOKUP(Master_Reference[[#This Row],[C-Flex 4000K 3W Part Number]],Lutron_CFlex_Lookup[],MATCH("Lutron Kit PN",Lutron_CFlex_Lookup[#Headers],0),FALSE),"")</f>
        <v>3LD4T5-2M40-q</v>
      </c>
      <c r="AM779" s="1" t="str">
        <f>_xlfn.IFNA(VLOOKUP(Master_Reference[[#This Row],[C-Flex 5000K 3W Part Number]],Lutron_CFlex_Lookup[],MATCH("Lutron Kit PN",Lutron_CFlex_Lookup[#Headers],0),FALSE),"")</f>
        <v>3LD4T5-2M50-q</v>
      </c>
      <c r="AN779" s="1" t="b">
        <f>NOT(ISNA(VLOOKUP(Master_Reference[[#This Row],[Model Number]],ObsoleteModels[],1,FALSE)))</f>
        <v>1</v>
      </c>
      <c r="AO779" s="1" t="str">
        <f>IF(LEFT(Master_Reference[[#This Row],[Model Number]],1)="U",LEFT(Master_Reference[[#This Row],[Model Number]],4),LEFT(Master_Reference[[#This Row],[Model Number]],3))</f>
        <v>H3D</v>
      </c>
    </row>
    <row r="780" spans="1:41" x14ac:dyDescent="0.25">
      <c r="A780" s="2" t="s">
        <v>1081</v>
      </c>
      <c r="B780" s="1" t="b">
        <v>1</v>
      </c>
      <c r="C780" s="1" t="b">
        <v>1</v>
      </c>
      <c r="G780" s="1" t="b">
        <f>IF(OR(LEFT(RIGHT(Master_Reference[[#This Row],[Model Number]],3),1)="C",LEFT(RIGHT(Master_Reference[[#This Row],[Model Number]],4),1)="C"),TRUE,"")</f>
        <v>1</v>
      </c>
      <c r="H780" s="1" t="str">
        <f>IF(LEFT(Master_Reference[[#This Row],[Model Number]],1)="U",TRUE,"")</f>
        <v/>
      </c>
      <c r="I780" s="1" t="b">
        <f>IF(Master_Reference[[#This Row],[Lamp Type]]="T4","",IF(Master_Reference[[#This Row],[Case Type]]="M","",TRUE))</f>
        <v>1</v>
      </c>
      <c r="J780" s="1" t="str">
        <f t="shared" si="11"/>
        <v>T5</v>
      </c>
      <c r="K780" s="1">
        <v>28</v>
      </c>
      <c r="L780" s="1" t="s">
        <v>118</v>
      </c>
      <c r="M780" s="1">
        <v>2</v>
      </c>
      <c r="N780" s="1" t="s">
        <v>149</v>
      </c>
      <c r="O780" s="1" t="s">
        <v>113</v>
      </c>
      <c r="R780" t="b">
        <f>IF(COUNTBLANK(Master_Reference[[#This Row],[C-Flex 3000K Eco Part Number]:[C-Flex 4000K Eco Part Number]])=3,FALSE,TRUE)</f>
        <v>1</v>
      </c>
      <c r="S780" t="b">
        <f>IF(COUNTBLANK(Master_Reference[[#This Row],[C-Flex 3000K 3W Part Number]:[C-Flex 4000K 3W Part Number]])=3,FALSE,TRUE)</f>
        <v>1</v>
      </c>
      <c r="T780" t="b">
        <f>IF(COUNTBLANK(Master_Reference[[#This Row],[Lutron 3000K Eco Part Number]:[Lutron 4000K Eco Part Number]])=3,FALSE,TRUE)</f>
        <v>1</v>
      </c>
      <c r="U780" t="b">
        <f>IF(COUNTBLANK(Master_Reference[[#This Row],[Lutron 3000K 3W Part Number]:[Lutron 4000K 3W Part Number]])=3,FALSE,TRUE)</f>
        <v>1</v>
      </c>
      <c r="V780" s="12" t="s">
        <v>290</v>
      </c>
      <c r="W780" s="12" t="s">
        <v>291</v>
      </c>
      <c r="X780" s="12" t="s">
        <v>292</v>
      </c>
      <c r="Y780" t="s">
        <v>1720</v>
      </c>
      <c r="Z780" s="12" t="s">
        <v>293</v>
      </c>
      <c r="AA780" s="12" t="s">
        <v>294</v>
      </c>
      <c r="AB780" s="12" t="s">
        <v>295</v>
      </c>
      <c r="AC780" t="s">
        <v>1808</v>
      </c>
      <c r="AD780" t="str">
        <f>SUBSTITUTE(Master_Reference[[#This Row],[C-Flex 4000K Eco Part Number]],"40-","xx-")</f>
        <v>RP-T5-4FT-2L-8xx-E1-M-G2</v>
      </c>
      <c r="AE780" t="str">
        <f>SUBSTITUTE(Master_Reference[[#This Row],[C-Flex 4000K 3W Part Number]],"40-","xx-")</f>
        <v>RP-T5-4FT-2L-8xx-3W-M-G2</v>
      </c>
      <c r="AF780" s="1" t="str">
        <f>_xlfn.IFNA(VLOOKUP(Master_Reference[[#This Row],[C-Flex 3000K Eco Part Number]],Lutron_CFlex_Lookup[],MATCH("Lutron Kit PN",Lutron_CFlex_Lookup[#Headers],0),FALSE),"")</f>
        <v>ELD4T5-2M30-q</v>
      </c>
      <c r="AG780" s="1" t="str">
        <f>_xlfn.IFNA(VLOOKUP(Master_Reference[[#This Row],[C-Flex 3500K Eco Part Number]],Lutron_CFlex_Lookup[],MATCH("Lutron Kit PN",Lutron_CFlex_Lookup[#Headers],0),FALSE),"")</f>
        <v>ELD4T5-2M35-q</v>
      </c>
      <c r="AH780" s="1" t="str">
        <f>_xlfn.IFNA(VLOOKUP(Master_Reference[[#This Row],[C-Flex 4000K Eco Part Number]],Lutron_CFlex_Lookup[],MATCH("Lutron Kit PN",Lutron_CFlex_Lookup[#Headers],0),FALSE),"")</f>
        <v>ELD4T5-2M40-q</v>
      </c>
      <c r="AI780" s="1" t="str">
        <f>_xlfn.IFNA(VLOOKUP(Master_Reference[[#This Row],[C-Flex 5000K Eco Part Number]],Lutron_CFlex_Lookup[],MATCH("Lutron Kit PN",Lutron_CFlex_Lookup[#Headers],0),FALSE),"")</f>
        <v>ELD4T5-2M50-q</v>
      </c>
      <c r="AJ780" s="1" t="str">
        <f>_xlfn.IFNA(VLOOKUP(Master_Reference[[#This Row],[C-Flex 3000K 3W Part Number]],Lutron_CFlex_Lookup[],MATCH("Lutron Kit PN",Lutron_CFlex_Lookup[#Headers],0),FALSE),"")</f>
        <v>3LD4T5-2M30-q</v>
      </c>
      <c r="AK780" s="1" t="str">
        <f>_xlfn.IFNA(VLOOKUP(Master_Reference[[#This Row],[C-Flex 3500K 3W Part Number]],Lutron_CFlex_Lookup[],MATCH("Lutron Kit PN",Lutron_CFlex_Lookup[#Headers],0),FALSE),"")</f>
        <v>3LD4T5-2M35-q</v>
      </c>
      <c r="AL780" s="1" t="str">
        <f>_xlfn.IFNA(VLOOKUP(Master_Reference[[#This Row],[C-Flex 4000K 3W Part Number]],Lutron_CFlex_Lookup[],MATCH("Lutron Kit PN",Lutron_CFlex_Lookup[#Headers],0),FALSE),"")</f>
        <v>3LD4T5-2M40-q</v>
      </c>
      <c r="AM780" s="1" t="str">
        <f>_xlfn.IFNA(VLOOKUP(Master_Reference[[#This Row],[C-Flex 5000K 3W Part Number]],Lutron_CFlex_Lookup[],MATCH("Lutron Kit PN",Lutron_CFlex_Lookup[#Headers],0),FALSE),"")</f>
        <v>3LD4T5-2M50-q</v>
      </c>
      <c r="AN780" s="1" t="b">
        <f>NOT(ISNA(VLOOKUP(Master_Reference[[#This Row],[Model Number]],ObsoleteModels[],1,FALSE)))</f>
        <v>1</v>
      </c>
      <c r="AO780" s="1" t="str">
        <f>IF(LEFT(Master_Reference[[#This Row],[Model Number]],1)="U",LEFT(Master_Reference[[#This Row],[Model Number]],4),LEFT(Master_Reference[[#This Row],[Model Number]],3))</f>
        <v>H3D</v>
      </c>
    </row>
    <row r="781" spans="1:41" x14ac:dyDescent="0.25">
      <c r="A781" s="2" t="s">
        <v>1082</v>
      </c>
      <c r="B781" s="1" t="b">
        <v>1</v>
      </c>
      <c r="C781" s="1" t="b">
        <v>1</v>
      </c>
      <c r="G781" s="1" t="str">
        <f>IF(OR(LEFT(RIGHT(Master_Reference[[#This Row],[Model Number]],3),1)="C",LEFT(RIGHT(Master_Reference[[#This Row],[Model Number]],4),1)="C"),TRUE,"")</f>
        <v/>
      </c>
      <c r="H781" s="1" t="str">
        <f>IF(LEFT(Master_Reference[[#This Row],[Model Number]],1)="U",TRUE,"")</f>
        <v/>
      </c>
      <c r="I781" s="1" t="b">
        <f>IF(Master_Reference[[#This Row],[Lamp Type]]="T4","",IF(Master_Reference[[#This Row],[Case Type]]="M","",TRUE))</f>
        <v>1</v>
      </c>
      <c r="J781" s="1" t="str">
        <f t="shared" si="11"/>
        <v>T5</v>
      </c>
      <c r="K781" s="1">
        <v>28</v>
      </c>
      <c r="L781" s="1" t="s">
        <v>118</v>
      </c>
      <c r="M781" s="1">
        <v>1</v>
      </c>
      <c r="N781" s="1" t="s">
        <v>149</v>
      </c>
      <c r="O781" s="1" t="s">
        <v>113</v>
      </c>
      <c r="R781" t="b">
        <f>IF(COUNTBLANK(Master_Reference[[#This Row],[C-Flex 3000K Eco Part Number]:[C-Flex 4000K Eco Part Number]])=3,FALSE,TRUE)</f>
        <v>1</v>
      </c>
      <c r="S781" t="b">
        <f>IF(COUNTBLANK(Master_Reference[[#This Row],[C-Flex 3000K 3W Part Number]:[C-Flex 4000K 3W Part Number]])=3,FALSE,TRUE)</f>
        <v>1</v>
      </c>
      <c r="T781" t="b">
        <f>IF(COUNTBLANK(Master_Reference[[#This Row],[Lutron 3000K Eco Part Number]:[Lutron 4000K Eco Part Number]])=3,FALSE,TRUE)</f>
        <v>1</v>
      </c>
      <c r="U781" t="b">
        <f>IF(COUNTBLANK(Master_Reference[[#This Row],[Lutron 3000K 3W Part Number]:[Lutron 4000K 3W Part Number]])=3,FALSE,TRUE)</f>
        <v>1</v>
      </c>
      <c r="V781" s="12" t="s">
        <v>283</v>
      </c>
      <c r="W781" s="12" t="s">
        <v>284</v>
      </c>
      <c r="X781" s="12" t="s">
        <v>285</v>
      </c>
      <c r="Y781" t="s">
        <v>1719</v>
      </c>
      <c r="Z781" s="12" t="s">
        <v>286</v>
      </c>
      <c r="AA781" s="12" t="s">
        <v>287</v>
      </c>
      <c r="AB781" s="12" t="s">
        <v>288</v>
      </c>
      <c r="AC781" t="s">
        <v>1807</v>
      </c>
      <c r="AD781" t="str">
        <f>SUBSTITUTE(Master_Reference[[#This Row],[C-Flex 4000K Eco Part Number]],"40-","xx-")</f>
        <v>RP-T5-4FT-1L-8xx-E1-M-G2</v>
      </c>
      <c r="AE781" t="str">
        <f>SUBSTITUTE(Master_Reference[[#This Row],[C-Flex 4000K 3W Part Number]],"40-","xx-")</f>
        <v>RP-T5-4FT-1L-8xx-3W-M-G2</v>
      </c>
      <c r="AF781" s="1" t="str">
        <f>_xlfn.IFNA(VLOOKUP(Master_Reference[[#This Row],[C-Flex 3000K Eco Part Number]],Lutron_CFlex_Lookup[],MATCH("Lutron Kit PN",Lutron_CFlex_Lookup[#Headers],0),FALSE),"")</f>
        <v>ELD4T5-1M30-q</v>
      </c>
      <c r="AG781" s="1" t="str">
        <f>_xlfn.IFNA(VLOOKUP(Master_Reference[[#This Row],[C-Flex 3500K Eco Part Number]],Lutron_CFlex_Lookup[],MATCH("Lutron Kit PN",Lutron_CFlex_Lookup[#Headers],0),FALSE),"")</f>
        <v>ELD4T5-1M35-q</v>
      </c>
      <c r="AH781" s="1" t="str">
        <f>_xlfn.IFNA(VLOOKUP(Master_Reference[[#This Row],[C-Flex 4000K Eco Part Number]],Lutron_CFlex_Lookup[],MATCH("Lutron Kit PN",Lutron_CFlex_Lookup[#Headers],0),FALSE),"")</f>
        <v>ELD4T5-1M40-q</v>
      </c>
      <c r="AI781" s="1" t="str">
        <f>_xlfn.IFNA(VLOOKUP(Master_Reference[[#This Row],[C-Flex 5000K Eco Part Number]],Lutron_CFlex_Lookup[],MATCH("Lutron Kit PN",Lutron_CFlex_Lookup[#Headers],0),FALSE),"")</f>
        <v>ELD4T5-1M50-q</v>
      </c>
      <c r="AJ781" s="1" t="str">
        <f>_xlfn.IFNA(VLOOKUP(Master_Reference[[#This Row],[C-Flex 3000K 3W Part Number]],Lutron_CFlex_Lookup[],MATCH("Lutron Kit PN",Lutron_CFlex_Lookup[#Headers],0),FALSE),"")</f>
        <v>3LD4T5-1M30-q</v>
      </c>
      <c r="AK781" s="1" t="str">
        <f>_xlfn.IFNA(VLOOKUP(Master_Reference[[#This Row],[C-Flex 3500K 3W Part Number]],Lutron_CFlex_Lookup[],MATCH("Lutron Kit PN",Lutron_CFlex_Lookup[#Headers],0),FALSE),"")</f>
        <v>3LD4T5-1M35-q</v>
      </c>
      <c r="AL781" s="1" t="str">
        <f>_xlfn.IFNA(VLOOKUP(Master_Reference[[#This Row],[C-Flex 4000K 3W Part Number]],Lutron_CFlex_Lookup[],MATCH("Lutron Kit PN",Lutron_CFlex_Lookup[#Headers],0),FALSE),"")</f>
        <v>3LD4T5-1M40-q</v>
      </c>
      <c r="AM781" s="1" t="str">
        <f>_xlfn.IFNA(VLOOKUP(Master_Reference[[#This Row],[C-Flex 5000K 3W Part Number]],Lutron_CFlex_Lookup[],MATCH("Lutron Kit PN",Lutron_CFlex_Lookup[#Headers],0),FALSE),"")</f>
        <v>3LD4T5-1M50-q</v>
      </c>
      <c r="AN781" s="1" t="b">
        <f>NOT(ISNA(VLOOKUP(Master_Reference[[#This Row],[Model Number]],ObsoleteModels[],1,FALSE)))</f>
        <v>1</v>
      </c>
      <c r="AO781" s="1" t="str">
        <f>IF(LEFT(Master_Reference[[#This Row],[Model Number]],1)="U",LEFT(Master_Reference[[#This Row],[Model Number]],4),LEFT(Master_Reference[[#This Row],[Model Number]],3))</f>
        <v>H3D</v>
      </c>
    </row>
    <row r="782" spans="1:41" x14ac:dyDescent="0.25">
      <c r="A782" s="2" t="s">
        <v>1083</v>
      </c>
      <c r="B782" s="1" t="b">
        <v>1</v>
      </c>
      <c r="C782" s="1" t="b">
        <v>1</v>
      </c>
      <c r="G782" s="1" t="b">
        <f>IF(OR(LEFT(RIGHT(Master_Reference[[#This Row],[Model Number]],3),1)="C",LEFT(RIGHT(Master_Reference[[#This Row],[Model Number]],4),1)="C"),TRUE,"")</f>
        <v>1</v>
      </c>
      <c r="H782" s="1" t="str">
        <f>IF(LEFT(Master_Reference[[#This Row],[Model Number]],1)="U",TRUE,"")</f>
        <v/>
      </c>
      <c r="I782" s="1" t="b">
        <f>IF(Master_Reference[[#This Row],[Lamp Type]]="T4","",IF(Master_Reference[[#This Row],[Case Type]]="M","",TRUE))</f>
        <v>1</v>
      </c>
      <c r="J782" s="1" t="str">
        <f t="shared" si="11"/>
        <v>T5</v>
      </c>
      <c r="K782" s="1">
        <v>28</v>
      </c>
      <c r="L782" s="1" t="s">
        <v>118</v>
      </c>
      <c r="M782" s="1">
        <v>1</v>
      </c>
      <c r="N782" s="1" t="s">
        <v>149</v>
      </c>
      <c r="O782" s="1" t="s">
        <v>113</v>
      </c>
      <c r="R782" t="b">
        <f>IF(COUNTBLANK(Master_Reference[[#This Row],[C-Flex 3000K Eco Part Number]:[C-Flex 4000K Eco Part Number]])=3,FALSE,TRUE)</f>
        <v>1</v>
      </c>
      <c r="S782" t="b">
        <f>IF(COUNTBLANK(Master_Reference[[#This Row],[C-Flex 3000K 3W Part Number]:[C-Flex 4000K 3W Part Number]])=3,FALSE,TRUE)</f>
        <v>1</v>
      </c>
      <c r="T782" t="b">
        <f>IF(COUNTBLANK(Master_Reference[[#This Row],[Lutron 3000K Eco Part Number]:[Lutron 4000K Eco Part Number]])=3,FALSE,TRUE)</f>
        <v>1</v>
      </c>
      <c r="U782" t="b">
        <f>IF(COUNTBLANK(Master_Reference[[#This Row],[Lutron 3000K 3W Part Number]:[Lutron 4000K 3W Part Number]])=3,FALSE,TRUE)</f>
        <v>1</v>
      </c>
      <c r="V782" s="12" t="s">
        <v>283</v>
      </c>
      <c r="W782" s="12" t="s">
        <v>284</v>
      </c>
      <c r="X782" s="12" t="s">
        <v>285</v>
      </c>
      <c r="Y782" t="s">
        <v>1719</v>
      </c>
      <c r="Z782" s="12" t="s">
        <v>286</v>
      </c>
      <c r="AA782" s="12" t="s">
        <v>287</v>
      </c>
      <c r="AB782" s="12" t="s">
        <v>288</v>
      </c>
      <c r="AC782" t="s">
        <v>1807</v>
      </c>
      <c r="AD782" t="str">
        <f>SUBSTITUTE(Master_Reference[[#This Row],[C-Flex 4000K Eco Part Number]],"40-","xx-")</f>
        <v>RP-T5-4FT-1L-8xx-E1-M-G2</v>
      </c>
      <c r="AE782" t="str">
        <f>SUBSTITUTE(Master_Reference[[#This Row],[C-Flex 4000K 3W Part Number]],"40-","xx-")</f>
        <v>RP-T5-4FT-1L-8xx-3W-M-G2</v>
      </c>
      <c r="AF782" s="1" t="str">
        <f>_xlfn.IFNA(VLOOKUP(Master_Reference[[#This Row],[C-Flex 3000K Eco Part Number]],Lutron_CFlex_Lookup[],MATCH("Lutron Kit PN",Lutron_CFlex_Lookup[#Headers],0),FALSE),"")</f>
        <v>ELD4T5-1M30-q</v>
      </c>
      <c r="AG782" s="1" t="str">
        <f>_xlfn.IFNA(VLOOKUP(Master_Reference[[#This Row],[C-Flex 3500K Eco Part Number]],Lutron_CFlex_Lookup[],MATCH("Lutron Kit PN",Lutron_CFlex_Lookup[#Headers],0),FALSE),"")</f>
        <v>ELD4T5-1M35-q</v>
      </c>
      <c r="AH782" s="1" t="str">
        <f>_xlfn.IFNA(VLOOKUP(Master_Reference[[#This Row],[C-Flex 4000K Eco Part Number]],Lutron_CFlex_Lookup[],MATCH("Lutron Kit PN",Lutron_CFlex_Lookup[#Headers],0),FALSE),"")</f>
        <v>ELD4T5-1M40-q</v>
      </c>
      <c r="AI782" s="1" t="str">
        <f>_xlfn.IFNA(VLOOKUP(Master_Reference[[#This Row],[C-Flex 5000K Eco Part Number]],Lutron_CFlex_Lookup[],MATCH("Lutron Kit PN",Lutron_CFlex_Lookup[#Headers],0),FALSE),"")</f>
        <v>ELD4T5-1M50-q</v>
      </c>
      <c r="AJ782" s="1" t="str">
        <f>_xlfn.IFNA(VLOOKUP(Master_Reference[[#This Row],[C-Flex 3000K 3W Part Number]],Lutron_CFlex_Lookup[],MATCH("Lutron Kit PN",Lutron_CFlex_Lookup[#Headers],0),FALSE),"")</f>
        <v>3LD4T5-1M30-q</v>
      </c>
      <c r="AK782" s="1" t="str">
        <f>_xlfn.IFNA(VLOOKUP(Master_Reference[[#This Row],[C-Flex 3500K 3W Part Number]],Lutron_CFlex_Lookup[],MATCH("Lutron Kit PN",Lutron_CFlex_Lookup[#Headers],0),FALSE),"")</f>
        <v>3LD4T5-1M35-q</v>
      </c>
      <c r="AL782" s="1" t="str">
        <f>_xlfn.IFNA(VLOOKUP(Master_Reference[[#This Row],[C-Flex 4000K 3W Part Number]],Lutron_CFlex_Lookup[],MATCH("Lutron Kit PN",Lutron_CFlex_Lookup[#Headers],0),FALSE),"")</f>
        <v>3LD4T5-1M40-q</v>
      </c>
      <c r="AM782" s="1" t="str">
        <f>_xlfn.IFNA(VLOOKUP(Master_Reference[[#This Row],[C-Flex 5000K 3W Part Number]],Lutron_CFlex_Lookup[],MATCH("Lutron Kit PN",Lutron_CFlex_Lookup[#Headers],0),FALSE),"")</f>
        <v>3LD4T5-1M50-q</v>
      </c>
      <c r="AN782" s="1" t="b">
        <f>NOT(ISNA(VLOOKUP(Master_Reference[[#This Row],[Model Number]],ObsoleteModels[],1,FALSE)))</f>
        <v>1</v>
      </c>
      <c r="AO782" s="1" t="str">
        <f>IF(LEFT(Master_Reference[[#This Row],[Model Number]],1)="U",LEFT(Master_Reference[[#This Row],[Model Number]],4),LEFT(Master_Reference[[#This Row],[Model Number]],3))</f>
        <v>H3D</v>
      </c>
    </row>
    <row r="783" spans="1:41" x14ac:dyDescent="0.25">
      <c r="A783" s="2" t="s">
        <v>1084</v>
      </c>
      <c r="B783" s="1" t="b">
        <v>1</v>
      </c>
      <c r="C783" s="1" t="b">
        <v>1</v>
      </c>
      <c r="G783" s="1" t="str">
        <f>IF(OR(LEFT(RIGHT(Master_Reference[[#This Row],[Model Number]],3),1)="C",LEFT(RIGHT(Master_Reference[[#This Row],[Model Number]],4),1)="C"),TRUE,"")</f>
        <v/>
      </c>
      <c r="H783" s="1" t="str">
        <f>IF(LEFT(Master_Reference[[#This Row],[Model Number]],1)="U",TRUE,"")</f>
        <v/>
      </c>
      <c r="I783" s="1" t="b">
        <f>IF(Master_Reference[[#This Row],[Lamp Type]]="T4","",IF(Master_Reference[[#This Row],[Case Type]]="M","",TRUE))</f>
        <v>1</v>
      </c>
      <c r="J783" s="1" t="str">
        <f t="shared" si="11"/>
        <v>T5</v>
      </c>
      <c r="K783" s="1">
        <v>28</v>
      </c>
      <c r="L783" s="1" t="s">
        <v>118</v>
      </c>
      <c r="M783" s="1">
        <v>2</v>
      </c>
      <c r="N783" s="1" t="s">
        <v>149</v>
      </c>
      <c r="O783" s="1" t="s">
        <v>113</v>
      </c>
      <c r="R783" t="b">
        <f>IF(COUNTBLANK(Master_Reference[[#This Row],[C-Flex 3000K Eco Part Number]:[C-Flex 4000K Eco Part Number]])=3,FALSE,TRUE)</f>
        <v>1</v>
      </c>
      <c r="S783" t="b">
        <f>IF(COUNTBLANK(Master_Reference[[#This Row],[C-Flex 3000K 3W Part Number]:[C-Flex 4000K 3W Part Number]])=3,FALSE,TRUE)</f>
        <v>1</v>
      </c>
      <c r="T783" t="b">
        <f>IF(COUNTBLANK(Master_Reference[[#This Row],[Lutron 3000K Eco Part Number]:[Lutron 4000K Eco Part Number]])=3,FALSE,TRUE)</f>
        <v>1</v>
      </c>
      <c r="U783" t="b">
        <f>IF(COUNTBLANK(Master_Reference[[#This Row],[Lutron 3000K 3W Part Number]:[Lutron 4000K 3W Part Number]])=3,FALSE,TRUE)</f>
        <v>1</v>
      </c>
      <c r="V783" s="12" t="s">
        <v>290</v>
      </c>
      <c r="W783" s="12" t="s">
        <v>291</v>
      </c>
      <c r="X783" s="12" t="s">
        <v>292</v>
      </c>
      <c r="Y783" t="s">
        <v>1720</v>
      </c>
      <c r="Z783" s="12" t="s">
        <v>293</v>
      </c>
      <c r="AA783" s="12" t="s">
        <v>294</v>
      </c>
      <c r="AB783" s="12" t="s">
        <v>295</v>
      </c>
      <c r="AC783" t="s">
        <v>1808</v>
      </c>
      <c r="AD783" t="str">
        <f>SUBSTITUTE(Master_Reference[[#This Row],[C-Flex 4000K Eco Part Number]],"40-","xx-")</f>
        <v>RP-T5-4FT-2L-8xx-E1-M-G2</v>
      </c>
      <c r="AE783" t="str">
        <f>SUBSTITUTE(Master_Reference[[#This Row],[C-Flex 4000K 3W Part Number]],"40-","xx-")</f>
        <v>RP-T5-4FT-2L-8xx-3W-M-G2</v>
      </c>
      <c r="AF783" s="1" t="str">
        <f>_xlfn.IFNA(VLOOKUP(Master_Reference[[#This Row],[C-Flex 3000K Eco Part Number]],Lutron_CFlex_Lookup[],MATCH("Lutron Kit PN",Lutron_CFlex_Lookup[#Headers],0),FALSE),"")</f>
        <v>ELD4T5-2M30-q</v>
      </c>
      <c r="AG783" s="1" t="str">
        <f>_xlfn.IFNA(VLOOKUP(Master_Reference[[#This Row],[C-Flex 3500K Eco Part Number]],Lutron_CFlex_Lookup[],MATCH("Lutron Kit PN",Lutron_CFlex_Lookup[#Headers],0),FALSE),"")</f>
        <v>ELD4T5-2M35-q</v>
      </c>
      <c r="AH783" s="1" t="str">
        <f>_xlfn.IFNA(VLOOKUP(Master_Reference[[#This Row],[C-Flex 4000K Eco Part Number]],Lutron_CFlex_Lookup[],MATCH("Lutron Kit PN",Lutron_CFlex_Lookup[#Headers],0),FALSE),"")</f>
        <v>ELD4T5-2M40-q</v>
      </c>
      <c r="AI783" s="1" t="str">
        <f>_xlfn.IFNA(VLOOKUP(Master_Reference[[#This Row],[C-Flex 5000K Eco Part Number]],Lutron_CFlex_Lookup[],MATCH("Lutron Kit PN",Lutron_CFlex_Lookup[#Headers],0),FALSE),"")</f>
        <v>ELD4T5-2M50-q</v>
      </c>
      <c r="AJ783" s="1" t="str">
        <f>_xlfn.IFNA(VLOOKUP(Master_Reference[[#This Row],[C-Flex 3000K 3W Part Number]],Lutron_CFlex_Lookup[],MATCH("Lutron Kit PN",Lutron_CFlex_Lookup[#Headers],0),FALSE),"")</f>
        <v>3LD4T5-2M30-q</v>
      </c>
      <c r="AK783" s="1" t="str">
        <f>_xlfn.IFNA(VLOOKUP(Master_Reference[[#This Row],[C-Flex 3500K 3W Part Number]],Lutron_CFlex_Lookup[],MATCH("Lutron Kit PN",Lutron_CFlex_Lookup[#Headers],0),FALSE),"")</f>
        <v>3LD4T5-2M35-q</v>
      </c>
      <c r="AL783" s="1" t="str">
        <f>_xlfn.IFNA(VLOOKUP(Master_Reference[[#This Row],[C-Flex 4000K 3W Part Number]],Lutron_CFlex_Lookup[],MATCH("Lutron Kit PN",Lutron_CFlex_Lookup[#Headers],0),FALSE),"")</f>
        <v>3LD4T5-2M40-q</v>
      </c>
      <c r="AM783" s="1" t="str">
        <f>_xlfn.IFNA(VLOOKUP(Master_Reference[[#This Row],[C-Flex 5000K 3W Part Number]],Lutron_CFlex_Lookup[],MATCH("Lutron Kit PN",Lutron_CFlex_Lookup[#Headers],0),FALSE),"")</f>
        <v>3LD4T5-2M50-q</v>
      </c>
      <c r="AN783" s="1" t="b">
        <f>NOT(ISNA(VLOOKUP(Master_Reference[[#This Row],[Model Number]],ObsoleteModels[],1,FALSE)))</f>
        <v>1</v>
      </c>
      <c r="AO783" s="1" t="str">
        <f>IF(LEFT(Master_Reference[[#This Row],[Model Number]],1)="U",LEFT(Master_Reference[[#This Row],[Model Number]],4),LEFT(Master_Reference[[#This Row],[Model Number]],3))</f>
        <v>H3D</v>
      </c>
    </row>
    <row r="784" spans="1:41" x14ac:dyDescent="0.25">
      <c r="A784" s="2" t="s">
        <v>1085</v>
      </c>
      <c r="B784" s="1" t="b">
        <v>1</v>
      </c>
      <c r="C784" s="1" t="b">
        <v>1</v>
      </c>
      <c r="G784" s="1" t="str">
        <f>IF(OR(LEFT(RIGHT(Master_Reference[[#This Row],[Model Number]],3),1)="C",LEFT(RIGHT(Master_Reference[[#This Row],[Model Number]],4),1)="C"),TRUE,"")</f>
        <v/>
      </c>
      <c r="H784" s="1" t="str">
        <f>IF(LEFT(Master_Reference[[#This Row],[Model Number]],1)="U",TRUE,"")</f>
        <v/>
      </c>
      <c r="I784" s="1" t="b">
        <f>IF(Master_Reference[[#This Row],[Lamp Type]]="T4","",IF(Master_Reference[[#This Row],[Case Type]]="M","",TRUE))</f>
        <v>1</v>
      </c>
      <c r="J784" s="1" t="s">
        <v>215</v>
      </c>
      <c r="K784" s="1">
        <v>36</v>
      </c>
      <c r="L784" s="1" t="s">
        <v>216</v>
      </c>
      <c r="M784" s="1">
        <v>1</v>
      </c>
      <c r="N784" s="1" t="s">
        <v>149</v>
      </c>
      <c r="O784" s="1" t="s">
        <v>217</v>
      </c>
      <c r="R784" t="b">
        <f>IF(COUNTBLANK(Master_Reference[[#This Row],[C-Flex 3000K Eco Part Number]:[C-Flex 4000K Eco Part Number]])=3,FALSE,TRUE)</f>
        <v>0</v>
      </c>
      <c r="S784" t="b">
        <f>IF(COUNTBLANK(Master_Reference[[#This Row],[C-Flex 3000K 3W Part Number]:[C-Flex 4000K 3W Part Number]])=3,FALSE,TRUE)</f>
        <v>0</v>
      </c>
      <c r="T784" t="b">
        <f>IF(COUNTBLANK(Master_Reference[[#This Row],[Lutron 3000K Eco Part Number]:[Lutron 4000K Eco Part Number]])=3,FALSE,TRUE)</f>
        <v>0</v>
      </c>
      <c r="U784" t="b">
        <f>IF(COUNTBLANK(Master_Reference[[#This Row],[Lutron 3000K 3W Part Number]:[Lutron 4000K 3W Part Number]])=3,FALSE,TRUE)</f>
        <v>0</v>
      </c>
      <c r="V784" s="12"/>
      <c r="W784" s="12"/>
      <c r="X784" s="12"/>
      <c r="Y784" t="s">
        <v>2125</v>
      </c>
      <c r="Z784" s="12"/>
      <c r="AA784" s="12"/>
      <c r="AB784" s="12"/>
      <c r="AC784" t="s">
        <v>2125</v>
      </c>
      <c r="AD784" t="str">
        <f>SUBSTITUTE(Master_Reference[[#This Row],[C-Flex 4000K Eco Part Number]],"40-","xx-")</f>
        <v/>
      </c>
      <c r="AE784" t="str">
        <f>SUBSTITUTE(Master_Reference[[#This Row],[C-Flex 4000K 3W Part Number]],"40-","xx-")</f>
        <v/>
      </c>
      <c r="AF784" s="1" t="str">
        <f>_xlfn.IFNA(VLOOKUP(Master_Reference[[#This Row],[C-Flex 3000K Eco Part Number]],Lutron_CFlex_Lookup[],MATCH("Lutron Kit PN",Lutron_CFlex_Lookup[#Headers],0),FALSE),"")</f>
        <v/>
      </c>
      <c r="AG784" s="1" t="str">
        <f>_xlfn.IFNA(VLOOKUP(Master_Reference[[#This Row],[C-Flex 3500K Eco Part Number]],Lutron_CFlex_Lookup[],MATCH("Lutron Kit PN",Lutron_CFlex_Lookup[#Headers],0),FALSE),"")</f>
        <v/>
      </c>
      <c r="AH784" s="1" t="str">
        <f>_xlfn.IFNA(VLOOKUP(Master_Reference[[#This Row],[C-Flex 4000K Eco Part Number]],Lutron_CFlex_Lookup[],MATCH("Lutron Kit PN",Lutron_CFlex_Lookup[#Headers],0),FALSE),"")</f>
        <v/>
      </c>
      <c r="AI784" s="1" t="str">
        <f>_xlfn.IFNA(VLOOKUP(Master_Reference[[#This Row],[C-Flex 5000K Eco Part Number]],Lutron_CFlex_Lookup[],MATCH("Lutron Kit PN",Lutron_CFlex_Lookup[#Headers],0),FALSE),"")</f>
        <v/>
      </c>
      <c r="AJ784" s="1" t="str">
        <f>_xlfn.IFNA(VLOOKUP(Master_Reference[[#This Row],[C-Flex 3000K 3W Part Number]],Lutron_CFlex_Lookup[],MATCH("Lutron Kit PN",Lutron_CFlex_Lookup[#Headers],0),FALSE),"")</f>
        <v/>
      </c>
      <c r="AK784" s="1" t="str">
        <f>_xlfn.IFNA(VLOOKUP(Master_Reference[[#This Row],[C-Flex 3500K 3W Part Number]],Lutron_CFlex_Lookup[],MATCH("Lutron Kit PN",Lutron_CFlex_Lookup[#Headers],0),FALSE),"")</f>
        <v/>
      </c>
      <c r="AL784" s="1" t="str">
        <f>_xlfn.IFNA(VLOOKUP(Master_Reference[[#This Row],[C-Flex 4000K 3W Part Number]],Lutron_CFlex_Lookup[],MATCH("Lutron Kit PN",Lutron_CFlex_Lookup[#Headers],0),FALSE),"")</f>
        <v/>
      </c>
      <c r="AM784" s="1" t="str">
        <f>_xlfn.IFNA(VLOOKUP(Master_Reference[[#This Row],[C-Flex 5000K 3W Part Number]],Lutron_CFlex_Lookup[],MATCH("Lutron Kit PN",Lutron_CFlex_Lookup[#Headers],0),FALSE),"")</f>
        <v/>
      </c>
      <c r="AN784" s="1" t="b">
        <f>NOT(ISNA(VLOOKUP(Master_Reference[[#This Row],[Model Number]],ObsoleteModels[],1,FALSE)))</f>
        <v>1</v>
      </c>
      <c r="AO784" s="1" t="str">
        <f>IF(LEFT(Master_Reference[[#This Row],[Model Number]],1)="U",LEFT(Master_Reference[[#This Row],[Model Number]],4),LEFT(Master_Reference[[#This Row],[Model Number]],3))</f>
        <v>H3D</v>
      </c>
    </row>
    <row r="785" spans="1:41" x14ac:dyDescent="0.25">
      <c r="A785" s="2" t="s">
        <v>1086</v>
      </c>
      <c r="B785" s="1" t="b">
        <v>1</v>
      </c>
      <c r="C785" s="1" t="b">
        <v>1</v>
      </c>
      <c r="G785" s="1" t="b">
        <f>IF(OR(LEFT(RIGHT(Master_Reference[[#This Row],[Model Number]],3),1)="C",LEFT(RIGHT(Master_Reference[[#This Row],[Model Number]],4),1)="C"),TRUE,"")</f>
        <v>1</v>
      </c>
      <c r="H785" s="1" t="str">
        <f>IF(LEFT(Master_Reference[[#This Row],[Model Number]],1)="U",TRUE,"")</f>
        <v/>
      </c>
      <c r="I785" s="1" t="b">
        <f>IF(Master_Reference[[#This Row],[Lamp Type]]="T4","",IF(Master_Reference[[#This Row],[Case Type]]="M","",TRUE))</f>
        <v>1</v>
      </c>
      <c r="J785" s="1" t="s">
        <v>215</v>
      </c>
      <c r="K785" s="1">
        <v>36</v>
      </c>
      <c r="L785" s="1" t="s">
        <v>216</v>
      </c>
      <c r="M785" s="1">
        <v>1</v>
      </c>
      <c r="N785" s="1" t="s">
        <v>149</v>
      </c>
      <c r="O785" s="1" t="s">
        <v>217</v>
      </c>
      <c r="R785" t="b">
        <f>IF(COUNTBLANK(Master_Reference[[#This Row],[C-Flex 3000K Eco Part Number]:[C-Flex 4000K Eco Part Number]])=3,FALSE,TRUE)</f>
        <v>0</v>
      </c>
      <c r="S785" t="b">
        <f>IF(COUNTBLANK(Master_Reference[[#This Row],[C-Flex 3000K 3W Part Number]:[C-Flex 4000K 3W Part Number]])=3,FALSE,TRUE)</f>
        <v>0</v>
      </c>
      <c r="T785" t="b">
        <f>IF(COUNTBLANK(Master_Reference[[#This Row],[Lutron 3000K Eco Part Number]:[Lutron 4000K Eco Part Number]])=3,FALSE,TRUE)</f>
        <v>0</v>
      </c>
      <c r="U785" t="b">
        <f>IF(COUNTBLANK(Master_Reference[[#This Row],[Lutron 3000K 3W Part Number]:[Lutron 4000K 3W Part Number]])=3,FALSE,TRUE)</f>
        <v>0</v>
      </c>
      <c r="V785" s="12"/>
      <c r="W785" s="12"/>
      <c r="X785" s="12"/>
      <c r="Y785" t="s">
        <v>2125</v>
      </c>
      <c r="Z785" s="12"/>
      <c r="AA785" s="12"/>
      <c r="AB785" s="12"/>
      <c r="AC785" t="s">
        <v>2125</v>
      </c>
      <c r="AD785" t="str">
        <f>SUBSTITUTE(Master_Reference[[#This Row],[C-Flex 4000K Eco Part Number]],"40-","xx-")</f>
        <v/>
      </c>
      <c r="AE785" t="str">
        <f>SUBSTITUTE(Master_Reference[[#This Row],[C-Flex 4000K 3W Part Number]],"40-","xx-")</f>
        <v/>
      </c>
      <c r="AF785" s="1" t="str">
        <f>_xlfn.IFNA(VLOOKUP(Master_Reference[[#This Row],[C-Flex 3000K Eco Part Number]],Lutron_CFlex_Lookup[],MATCH("Lutron Kit PN",Lutron_CFlex_Lookup[#Headers],0),FALSE),"")</f>
        <v/>
      </c>
      <c r="AG785" s="1" t="str">
        <f>_xlfn.IFNA(VLOOKUP(Master_Reference[[#This Row],[C-Flex 3500K Eco Part Number]],Lutron_CFlex_Lookup[],MATCH("Lutron Kit PN",Lutron_CFlex_Lookup[#Headers],0),FALSE),"")</f>
        <v/>
      </c>
      <c r="AH785" s="1" t="str">
        <f>_xlfn.IFNA(VLOOKUP(Master_Reference[[#This Row],[C-Flex 4000K Eco Part Number]],Lutron_CFlex_Lookup[],MATCH("Lutron Kit PN",Lutron_CFlex_Lookup[#Headers],0),FALSE),"")</f>
        <v/>
      </c>
      <c r="AI785" s="1" t="str">
        <f>_xlfn.IFNA(VLOOKUP(Master_Reference[[#This Row],[C-Flex 5000K Eco Part Number]],Lutron_CFlex_Lookup[],MATCH("Lutron Kit PN",Lutron_CFlex_Lookup[#Headers],0),FALSE),"")</f>
        <v/>
      </c>
      <c r="AJ785" s="1" t="str">
        <f>_xlfn.IFNA(VLOOKUP(Master_Reference[[#This Row],[C-Flex 3000K 3W Part Number]],Lutron_CFlex_Lookup[],MATCH("Lutron Kit PN",Lutron_CFlex_Lookup[#Headers],0),FALSE),"")</f>
        <v/>
      </c>
      <c r="AK785" s="1" t="str">
        <f>_xlfn.IFNA(VLOOKUP(Master_Reference[[#This Row],[C-Flex 3500K 3W Part Number]],Lutron_CFlex_Lookup[],MATCH("Lutron Kit PN",Lutron_CFlex_Lookup[#Headers],0),FALSE),"")</f>
        <v/>
      </c>
      <c r="AL785" s="1" t="str">
        <f>_xlfn.IFNA(VLOOKUP(Master_Reference[[#This Row],[C-Flex 4000K 3W Part Number]],Lutron_CFlex_Lookup[],MATCH("Lutron Kit PN",Lutron_CFlex_Lookup[#Headers],0),FALSE),"")</f>
        <v/>
      </c>
      <c r="AM785" s="1" t="str">
        <f>_xlfn.IFNA(VLOOKUP(Master_Reference[[#This Row],[C-Flex 5000K 3W Part Number]],Lutron_CFlex_Lookup[],MATCH("Lutron Kit PN",Lutron_CFlex_Lookup[#Headers],0),FALSE),"")</f>
        <v/>
      </c>
      <c r="AN785" s="1" t="b">
        <f>NOT(ISNA(VLOOKUP(Master_Reference[[#This Row],[Model Number]],ObsoleteModels[],1,FALSE)))</f>
        <v>1</v>
      </c>
      <c r="AO785" s="1" t="str">
        <f>IF(LEFT(Master_Reference[[#This Row],[Model Number]],1)="U",LEFT(Master_Reference[[#This Row],[Model Number]],4),LEFT(Master_Reference[[#This Row],[Model Number]],3))</f>
        <v>H3D</v>
      </c>
    </row>
    <row r="786" spans="1:41" x14ac:dyDescent="0.25">
      <c r="A786" s="2" t="s">
        <v>1087</v>
      </c>
      <c r="B786" s="1" t="b">
        <v>1</v>
      </c>
      <c r="C786" s="1" t="b">
        <v>1</v>
      </c>
      <c r="G786" s="1" t="str">
        <f>IF(OR(LEFT(RIGHT(Master_Reference[[#This Row],[Model Number]],3),1)="C",LEFT(RIGHT(Master_Reference[[#This Row],[Model Number]],4),1)="C"),TRUE,"")</f>
        <v/>
      </c>
      <c r="H786" s="1" t="str">
        <f>IF(LEFT(Master_Reference[[#This Row],[Model Number]],1)="U",TRUE,"")</f>
        <v/>
      </c>
      <c r="I786" s="1" t="b">
        <f>IF(Master_Reference[[#This Row],[Lamp Type]]="T4","",IF(Master_Reference[[#This Row],[Case Type]]="M","",TRUE))</f>
        <v>1</v>
      </c>
      <c r="J786" s="1" t="s">
        <v>215</v>
      </c>
      <c r="K786" s="1">
        <v>36</v>
      </c>
      <c r="L786" s="1" t="s">
        <v>216</v>
      </c>
      <c r="M786" s="1">
        <v>2</v>
      </c>
      <c r="N786" s="1" t="s">
        <v>149</v>
      </c>
      <c r="O786" s="1" t="s">
        <v>217</v>
      </c>
      <c r="R786" t="b">
        <f>IF(COUNTBLANK(Master_Reference[[#This Row],[C-Flex 3000K Eco Part Number]:[C-Flex 4000K Eco Part Number]])=3,FALSE,TRUE)</f>
        <v>0</v>
      </c>
      <c r="S786" t="b">
        <f>IF(COUNTBLANK(Master_Reference[[#This Row],[C-Flex 3000K 3W Part Number]:[C-Flex 4000K 3W Part Number]])=3,FALSE,TRUE)</f>
        <v>0</v>
      </c>
      <c r="T786" t="b">
        <f>IF(COUNTBLANK(Master_Reference[[#This Row],[Lutron 3000K Eco Part Number]:[Lutron 4000K Eco Part Number]])=3,FALSE,TRUE)</f>
        <v>0</v>
      </c>
      <c r="U786" t="b">
        <f>IF(COUNTBLANK(Master_Reference[[#This Row],[Lutron 3000K 3W Part Number]:[Lutron 4000K 3W Part Number]])=3,FALSE,TRUE)</f>
        <v>0</v>
      </c>
      <c r="V786" s="12"/>
      <c r="W786" s="12"/>
      <c r="X786" s="12"/>
      <c r="Y786" t="s">
        <v>2125</v>
      </c>
      <c r="Z786" s="12"/>
      <c r="AA786" s="12"/>
      <c r="AB786" s="12"/>
      <c r="AC786" t="s">
        <v>2125</v>
      </c>
      <c r="AD786" t="str">
        <f>SUBSTITUTE(Master_Reference[[#This Row],[C-Flex 4000K Eco Part Number]],"40-","xx-")</f>
        <v/>
      </c>
      <c r="AE786" t="str">
        <f>SUBSTITUTE(Master_Reference[[#This Row],[C-Flex 4000K 3W Part Number]],"40-","xx-")</f>
        <v/>
      </c>
      <c r="AF786" s="1" t="str">
        <f>_xlfn.IFNA(VLOOKUP(Master_Reference[[#This Row],[C-Flex 3000K Eco Part Number]],Lutron_CFlex_Lookup[],MATCH("Lutron Kit PN",Lutron_CFlex_Lookup[#Headers],0),FALSE),"")</f>
        <v/>
      </c>
      <c r="AG786" s="1" t="str">
        <f>_xlfn.IFNA(VLOOKUP(Master_Reference[[#This Row],[C-Flex 3500K Eco Part Number]],Lutron_CFlex_Lookup[],MATCH("Lutron Kit PN",Lutron_CFlex_Lookup[#Headers],0),FALSE),"")</f>
        <v/>
      </c>
      <c r="AH786" s="1" t="str">
        <f>_xlfn.IFNA(VLOOKUP(Master_Reference[[#This Row],[C-Flex 4000K Eco Part Number]],Lutron_CFlex_Lookup[],MATCH("Lutron Kit PN",Lutron_CFlex_Lookup[#Headers],0),FALSE),"")</f>
        <v/>
      </c>
      <c r="AI786" s="1" t="str">
        <f>_xlfn.IFNA(VLOOKUP(Master_Reference[[#This Row],[C-Flex 5000K Eco Part Number]],Lutron_CFlex_Lookup[],MATCH("Lutron Kit PN",Lutron_CFlex_Lookup[#Headers],0),FALSE),"")</f>
        <v/>
      </c>
      <c r="AJ786" s="1" t="str">
        <f>_xlfn.IFNA(VLOOKUP(Master_Reference[[#This Row],[C-Flex 3000K 3W Part Number]],Lutron_CFlex_Lookup[],MATCH("Lutron Kit PN",Lutron_CFlex_Lookup[#Headers],0),FALSE),"")</f>
        <v/>
      </c>
      <c r="AK786" s="1" t="str">
        <f>_xlfn.IFNA(VLOOKUP(Master_Reference[[#This Row],[C-Flex 3500K 3W Part Number]],Lutron_CFlex_Lookup[],MATCH("Lutron Kit PN",Lutron_CFlex_Lookup[#Headers],0),FALSE),"")</f>
        <v/>
      </c>
      <c r="AL786" s="1" t="str">
        <f>_xlfn.IFNA(VLOOKUP(Master_Reference[[#This Row],[C-Flex 4000K 3W Part Number]],Lutron_CFlex_Lookup[],MATCH("Lutron Kit PN",Lutron_CFlex_Lookup[#Headers],0),FALSE),"")</f>
        <v/>
      </c>
      <c r="AM786" s="1" t="str">
        <f>_xlfn.IFNA(VLOOKUP(Master_Reference[[#This Row],[C-Flex 5000K 3W Part Number]],Lutron_CFlex_Lookup[],MATCH("Lutron Kit PN",Lutron_CFlex_Lookup[#Headers],0),FALSE),"")</f>
        <v/>
      </c>
      <c r="AN786" s="1" t="b">
        <f>NOT(ISNA(VLOOKUP(Master_Reference[[#This Row],[Model Number]],ObsoleteModels[],1,FALSE)))</f>
        <v>1</v>
      </c>
      <c r="AO786" s="1" t="str">
        <f>IF(LEFT(Master_Reference[[#This Row],[Model Number]],1)="U",LEFT(Master_Reference[[#This Row],[Model Number]],4),LEFT(Master_Reference[[#This Row],[Model Number]],3))</f>
        <v>H3D</v>
      </c>
    </row>
    <row r="787" spans="1:41" x14ac:dyDescent="0.25">
      <c r="A787" s="2" t="s">
        <v>1088</v>
      </c>
      <c r="B787" s="1" t="b">
        <v>1</v>
      </c>
      <c r="C787" s="1" t="b">
        <v>1</v>
      </c>
      <c r="G787" s="1" t="str">
        <f>IF(OR(LEFT(RIGHT(Master_Reference[[#This Row],[Model Number]],3),1)="C",LEFT(RIGHT(Master_Reference[[#This Row],[Model Number]],4),1)="C"),TRUE,"")</f>
        <v/>
      </c>
      <c r="H787" s="1" t="str">
        <f>IF(LEFT(Master_Reference[[#This Row],[Model Number]],1)="U",TRUE,"")</f>
        <v/>
      </c>
      <c r="I787" s="1" t="b">
        <f>IF(Master_Reference[[#This Row],[Lamp Type]]="T4","",IF(Master_Reference[[#This Row],[Case Type]]="M","",TRUE))</f>
        <v>1</v>
      </c>
      <c r="J787" s="1" t="s">
        <v>297</v>
      </c>
      <c r="K787" s="1">
        <v>39</v>
      </c>
      <c r="L787" s="1" t="s">
        <v>115</v>
      </c>
      <c r="M787" s="1">
        <v>1</v>
      </c>
      <c r="N787" s="1" t="s">
        <v>149</v>
      </c>
      <c r="O787" s="1" t="s">
        <v>113</v>
      </c>
      <c r="R787" t="b">
        <f>IF(COUNTBLANK(Master_Reference[[#This Row],[C-Flex 3000K Eco Part Number]:[C-Flex 4000K Eco Part Number]])=3,FALSE,TRUE)</f>
        <v>1</v>
      </c>
      <c r="S787" t="b">
        <f>IF(COUNTBLANK(Master_Reference[[#This Row],[C-Flex 3000K 3W Part Number]:[C-Flex 4000K 3W Part Number]])=3,FALSE,TRUE)</f>
        <v>1</v>
      </c>
      <c r="T787" t="b">
        <f>IF(COUNTBLANK(Master_Reference[[#This Row],[Lutron 3000K Eco Part Number]:[Lutron 4000K Eco Part Number]])=3,FALSE,TRUE)</f>
        <v>1</v>
      </c>
      <c r="U787" t="b">
        <f>IF(COUNTBLANK(Master_Reference[[#This Row],[Lutron 3000K 3W Part Number]:[Lutron 4000K 3W Part Number]])=3,FALSE,TRUE)</f>
        <v>1</v>
      </c>
      <c r="V787" s="12" t="s">
        <v>405</v>
      </c>
      <c r="W787" s="12" t="s">
        <v>406</v>
      </c>
      <c r="X787" s="12" t="s">
        <v>407</v>
      </c>
      <c r="Y787" t="s">
        <v>1727</v>
      </c>
      <c r="Z787" s="12" t="s">
        <v>408</v>
      </c>
      <c r="AA787" s="12" t="s">
        <v>409</v>
      </c>
      <c r="AB787" s="12" t="s">
        <v>410</v>
      </c>
      <c r="AC787" t="s">
        <v>1815</v>
      </c>
      <c r="AD787" t="str">
        <f>SUBSTITUTE(Master_Reference[[#This Row],[C-Flex 4000K Eco Part Number]],"40-","xx-")</f>
        <v>RP-T5HO-3FT-1L-8xx-E1-M-G2</v>
      </c>
      <c r="AE787" t="str">
        <f>SUBSTITUTE(Master_Reference[[#This Row],[C-Flex 4000K 3W Part Number]],"40-","xx-")</f>
        <v>RP-T5HO-3FT-1L-8xx-3W-M-G2</v>
      </c>
      <c r="AF787" s="1" t="str">
        <f>_xlfn.IFNA(VLOOKUP(Master_Reference[[#This Row],[C-Flex 3000K Eco Part Number]],Lutron_CFlex_Lookup[],MATCH("Lutron Kit PN",Lutron_CFlex_Lookup[#Headers],0),FALSE),"")</f>
        <v>ELD3T5H-1M30-q</v>
      </c>
      <c r="AG787" s="1" t="str">
        <f>_xlfn.IFNA(VLOOKUP(Master_Reference[[#This Row],[C-Flex 3500K Eco Part Number]],Lutron_CFlex_Lookup[],MATCH("Lutron Kit PN",Lutron_CFlex_Lookup[#Headers],0),FALSE),"")</f>
        <v>ELD3T5H-1M35-q</v>
      </c>
      <c r="AH787" s="1" t="str">
        <f>_xlfn.IFNA(VLOOKUP(Master_Reference[[#This Row],[C-Flex 4000K Eco Part Number]],Lutron_CFlex_Lookup[],MATCH("Lutron Kit PN",Lutron_CFlex_Lookup[#Headers],0),FALSE),"")</f>
        <v>ELD3T5H-1M40-q</v>
      </c>
      <c r="AI787" s="1" t="str">
        <f>_xlfn.IFNA(VLOOKUP(Master_Reference[[#This Row],[C-Flex 5000K Eco Part Number]],Lutron_CFlex_Lookup[],MATCH("Lutron Kit PN",Lutron_CFlex_Lookup[#Headers],0),FALSE),"")</f>
        <v>ELD3T5H-1M50-q</v>
      </c>
      <c r="AJ787" s="1" t="str">
        <f>_xlfn.IFNA(VLOOKUP(Master_Reference[[#This Row],[C-Flex 3000K 3W Part Number]],Lutron_CFlex_Lookup[],MATCH("Lutron Kit PN",Lutron_CFlex_Lookup[#Headers],0),FALSE),"")</f>
        <v>3LD3T5H-1M30-q</v>
      </c>
      <c r="AK787" s="1" t="str">
        <f>_xlfn.IFNA(VLOOKUP(Master_Reference[[#This Row],[C-Flex 3500K 3W Part Number]],Lutron_CFlex_Lookup[],MATCH("Lutron Kit PN",Lutron_CFlex_Lookup[#Headers],0),FALSE),"")</f>
        <v>3LD3T5H-1M35-q</v>
      </c>
      <c r="AL787" s="1" t="str">
        <f>_xlfn.IFNA(VLOOKUP(Master_Reference[[#This Row],[C-Flex 4000K 3W Part Number]],Lutron_CFlex_Lookup[],MATCH("Lutron Kit PN",Lutron_CFlex_Lookup[#Headers],0),FALSE),"")</f>
        <v>3LD3T5H-1M40-q</v>
      </c>
      <c r="AM787" s="1" t="str">
        <f>_xlfn.IFNA(VLOOKUP(Master_Reference[[#This Row],[C-Flex 5000K 3W Part Number]],Lutron_CFlex_Lookup[],MATCH("Lutron Kit PN",Lutron_CFlex_Lookup[#Headers],0),FALSE),"")</f>
        <v>3LD3T5H-1M50-q</v>
      </c>
      <c r="AN787" s="1" t="b">
        <f>NOT(ISNA(VLOOKUP(Master_Reference[[#This Row],[Model Number]],ObsoleteModels[],1,FALSE)))</f>
        <v>1</v>
      </c>
      <c r="AO787" s="1" t="str">
        <f>IF(LEFT(Master_Reference[[#This Row],[Model Number]],1)="U",LEFT(Master_Reference[[#This Row],[Model Number]],4),LEFT(Master_Reference[[#This Row],[Model Number]],3))</f>
        <v>H3D</v>
      </c>
    </row>
    <row r="788" spans="1:41" x14ac:dyDescent="0.25">
      <c r="A788" s="2" t="s">
        <v>1089</v>
      </c>
      <c r="B788" s="1" t="b">
        <v>1</v>
      </c>
      <c r="C788" s="1" t="b">
        <v>1</v>
      </c>
      <c r="G788" s="1" t="str">
        <f>IF(OR(LEFT(RIGHT(Master_Reference[[#This Row],[Model Number]],3),1)="C",LEFT(RIGHT(Master_Reference[[#This Row],[Model Number]],4),1)="C"),TRUE,"")</f>
        <v/>
      </c>
      <c r="H788" s="1" t="str">
        <f>IF(LEFT(Master_Reference[[#This Row],[Model Number]],1)="U",TRUE,"")</f>
        <v/>
      </c>
      <c r="I788" s="1" t="b">
        <f>IF(Master_Reference[[#This Row],[Lamp Type]]="T4","",IF(Master_Reference[[#This Row],[Case Type]]="M","",TRUE))</f>
        <v>1</v>
      </c>
      <c r="J788" s="1" t="s">
        <v>297</v>
      </c>
      <c r="K788" s="1">
        <v>39</v>
      </c>
      <c r="L788" s="1" t="s">
        <v>115</v>
      </c>
      <c r="M788" s="1">
        <v>1</v>
      </c>
      <c r="N788" s="1" t="s">
        <v>149</v>
      </c>
      <c r="O788" s="1" t="s">
        <v>113</v>
      </c>
      <c r="Q788" s="1" t="s">
        <v>91</v>
      </c>
      <c r="R788" t="b">
        <f>IF(COUNTBLANK(Master_Reference[[#This Row],[C-Flex 3000K Eco Part Number]:[C-Flex 4000K Eco Part Number]])=3,FALSE,TRUE)</f>
        <v>0</v>
      </c>
      <c r="S788" t="b">
        <f>IF(COUNTBLANK(Master_Reference[[#This Row],[C-Flex 3000K 3W Part Number]:[C-Flex 4000K 3W Part Number]])=3,FALSE,TRUE)</f>
        <v>0</v>
      </c>
      <c r="T788" t="b">
        <f>IF(COUNTBLANK(Master_Reference[[#This Row],[Lutron 3000K Eco Part Number]:[Lutron 4000K Eco Part Number]])=3,FALSE,TRUE)</f>
        <v>0</v>
      </c>
      <c r="U788" t="b">
        <f>IF(COUNTBLANK(Master_Reference[[#This Row],[Lutron 3000K 3W Part Number]:[Lutron 4000K 3W Part Number]])=3,FALSE,TRUE)</f>
        <v>0</v>
      </c>
      <c r="V788" s="12"/>
      <c r="W788" s="12"/>
      <c r="X788" s="12"/>
      <c r="Y788" t="s">
        <v>2125</v>
      </c>
      <c r="Z788" s="12"/>
      <c r="AA788" s="12"/>
      <c r="AB788" s="12"/>
      <c r="AC788" t="s">
        <v>2125</v>
      </c>
      <c r="AD788" t="str">
        <f>SUBSTITUTE(Master_Reference[[#This Row],[C-Flex 4000K Eco Part Number]],"40-","xx-")</f>
        <v/>
      </c>
      <c r="AE788" t="str">
        <f>SUBSTITUTE(Master_Reference[[#This Row],[C-Flex 4000K 3W Part Number]],"40-","xx-")</f>
        <v/>
      </c>
      <c r="AF788" s="1" t="str">
        <f>_xlfn.IFNA(VLOOKUP(Master_Reference[[#This Row],[C-Flex 3000K Eco Part Number]],Lutron_CFlex_Lookup[],MATCH("Lutron Kit PN",Lutron_CFlex_Lookup[#Headers],0),FALSE),"")</f>
        <v/>
      </c>
      <c r="AG788" s="1" t="str">
        <f>_xlfn.IFNA(VLOOKUP(Master_Reference[[#This Row],[C-Flex 3500K Eco Part Number]],Lutron_CFlex_Lookup[],MATCH("Lutron Kit PN",Lutron_CFlex_Lookup[#Headers],0),FALSE),"")</f>
        <v/>
      </c>
      <c r="AH788" s="1" t="str">
        <f>_xlfn.IFNA(VLOOKUP(Master_Reference[[#This Row],[C-Flex 4000K Eco Part Number]],Lutron_CFlex_Lookup[],MATCH("Lutron Kit PN",Lutron_CFlex_Lookup[#Headers],0),FALSE),"")</f>
        <v/>
      </c>
      <c r="AI788" s="1" t="str">
        <f>_xlfn.IFNA(VLOOKUP(Master_Reference[[#This Row],[C-Flex 5000K Eco Part Number]],Lutron_CFlex_Lookup[],MATCH("Lutron Kit PN",Lutron_CFlex_Lookup[#Headers],0),FALSE),"")</f>
        <v/>
      </c>
      <c r="AJ788" s="1" t="str">
        <f>_xlfn.IFNA(VLOOKUP(Master_Reference[[#This Row],[C-Flex 3000K 3W Part Number]],Lutron_CFlex_Lookup[],MATCH("Lutron Kit PN",Lutron_CFlex_Lookup[#Headers],0),FALSE),"")</f>
        <v/>
      </c>
      <c r="AK788" s="1" t="str">
        <f>_xlfn.IFNA(VLOOKUP(Master_Reference[[#This Row],[C-Flex 3500K 3W Part Number]],Lutron_CFlex_Lookup[],MATCH("Lutron Kit PN",Lutron_CFlex_Lookup[#Headers],0),FALSE),"")</f>
        <v/>
      </c>
      <c r="AL788" s="1" t="str">
        <f>_xlfn.IFNA(VLOOKUP(Master_Reference[[#This Row],[C-Flex 4000K 3W Part Number]],Lutron_CFlex_Lookup[],MATCH("Lutron Kit PN",Lutron_CFlex_Lookup[#Headers],0),FALSE),"")</f>
        <v/>
      </c>
      <c r="AM788" s="1" t="str">
        <f>_xlfn.IFNA(VLOOKUP(Master_Reference[[#This Row],[C-Flex 5000K 3W Part Number]],Lutron_CFlex_Lookup[],MATCH("Lutron Kit PN",Lutron_CFlex_Lookup[#Headers],0),FALSE),"")</f>
        <v/>
      </c>
      <c r="AN788" s="1" t="b">
        <f>NOT(ISNA(VLOOKUP(Master_Reference[[#This Row],[Model Number]],ObsoleteModels[],1,FALSE)))</f>
        <v>1</v>
      </c>
      <c r="AO788" s="1" t="str">
        <f>IF(LEFT(Master_Reference[[#This Row],[Model Number]],1)="U",LEFT(Master_Reference[[#This Row],[Model Number]],4),LEFT(Master_Reference[[#This Row],[Model Number]],3))</f>
        <v>H3D</v>
      </c>
    </row>
    <row r="789" spans="1:41" x14ac:dyDescent="0.25">
      <c r="A789" s="2" t="s">
        <v>1090</v>
      </c>
      <c r="B789" s="1" t="b">
        <v>1</v>
      </c>
      <c r="C789" s="1" t="b">
        <v>1</v>
      </c>
      <c r="G789" s="1" t="b">
        <f>IF(OR(LEFT(RIGHT(Master_Reference[[#This Row],[Model Number]],3),1)="C",LEFT(RIGHT(Master_Reference[[#This Row],[Model Number]],4),1)="C"),TRUE,"")</f>
        <v>1</v>
      </c>
      <c r="H789" s="1" t="str">
        <f>IF(LEFT(Master_Reference[[#This Row],[Model Number]],1)="U",TRUE,"")</f>
        <v/>
      </c>
      <c r="I789" s="1" t="b">
        <f>IF(Master_Reference[[#This Row],[Lamp Type]]="T4","",IF(Master_Reference[[#This Row],[Case Type]]="M","",TRUE))</f>
        <v>1</v>
      </c>
      <c r="J789" s="1" t="s">
        <v>297</v>
      </c>
      <c r="K789" s="1">
        <v>39</v>
      </c>
      <c r="L789" s="1" t="s">
        <v>115</v>
      </c>
      <c r="M789" s="1">
        <v>1</v>
      </c>
      <c r="N789" s="1" t="s">
        <v>149</v>
      </c>
      <c r="O789" s="1" t="s">
        <v>113</v>
      </c>
      <c r="R789" t="b">
        <f>IF(COUNTBLANK(Master_Reference[[#This Row],[C-Flex 3000K Eco Part Number]:[C-Flex 4000K Eco Part Number]])=3,FALSE,TRUE)</f>
        <v>1</v>
      </c>
      <c r="S789" t="b">
        <f>IF(COUNTBLANK(Master_Reference[[#This Row],[C-Flex 3000K 3W Part Number]:[C-Flex 4000K 3W Part Number]])=3,FALSE,TRUE)</f>
        <v>1</v>
      </c>
      <c r="T789" t="b">
        <f>IF(COUNTBLANK(Master_Reference[[#This Row],[Lutron 3000K Eco Part Number]:[Lutron 4000K Eco Part Number]])=3,FALSE,TRUE)</f>
        <v>1</v>
      </c>
      <c r="U789" t="b">
        <f>IF(COUNTBLANK(Master_Reference[[#This Row],[Lutron 3000K 3W Part Number]:[Lutron 4000K 3W Part Number]])=3,FALSE,TRUE)</f>
        <v>1</v>
      </c>
      <c r="V789" s="12" t="s">
        <v>405</v>
      </c>
      <c r="W789" s="12" t="s">
        <v>406</v>
      </c>
      <c r="X789" s="12" t="s">
        <v>407</v>
      </c>
      <c r="Y789" t="s">
        <v>1727</v>
      </c>
      <c r="Z789" s="12" t="s">
        <v>408</v>
      </c>
      <c r="AA789" s="12" t="s">
        <v>409</v>
      </c>
      <c r="AB789" s="12" t="s">
        <v>410</v>
      </c>
      <c r="AC789" t="s">
        <v>1815</v>
      </c>
      <c r="AD789" t="str">
        <f>SUBSTITUTE(Master_Reference[[#This Row],[C-Flex 4000K Eco Part Number]],"40-","xx-")</f>
        <v>RP-T5HO-3FT-1L-8xx-E1-M-G2</v>
      </c>
      <c r="AE789" t="str">
        <f>SUBSTITUTE(Master_Reference[[#This Row],[C-Flex 4000K 3W Part Number]],"40-","xx-")</f>
        <v>RP-T5HO-3FT-1L-8xx-3W-M-G2</v>
      </c>
      <c r="AF789" s="1" t="str">
        <f>_xlfn.IFNA(VLOOKUP(Master_Reference[[#This Row],[C-Flex 3000K Eco Part Number]],Lutron_CFlex_Lookup[],MATCH("Lutron Kit PN",Lutron_CFlex_Lookup[#Headers],0),FALSE),"")</f>
        <v>ELD3T5H-1M30-q</v>
      </c>
      <c r="AG789" s="1" t="str">
        <f>_xlfn.IFNA(VLOOKUP(Master_Reference[[#This Row],[C-Flex 3500K Eco Part Number]],Lutron_CFlex_Lookup[],MATCH("Lutron Kit PN",Lutron_CFlex_Lookup[#Headers],0),FALSE),"")</f>
        <v>ELD3T5H-1M35-q</v>
      </c>
      <c r="AH789" s="1" t="str">
        <f>_xlfn.IFNA(VLOOKUP(Master_Reference[[#This Row],[C-Flex 4000K Eco Part Number]],Lutron_CFlex_Lookup[],MATCH("Lutron Kit PN",Lutron_CFlex_Lookup[#Headers],0),FALSE),"")</f>
        <v>ELD3T5H-1M40-q</v>
      </c>
      <c r="AI789" s="1" t="str">
        <f>_xlfn.IFNA(VLOOKUP(Master_Reference[[#This Row],[C-Flex 5000K Eco Part Number]],Lutron_CFlex_Lookup[],MATCH("Lutron Kit PN",Lutron_CFlex_Lookup[#Headers],0),FALSE),"")</f>
        <v>ELD3T5H-1M50-q</v>
      </c>
      <c r="AJ789" s="1" t="str">
        <f>_xlfn.IFNA(VLOOKUP(Master_Reference[[#This Row],[C-Flex 3000K 3W Part Number]],Lutron_CFlex_Lookup[],MATCH("Lutron Kit PN",Lutron_CFlex_Lookup[#Headers],0),FALSE),"")</f>
        <v>3LD3T5H-1M30-q</v>
      </c>
      <c r="AK789" s="1" t="str">
        <f>_xlfn.IFNA(VLOOKUP(Master_Reference[[#This Row],[C-Flex 3500K 3W Part Number]],Lutron_CFlex_Lookup[],MATCH("Lutron Kit PN",Lutron_CFlex_Lookup[#Headers],0),FALSE),"")</f>
        <v>3LD3T5H-1M35-q</v>
      </c>
      <c r="AL789" s="1" t="str">
        <f>_xlfn.IFNA(VLOOKUP(Master_Reference[[#This Row],[C-Flex 4000K 3W Part Number]],Lutron_CFlex_Lookup[],MATCH("Lutron Kit PN",Lutron_CFlex_Lookup[#Headers],0),FALSE),"")</f>
        <v>3LD3T5H-1M40-q</v>
      </c>
      <c r="AM789" s="1" t="str">
        <f>_xlfn.IFNA(VLOOKUP(Master_Reference[[#This Row],[C-Flex 5000K 3W Part Number]],Lutron_CFlex_Lookup[],MATCH("Lutron Kit PN",Lutron_CFlex_Lookup[#Headers],0),FALSE),"")</f>
        <v>3LD3T5H-1M50-q</v>
      </c>
      <c r="AN789" s="1" t="b">
        <f>NOT(ISNA(VLOOKUP(Master_Reference[[#This Row],[Model Number]],ObsoleteModels[],1,FALSE)))</f>
        <v>1</v>
      </c>
      <c r="AO789" s="1" t="str">
        <f>IF(LEFT(Master_Reference[[#This Row],[Model Number]],1)="U",LEFT(Master_Reference[[#This Row],[Model Number]],4),LEFT(Master_Reference[[#This Row],[Model Number]],3))</f>
        <v>H3D</v>
      </c>
    </row>
    <row r="790" spans="1:41" x14ac:dyDescent="0.25">
      <c r="A790" s="2" t="s">
        <v>1091</v>
      </c>
      <c r="B790" s="1" t="b">
        <v>1</v>
      </c>
      <c r="C790" s="1" t="b">
        <v>1</v>
      </c>
      <c r="G790" s="1" t="str">
        <f>IF(OR(LEFT(RIGHT(Master_Reference[[#This Row],[Model Number]],3),1)="C",LEFT(RIGHT(Master_Reference[[#This Row],[Model Number]],4),1)="C"),TRUE,"")</f>
        <v/>
      </c>
      <c r="H790" s="1" t="str">
        <f>IF(LEFT(Master_Reference[[#This Row],[Model Number]],1)="U",TRUE,"")</f>
        <v/>
      </c>
      <c r="I790" s="1" t="b">
        <f>IF(Master_Reference[[#This Row],[Lamp Type]]="T4","",IF(Master_Reference[[#This Row],[Case Type]]="M","",TRUE))</f>
        <v>1</v>
      </c>
      <c r="J790" s="1" t="s">
        <v>297</v>
      </c>
      <c r="K790" s="1">
        <v>39</v>
      </c>
      <c r="L790" s="1" t="s">
        <v>115</v>
      </c>
      <c r="M790" s="1">
        <v>2</v>
      </c>
      <c r="N790" s="1" t="s">
        <v>149</v>
      </c>
      <c r="O790" s="1" t="s">
        <v>113</v>
      </c>
      <c r="R790" t="b">
        <f>IF(COUNTBLANK(Master_Reference[[#This Row],[C-Flex 3000K Eco Part Number]:[C-Flex 4000K Eco Part Number]])=3,FALSE,TRUE)</f>
        <v>1</v>
      </c>
      <c r="S790" t="b">
        <f>IF(COUNTBLANK(Master_Reference[[#This Row],[C-Flex 3000K 3W Part Number]:[C-Flex 4000K 3W Part Number]])=3,FALSE,TRUE)</f>
        <v>1</v>
      </c>
      <c r="T790" t="b">
        <f>IF(COUNTBLANK(Master_Reference[[#This Row],[Lutron 3000K Eco Part Number]:[Lutron 4000K Eco Part Number]])=3,FALSE,TRUE)</f>
        <v>1</v>
      </c>
      <c r="U790" t="b">
        <f>IF(COUNTBLANK(Master_Reference[[#This Row],[Lutron 3000K 3W Part Number]:[Lutron 4000K 3W Part Number]])=3,FALSE,TRUE)</f>
        <v>1</v>
      </c>
      <c r="V790" s="12" t="s">
        <v>412</v>
      </c>
      <c r="W790" s="12" t="s">
        <v>413</v>
      </c>
      <c r="X790" s="12" t="s">
        <v>414</v>
      </c>
      <c r="Y790" t="s">
        <v>1728</v>
      </c>
      <c r="Z790" s="12" t="s">
        <v>415</v>
      </c>
      <c r="AA790" s="12" t="s">
        <v>416</v>
      </c>
      <c r="AB790" s="12" t="s">
        <v>417</v>
      </c>
      <c r="AC790" t="s">
        <v>1816</v>
      </c>
      <c r="AD790" t="str">
        <f>SUBSTITUTE(Master_Reference[[#This Row],[C-Flex 4000K Eco Part Number]],"40-","xx-")</f>
        <v>RP-T5HO-3FT-2L-8xx-E1-M-G2</v>
      </c>
      <c r="AE790" t="str">
        <f>SUBSTITUTE(Master_Reference[[#This Row],[C-Flex 4000K 3W Part Number]],"40-","xx-")</f>
        <v>RP-T5HO-3FT-2L-8xx-3W-M-G2</v>
      </c>
      <c r="AF790" s="1" t="str">
        <f>_xlfn.IFNA(VLOOKUP(Master_Reference[[#This Row],[C-Flex 3000K Eco Part Number]],Lutron_CFlex_Lookup[],MATCH("Lutron Kit PN",Lutron_CFlex_Lookup[#Headers],0),FALSE),"")</f>
        <v>ELD3T5H-2M30-q</v>
      </c>
      <c r="AG790" s="1" t="str">
        <f>_xlfn.IFNA(VLOOKUP(Master_Reference[[#This Row],[C-Flex 3500K Eco Part Number]],Lutron_CFlex_Lookup[],MATCH("Lutron Kit PN",Lutron_CFlex_Lookup[#Headers],0),FALSE),"")</f>
        <v>ELD3T5H-2M35-q</v>
      </c>
      <c r="AH790" s="1" t="str">
        <f>_xlfn.IFNA(VLOOKUP(Master_Reference[[#This Row],[C-Flex 4000K Eco Part Number]],Lutron_CFlex_Lookup[],MATCH("Lutron Kit PN",Lutron_CFlex_Lookup[#Headers],0),FALSE),"")</f>
        <v>ELD3T5H-2M40-q</v>
      </c>
      <c r="AI790" s="1" t="str">
        <f>_xlfn.IFNA(VLOOKUP(Master_Reference[[#This Row],[C-Flex 5000K Eco Part Number]],Lutron_CFlex_Lookup[],MATCH("Lutron Kit PN",Lutron_CFlex_Lookup[#Headers],0),FALSE),"")</f>
        <v>ELD3T5H-2M50-q</v>
      </c>
      <c r="AJ790" s="1" t="str">
        <f>_xlfn.IFNA(VLOOKUP(Master_Reference[[#This Row],[C-Flex 3000K 3W Part Number]],Lutron_CFlex_Lookup[],MATCH("Lutron Kit PN",Lutron_CFlex_Lookup[#Headers],0),FALSE),"")</f>
        <v>3LD3T5H-2M30-q</v>
      </c>
      <c r="AK790" s="1" t="str">
        <f>_xlfn.IFNA(VLOOKUP(Master_Reference[[#This Row],[C-Flex 3500K 3W Part Number]],Lutron_CFlex_Lookup[],MATCH("Lutron Kit PN",Lutron_CFlex_Lookup[#Headers],0),FALSE),"")</f>
        <v>3LD3T5H-2M35-q</v>
      </c>
      <c r="AL790" s="1" t="str">
        <f>_xlfn.IFNA(VLOOKUP(Master_Reference[[#This Row],[C-Flex 4000K 3W Part Number]],Lutron_CFlex_Lookup[],MATCH("Lutron Kit PN",Lutron_CFlex_Lookup[#Headers],0),FALSE),"")</f>
        <v>3LD3T5H-2M40-q</v>
      </c>
      <c r="AM790" s="1" t="str">
        <f>_xlfn.IFNA(VLOOKUP(Master_Reference[[#This Row],[C-Flex 5000K 3W Part Number]],Lutron_CFlex_Lookup[],MATCH("Lutron Kit PN",Lutron_CFlex_Lookup[#Headers],0),FALSE),"")</f>
        <v>3LD3T5H-2M50-q</v>
      </c>
      <c r="AN790" s="1" t="b">
        <f>NOT(ISNA(VLOOKUP(Master_Reference[[#This Row],[Model Number]],ObsoleteModels[],1,FALSE)))</f>
        <v>1</v>
      </c>
      <c r="AO790" s="1" t="str">
        <f>IF(LEFT(Master_Reference[[#This Row],[Model Number]],1)="U",LEFT(Master_Reference[[#This Row],[Model Number]],4),LEFT(Master_Reference[[#This Row],[Model Number]],3))</f>
        <v>H3D</v>
      </c>
    </row>
    <row r="791" spans="1:41" x14ac:dyDescent="0.25">
      <c r="A791" s="2" t="s">
        <v>1092</v>
      </c>
      <c r="B791" s="1" t="b">
        <v>1</v>
      </c>
      <c r="C791" s="1" t="b">
        <v>1</v>
      </c>
      <c r="G791" s="1" t="str">
        <f>IF(OR(LEFT(RIGHT(Master_Reference[[#This Row],[Model Number]],3),1)="C",LEFT(RIGHT(Master_Reference[[#This Row],[Model Number]],4),1)="C"),TRUE,"")</f>
        <v/>
      </c>
      <c r="H791" s="1" t="str">
        <f>IF(LEFT(Master_Reference[[#This Row],[Model Number]],1)="U",TRUE,"")</f>
        <v/>
      </c>
      <c r="I791" s="1" t="b">
        <f>IF(Master_Reference[[#This Row],[Lamp Type]]="T4","",IF(Master_Reference[[#This Row],[Case Type]]="M","",TRUE))</f>
        <v>1</v>
      </c>
      <c r="J791" s="1" t="s">
        <v>297</v>
      </c>
      <c r="K791" s="1">
        <v>39</v>
      </c>
      <c r="L791" s="1" t="s">
        <v>115</v>
      </c>
      <c r="M791" s="1">
        <v>2</v>
      </c>
      <c r="N791" s="1" t="s">
        <v>149</v>
      </c>
      <c r="O791" s="1" t="s">
        <v>113</v>
      </c>
      <c r="Q791" s="1" t="s">
        <v>91</v>
      </c>
      <c r="R791" t="b">
        <f>IF(COUNTBLANK(Master_Reference[[#This Row],[C-Flex 3000K Eco Part Number]:[C-Flex 4000K Eco Part Number]])=3,FALSE,TRUE)</f>
        <v>0</v>
      </c>
      <c r="S791" t="b">
        <f>IF(COUNTBLANK(Master_Reference[[#This Row],[C-Flex 3000K 3W Part Number]:[C-Flex 4000K 3W Part Number]])=3,FALSE,TRUE)</f>
        <v>0</v>
      </c>
      <c r="T791" t="b">
        <f>IF(COUNTBLANK(Master_Reference[[#This Row],[Lutron 3000K Eco Part Number]:[Lutron 4000K Eco Part Number]])=3,FALSE,TRUE)</f>
        <v>0</v>
      </c>
      <c r="U791" t="b">
        <f>IF(COUNTBLANK(Master_Reference[[#This Row],[Lutron 3000K 3W Part Number]:[Lutron 4000K 3W Part Number]])=3,FALSE,TRUE)</f>
        <v>0</v>
      </c>
      <c r="V791" s="12"/>
      <c r="W791" s="12"/>
      <c r="X791" s="12"/>
      <c r="Y791" t="s">
        <v>2125</v>
      </c>
      <c r="Z791" s="12"/>
      <c r="AA791" s="12"/>
      <c r="AB791" s="12"/>
      <c r="AC791" t="s">
        <v>2125</v>
      </c>
      <c r="AD791" t="str">
        <f>SUBSTITUTE(Master_Reference[[#This Row],[C-Flex 4000K Eco Part Number]],"40-","xx-")</f>
        <v/>
      </c>
      <c r="AE791" t="str">
        <f>SUBSTITUTE(Master_Reference[[#This Row],[C-Flex 4000K 3W Part Number]],"40-","xx-")</f>
        <v/>
      </c>
      <c r="AF791" s="1" t="str">
        <f>_xlfn.IFNA(VLOOKUP(Master_Reference[[#This Row],[C-Flex 3000K Eco Part Number]],Lutron_CFlex_Lookup[],MATCH("Lutron Kit PN",Lutron_CFlex_Lookup[#Headers],0),FALSE),"")</f>
        <v/>
      </c>
      <c r="AG791" s="1" t="str">
        <f>_xlfn.IFNA(VLOOKUP(Master_Reference[[#This Row],[C-Flex 3500K Eco Part Number]],Lutron_CFlex_Lookup[],MATCH("Lutron Kit PN",Lutron_CFlex_Lookup[#Headers],0),FALSE),"")</f>
        <v/>
      </c>
      <c r="AH791" s="1" t="str">
        <f>_xlfn.IFNA(VLOOKUP(Master_Reference[[#This Row],[C-Flex 4000K Eco Part Number]],Lutron_CFlex_Lookup[],MATCH("Lutron Kit PN",Lutron_CFlex_Lookup[#Headers],0),FALSE),"")</f>
        <v/>
      </c>
      <c r="AI791" s="1" t="str">
        <f>_xlfn.IFNA(VLOOKUP(Master_Reference[[#This Row],[C-Flex 5000K Eco Part Number]],Lutron_CFlex_Lookup[],MATCH("Lutron Kit PN",Lutron_CFlex_Lookup[#Headers],0),FALSE),"")</f>
        <v/>
      </c>
      <c r="AJ791" s="1" t="str">
        <f>_xlfn.IFNA(VLOOKUP(Master_Reference[[#This Row],[C-Flex 3000K 3W Part Number]],Lutron_CFlex_Lookup[],MATCH("Lutron Kit PN",Lutron_CFlex_Lookup[#Headers],0),FALSE),"")</f>
        <v/>
      </c>
      <c r="AK791" s="1" t="str">
        <f>_xlfn.IFNA(VLOOKUP(Master_Reference[[#This Row],[C-Flex 3500K 3W Part Number]],Lutron_CFlex_Lookup[],MATCH("Lutron Kit PN",Lutron_CFlex_Lookup[#Headers],0),FALSE),"")</f>
        <v/>
      </c>
      <c r="AL791" s="1" t="str">
        <f>_xlfn.IFNA(VLOOKUP(Master_Reference[[#This Row],[C-Flex 4000K 3W Part Number]],Lutron_CFlex_Lookup[],MATCH("Lutron Kit PN",Lutron_CFlex_Lookup[#Headers],0),FALSE),"")</f>
        <v/>
      </c>
      <c r="AM791" s="1" t="str">
        <f>_xlfn.IFNA(VLOOKUP(Master_Reference[[#This Row],[C-Flex 5000K 3W Part Number]],Lutron_CFlex_Lookup[],MATCH("Lutron Kit PN",Lutron_CFlex_Lookup[#Headers],0),FALSE),"")</f>
        <v/>
      </c>
      <c r="AN791" s="1" t="b">
        <f>NOT(ISNA(VLOOKUP(Master_Reference[[#This Row],[Model Number]],ObsoleteModels[],1,FALSE)))</f>
        <v>1</v>
      </c>
      <c r="AO791" s="1" t="str">
        <f>IF(LEFT(Master_Reference[[#This Row],[Model Number]],1)="U",LEFT(Master_Reference[[#This Row],[Model Number]],4),LEFT(Master_Reference[[#This Row],[Model Number]],3))</f>
        <v>H3D</v>
      </c>
    </row>
    <row r="792" spans="1:41" x14ac:dyDescent="0.25">
      <c r="A792" s="2" t="s">
        <v>1093</v>
      </c>
      <c r="B792" s="1" t="b">
        <v>1</v>
      </c>
      <c r="C792" s="1" t="b">
        <v>1</v>
      </c>
      <c r="G792" s="1" t="b">
        <f>IF(OR(LEFT(RIGHT(Master_Reference[[#This Row],[Model Number]],3),1)="C",LEFT(RIGHT(Master_Reference[[#This Row],[Model Number]],4),1)="C"),TRUE,"")</f>
        <v>1</v>
      </c>
      <c r="H792" s="1" t="str">
        <f>IF(LEFT(Master_Reference[[#This Row],[Model Number]],1)="U",TRUE,"")</f>
        <v/>
      </c>
      <c r="I792" s="1" t="b">
        <f>IF(Master_Reference[[#This Row],[Lamp Type]]="T4","",IF(Master_Reference[[#This Row],[Case Type]]="M","",TRUE))</f>
        <v>1</v>
      </c>
      <c r="J792" s="1" t="s">
        <v>297</v>
      </c>
      <c r="K792" s="1">
        <v>39</v>
      </c>
      <c r="L792" s="1" t="s">
        <v>115</v>
      </c>
      <c r="M792" s="1">
        <v>2</v>
      </c>
      <c r="N792" s="1" t="s">
        <v>149</v>
      </c>
      <c r="O792" s="1" t="s">
        <v>113</v>
      </c>
      <c r="R792" t="b">
        <f>IF(COUNTBLANK(Master_Reference[[#This Row],[C-Flex 3000K Eco Part Number]:[C-Flex 4000K Eco Part Number]])=3,FALSE,TRUE)</f>
        <v>1</v>
      </c>
      <c r="S792" t="b">
        <f>IF(COUNTBLANK(Master_Reference[[#This Row],[C-Flex 3000K 3W Part Number]:[C-Flex 4000K 3W Part Number]])=3,FALSE,TRUE)</f>
        <v>1</v>
      </c>
      <c r="T792" t="b">
        <f>IF(COUNTBLANK(Master_Reference[[#This Row],[Lutron 3000K Eco Part Number]:[Lutron 4000K Eco Part Number]])=3,FALSE,TRUE)</f>
        <v>1</v>
      </c>
      <c r="U792" t="b">
        <f>IF(COUNTBLANK(Master_Reference[[#This Row],[Lutron 3000K 3W Part Number]:[Lutron 4000K 3W Part Number]])=3,FALSE,TRUE)</f>
        <v>1</v>
      </c>
      <c r="V792" s="12" t="s">
        <v>412</v>
      </c>
      <c r="W792" s="12" t="s">
        <v>413</v>
      </c>
      <c r="X792" s="12" t="s">
        <v>414</v>
      </c>
      <c r="Y792" t="s">
        <v>1728</v>
      </c>
      <c r="Z792" s="12" t="s">
        <v>415</v>
      </c>
      <c r="AA792" s="12" t="s">
        <v>416</v>
      </c>
      <c r="AB792" s="12" t="s">
        <v>417</v>
      </c>
      <c r="AC792" t="s">
        <v>1816</v>
      </c>
      <c r="AD792" t="str">
        <f>SUBSTITUTE(Master_Reference[[#This Row],[C-Flex 4000K Eco Part Number]],"40-","xx-")</f>
        <v>RP-T5HO-3FT-2L-8xx-E1-M-G2</v>
      </c>
      <c r="AE792" t="str">
        <f>SUBSTITUTE(Master_Reference[[#This Row],[C-Flex 4000K 3W Part Number]],"40-","xx-")</f>
        <v>RP-T5HO-3FT-2L-8xx-3W-M-G2</v>
      </c>
      <c r="AF792" s="1" t="str">
        <f>_xlfn.IFNA(VLOOKUP(Master_Reference[[#This Row],[C-Flex 3000K Eco Part Number]],Lutron_CFlex_Lookup[],MATCH("Lutron Kit PN",Lutron_CFlex_Lookup[#Headers],0),FALSE),"")</f>
        <v>ELD3T5H-2M30-q</v>
      </c>
      <c r="AG792" s="1" t="str">
        <f>_xlfn.IFNA(VLOOKUP(Master_Reference[[#This Row],[C-Flex 3500K Eco Part Number]],Lutron_CFlex_Lookup[],MATCH("Lutron Kit PN",Lutron_CFlex_Lookup[#Headers],0),FALSE),"")</f>
        <v>ELD3T5H-2M35-q</v>
      </c>
      <c r="AH792" s="1" t="str">
        <f>_xlfn.IFNA(VLOOKUP(Master_Reference[[#This Row],[C-Flex 4000K Eco Part Number]],Lutron_CFlex_Lookup[],MATCH("Lutron Kit PN",Lutron_CFlex_Lookup[#Headers],0),FALSE),"")</f>
        <v>ELD3T5H-2M40-q</v>
      </c>
      <c r="AI792" s="1" t="str">
        <f>_xlfn.IFNA(VLOOKUP(Master_Reference[[#This Row],[C-Flex 5000K Eco Part Number]],Lutron_CFlex_Lookup[],MATCH("Lutron Kit PN",Lutron_CFlex_Lookup[#Headers],0),FALSE),"")</f>
        <v>ELD3T5H-2M50-q</v>
      </c>
      <c r="AJ792" s="1" t="str">
        <f>_xlfn.IFNA(VLOOKUP(Master_Reference[[#This Row],[C-Flex 3000K 3W Part Number]],Lutron_CFlex_Lookup[],MATCH("Lutron Kit PN",Lutron_CFlex_Lookup[#Headers],0),FALSE),"")</f>
        <v>3LD3T5H-2M30-q</v>
      </c>
      <c r="AK792" s="1" t="str">
        <f>_xlfn.IFNA(VLOOKUP(Master_Reference[[#This Row],[C-Flex 3500K 3W Part Number]],Lutron_CFlex_Lookup[],MATCH("Lutron Kit PN",Lutron_CFlex_Lookup[#Headers],0),FALSE),"")</f>
        <v>3LD3T5H-2M35-q</v>
      </c>
      <c r="AL792" s="1" t="str">
        <f>_xlfn.IFNA(VLOOKUP(Master_Reference[[#This Row],[C-Flex 4000K 3W Part Number]],Lutron_CFlex_Lookup[],MATCH("Lutron Kit PN",Lutron_CFlex_Lookup[#Headers],0),FALSE),"")</f>
        <v>3LD3T5H-2M40-q</v>
      </c>
      <c r="AM792" s="1" t="str">
        <f>_xlfn.IFNA(VLOOKUP(Master_Reference[[#This Row],[C-Flex 5000K 3W Part Number]],Lutron_CFlex_Lookup[],MATCH("Lutron Kit PN",Lutron_CFlex_Lookup[#Headers],0),FALSE),"")</f>
        <v>3LD3T5H-2M50-q</v>
      </c>
      <c r="AN792" s="1" t="b">
        <f>NOT(ISNA(VLOOKUP(Master_Reference[[#This Row],[Model Number]],ObsoleteModels[],1,FALSE)))</f>
        <v>1</v>
      </c>
      <c r="AO792" s="1" t="str">
        <f>IF(LEFT(Master_Reference[[#This Row],[Model Number]],1)="U",LEFT(Master_Reference[[#This Row],[Model Number]],4),LEFT(Master_Reference[[#This Row],[Model Number]],3))</f>
        <v>H3D</v>
      </c>
    </row>
    <row r="793" spans="1:41" x14ac:dyDescent="0.25">
      <c r="A793" s="2" t="s">
        <v>1094</v>
      </c>
      <c r="B793" s="1" t="b">
        <v>1</v>
      </c>
      <c r="C793" s="1" t="b">
        <v>1</v>
      </c>
      <c r="G793" s="1" t="b">
        <f>IF(OR(LEFT(RIGHT(Master_Reference[[#This Row],[Model Number]],3),1)="C",LEFT(RIGHT(Master_Reference[[#This Row],[Model Number]],4),1)="C"),TRUE,"")</f>
        <v>1</v>
      </c>
      <c r="H793" s="1" t="str">
        <f>IF(LEFT(Master_Reference[[#This Row],[Model Number]],1)="U",TRUE,"")</f>
        <v/>
      </c>
      <c r="I793" s="1" t="b">
        <f>IF(Master_Reference[[#This Row],[Lamp Type]]="T4","",IF(Master_Reference[[#This Row],[Case Type]]="M","",TRUE))</f>
        <v>1</v>
      </c>
      <c r="J793" s="1" t="s">
        <v>297</v>
      </c>
      <c r="K793" s="1">
        <v>39</v>
      </c>
      <c r="L793" s="1" t="s">
        <v>115</v>
      </c>
      <c r="M793" s="1">
        <v>2</v>
      </c>
      <c r="N793" s="1" t="s">
        <v>149</v>
      </c>
      <c r="O793" s="1" t="s">
        <v>113</v>
      </c>
      <c r="R793" t="b">
        <f>IF(COUNTBLANK(Master_Reference[[#This Row],[C-Flex 3000K Eco Part Number]:[C-Flex 4000K Eco Part Number]])=3,FALSE,TRUE)</f>
        <v>1</v>
      </c>
      <c r="S793" t="b">
        <f>IF(COUNTBLANK(Master_Reference[[#This Row],[C-Flex 3000K 3W Part Number]:[C-Flex 4000K 3W Part Number]])=3,FALSE,TRUE)</f>
        <v>1</v>
      </c>
      <c r="T793" t="b">
        <f>IF(COUNTBLANK(Master_Reference[[#This Row],[Lutron 3000K Eco Part Number]:[Lutron 4000K Eco Part Number]])=3,FALSE,TRUE)</f>
        <v>1</v>
      </c>
      <c r="U793" t="b">
        <f>IF(COUNTBLANK(Master_Reference[[#This Row],[Lutron 3000K 3W Part Number]:[Lutron 4000K 3W Part Number]])=3,FALSE,TRUE)</f>
        <v>1</v>
      </c>
      <c r="V793" s="12" t="s">
        <v>412</v>
      </c>
      <c r="W793" s="12" t="s">
        <v>413</v>
      </c>
      <c r="X793" s="12" t="s">
        <v>414</v>
      </c>
      <c r="Y793" t="s">
        <v>1728</v>
      </c>
      <c r="Z793" s="12" t="s">
        <v>415</v>
      </c>
      <c r="AA793" s="12" t="s">
        <v>416</v>
      </c>
      <c r="AB793" s="12" t="s">
        <v>417</v>
      </c>
      <c r="AC793" t="s">
        <v>1816</v>
      </c>
      <c r="AD793" t="str">
        <f>SUBSTITUTE(Master_Reference[[#This Row],[C-Flex 4000K Eco Part Number]],"40-","xx-")</f>
        <v>RP-T5HO-3FT-2L-8xx-E1-M-G2</v>
      </c>
      <c r="AE793" t="str">
        <f>SUBSTITUTE(Master_Reference[[#This Row],[C-Flex 4000K 3W Part Number]],"40-","xx-")</f>
        <v>RP-T5HO-3FT-2L-8xx-3W-M-G2</v>
      </c>
      <c r="AF793" s="1" t="str">
        <f>_xlfn.IFNA(VLOOKUP(Master_Reference[[#This Row],[C-Flex 3000K Eco Part Number]],Lutron_CFlex_Lookup[],MATCH("Lutron Kit PN",Lutron_CFlex_Lookup[#Headers],0),FALSE),"")</f>
        <v>ELD3T5H-2M30-q</v>
      </c>
      <c r="AG793" s="1" t="str">
        <f>_xlfn.IFNA(VLOOKUP(Master_Reference[[#This Row],[C-Flex 3500K Eco Part Number]],Lutron_CFlex_Lookup[],MATCH("Lutron Kit PN",Lutron_CFlex_Lookup[#Headers],0),FALSE),"")</f>
        <v>ELD3T5H-2M35-q</v>
      </c>
      <c r="AH793" s="1" t="str">
        <f>_xlfn.IFNA(VLOOKUP(Master_Reference[[#This Row],[C-Flex 4000K Eco Part Number]],Lutron_CFlex_Lookup[],MATCH("Lutron Kit PN",Lutron_CFlex_Lookup[#Headers],0),FALSE),"")</f>
        <v>ELD3T5H-2M40-q</v>
      </c>
      <c r="AI793" s="1" t="str">
        <f>_xlfn.IFNA(VLOOKUP(Master_Reference[[#This Row],[C-Flex 5000K Eco Part Number]],Lutron_CFlex_Lookup[],MATCH("Lutron Kit PN",Lutron_CFlex_Lookup[#Headers],0),FALSE),"")</f>
        <v>ELD3T5H-2M50-q</v>
      </c>
      <c r="AJ793" s="1" t="str">
        <f>_xlfn.IFNA(VLOOKUP(Master_Reference[[#This Row],[C-Flex 3000K 3W Part Number]],Lutron_CFlex_Lookup[],MATCH("Lutron Kit PN",Lutron_CFlex_Lookup[#Headers],0),FALSE),"")</f>
        <v>3LD3T5H-2M30-q</v>
      </c>
      <c r="AK793" s="1" t="str">
        <f>_xlfn.IFNA(VLOOKUP(Master_Reference[[#This Row],[C-Flex 3500K 3W Part Number]],Lutron_CFlex_Lookup[],MATCH("Lutron Kit PN",Lutron_CFlex_Lookup[#Headers],0),FALSE),"")</f>
        <v>3LD3T5H-2M35-q</v>
      </c>
      <c r="AL793" s="1" t="str">
        <f>_xlfn.IFNA(VLOOKUP(Master_Reference[[#This Row],[C-Flex 4000K 3W Part Number]],Lutron_CFlex_Lookup[],MATCH("Lutron Kit PN",Lutron_CFlex_Lookup[#Headers],0),FALSE),"")</f>
        <v>3LD3T5H-2M40-q</v>
      </c>
      <c r="AM793" s="1" t="str">
        <f>_xlfn.IFNA(VLOOKUP(Master_Reference[[#This Row],[C-Flex 5000K 3W Part Number]],Lutron_CFlex_Lookup[],MATCH("Lutron Kit PN",Lutron_CFlex_Lookup[#Headers],0),FALSE),"")</f>
        <v>3LD3T5H-2M50-q</v>
      </c>
      <c r="AN793" s="1" t="b">
        <f>NOT(ISNA(VLOOKUP(Master_Reference[[#This Row],[Model Number]],ObsoleteModels[],1,FALSE)))</f>
        <v>1</v>
      </c>
      <c r="AO793" s="1" t="str">
        <f>IF(LEFT(Master_Reference[[#This Row],[Model Number]],1)="U",LEFT(Master_Reference[[#This Row],[Model Number]],4),LEFT(Master_Reference[[#This Row],[Model Number]],3))</f>
        <v>H3D</v>
      </c>
    </row>
    <row r="794" spans="1:41" x14ac:dyDescent="0.25">
      <c r="A794" s="2" t="s">
        <v>1095</v>
      </c>
      <c r="B794" s="1" t="b">
        <v>1</v>
      </c>
      <c r="C794" s="1" t="b">
        <v>1</v>
      </c>
      <c r="G794" s="1" t="str">
        <f>IF(OR(LEFT(RIGHT(Master_Reference[[#This Row],[Model Number]],3),1)="C",LEFT(RIGHT(Master_Reference[[#This Row],[Model Number]],4),1)="C"),TRUE,"")</f>
        <v/>
      </c>
      <c r="H794" s="1" t="str">
        <f>IF(LEFT(Master_Reference[[#This Row],[Model Number]],1)="U",TRUE,"")</f>
        <v/>
      </c>
      <c r="I794" s="1" t="b">
        <f>IF(Master_Reference[[#This Row],[Lamp Type]]="T4","",IF(Master_Reference[[#This Row],[Case Type]]="M","",TRUE))</f>
        <v>1</v>
      </c>
      <c r="J794" s="1" t="s">
        <v>215</v>
      </c>
      <c r="K794" s="1">
        <v>50</v>
      </c>
      <c r="L794" s="1" t="s">
        <v>225</v>
      </c>
      <c r="M794" s="1">
        <v>1</v>
      </c>
      <c r="N794" s="1" t="s">
        <v>149</v>
      </c>
      <c r="O794" s="1" t="s">
        <v>217</v>
      </c>
      <c r="R794" t="b">
        <f>IF(COUNTBLANK(Master_Reference[[#This Row],[C-Flex 3000K Eco Part Number]:[C-Flex 4000K Eco Part Number]])=3,FALSE,TRUE)</f>
        <v>1</v>
      </c>
      <c r="S794" t="b">
        <f>IF(COUNTBLANK(Master_Reference[[#This Row],[C-Flex 3000K 3W Part Number]:[C-Flex 4000K 3W Part Number]])=3,FALSE,TRUE)</f>
        <v>1</v>
      </c>
      <c r="T794" t="b">
        <f>IF(COUNTBLANK(Master_Reference[[#This Row],[Lutron 3000K Eco Part Number]:[Lutron 4000K Eco Part Number]])=3,FALSE,TRUE)</f>
        <v>1</v>
      </c>
      <c r="U794" t="b">
        <f>IF(COUNTBLANK(Master_Reference[[#This Row],[Lutron 3000K 3W Part Number]:[Lutron 4000K 3W Part Number]])=3,FALSE,TRUE)</f>
        <v>1</v>
      </c>
      <c r="V794" s="12" t="s">
        <v>226</v>
      </c>
      <c r="W794" s="12" t="s">
        <v>227</v>
      </c>
      <c r="X794" s="12" t="s">
        <v>228</v>
      </c>
      <c r="Y794" t="s">
        <v>1712</v>
      </c>
      <c r="Z794" s="12" t="s">
        <v>229</v>
      </c>
      <c r="AA794" s="12" t="s">
        <v>230</v>
      </c>
      <c r="AB794" s="12" t="s">
        <v>231</v>
      </c>
      <c r="AC794" t="s">
        <v>1801</v>
      </c>
      <c r="AD794" t="str">
        <f>SUBSTITUTE(Master_Reference[[#This Row],[C-Flex 4000K Eco Part Number]],"40-","xx-")</f>
        <v>RP-PLL-2.5K-1L-8xx-E1-M-G2</v>
      </c>
      <c r="AE794" t="str">
        <f>SUBSTITUTE(Master_Reference[[#This Row],[C-Flex 4000K 3W Part Number]],"40-","xx-")</f>
        <v>RP-PLL-2.5K-1L-8xx-3W-M-G2</v>
      </c>
      <c r="AF794" s="1" t="str">
        <f>_xlfn.IFNA(VLOOKUP(Master_Reference[[#This Row],[C-Flex 3000K Eco Part Number]],Lutron_CFlex_Lookup[],MATCH("Lutron Kit PN",Lutron_CFlex_Lookup[#Headers],0),FALSE),"")</f>
        <v>ELD-TT-1M30-q</v>
      </c>
      <c r="AG794" s="1" t="str">
        <f>_xlfn.IFNA(VLOOKUP(Master_Reference[[#This Row],[C-Flex 3500K Eco Part Number]],Lutron_CFlex_Lookup[],MATCH("Lutron Kit PN",Lutron_CFlex_Lookup[#Headers],0),FALSE),"")</f>
        <v>ELD-TT-1M35-q</v>
      </c>
      <c r="AH794" s="1" t="str">
        <f>_xlfn.IFNA(VLOOKUP(Master_Reference[[#This Row],[C-Flex 4000K Eco Part Number]],Lutron_CFlex_Lookup[],MATCH("Lutron Kit PN",Lutron_CFlex_Lookup[#Headers],0),FALSE),"")</f>
        <v>ELD-TT-1M40-q</v>
      </c>
      <c r="AI794" s="1" t="str">
        <f>_xlfn.IFNA(VLOOKUP(Master_Reference[[#This Row],[C-Flex 5000K Eco Part Number]],Lutron_CFlex_Lookup[],MATCH("Lutron Kit PN",Lutron_CFlex_Lookup[#Headers],0),FALSE),"")</f>
        <v>ELD-TT-1M50-q</v>
      </c>
      <c r="AJ794" s="1" t="str">
        <f>_xlfn.IFNA(VLOOKUP(Master_Reference[[#This Row],[C-Flex 3000K 3W Part Number]],Lutron_CFlex_Lookup[],MATCH("Lutron Kit PN",Lutron_CFlex_Lookup[#Headers],0),FALSE),"")</f>
        <v>3LD-TT-1M30-q</v>
      </c>
      <c r="AK794" s="1" t="str">
        <f>_xlfn.IFNA(VLOOKUP(Master_Reference[[#This Row],[C-Flex 3500K 3W Part Number]],Lutron_CFlex_Lookup[],MATCH("Lutron Kit PN",Lutron_CFlex_Lookup[#Headers],0),FALSE),"")</f>
        <v>3LD-TT-1M35-q</v>
      </c>
      <c r="AL794" s="1" t="str">
        <f>_xlfn.IFNA(VLOOKUP(Master_Reference[[#This Row],[C-Flex 4000K 3W Part Number]],Lutron_CFlex_Lookup[],MATCH("Lutron Kit PN",Lutron_CFlex_Lookup[#Headers],0),FALSE),"")</f>
        <v>3LD-TT-1M40-q</v>
      </c>
      <c r="AM794" s="1" t="str">
        <f>_xlfn.IFNA(VLOOKUP(Master_Reference[[#This Row],[C-Flex 5000K 3W Part Number]],Lutron_CFlex_Lookup[],MATCH("Lutron Kit PN",Lutron_CFlex_Lookup[#Headers],0),FALSE),"")</f>
        <v>3LD-TT-1M50-q</v>
      </c>
      <c r="AN794" s="1" t="b">
        <f>NOT(ISNA(VLOOKUP(Master_Reference[[#This Row],[Model Number]],ObsoleteModels[],1,FALSE)))</f>
        <v>1</v>
      </c>
      <c r="AO794" s="1" t="str">
        <f>IF(LEFT(Master_Reference[[#This Row],[Model Number]],1)="U",LEFT(Master_Reference[[#This Row],[Model Number]],4),LEFT(Master_Reference[[#This Row],[Model Number]],3))</f>
        <v>H3D</v>
      </c>
    </row>
    <row r="795" spans="1:41" x14ac:dyDescent="0.25">
      <c r="A795" s="2" t="s">
        <v>1096</v>
      </c>
      <c r="B795" s="1" t="b">
        <v>1</v>
      </c>
      <c r="C795" s="1" t="b">
        <v>1</v>
      </c>
      <c r="G795" s="1" t="str">
        <f>IF(OR(LEFT(RIGHT(Master_Reference[[#This Row],[Model Number]],3),1)="C",LEFT(RIGHT(Master_Reference[[#This Row],[Model Number]],4),1)="C"),TRUE,"")</f>
        <v/>
      </c>
      <c r="H795" s="1" t="str">
        <f>IF(LEFT(Master_Reference[[#This Row],[Model Number]],1)="U",TRUE,"")</f>
        <v/>
      </c>
      <c r="I795" s="1" t="b">
        <f>IF(Master_Reference[[#This Row],[Lamp Type]]="T4","",IF(Master_Reference[[#This Row],[Case Type]]="M","",TRUE))</f>
        <v>1</v>
      </c>
      <c r="J795" s="1" t="s">
        <v>215</v>
      </c>
      <c r="K795" s="1">
        <v>50</v>
      </c>
      <c r="L795" s="1" t="s">
        <v>225</v>
      </c>
      <c r="M795" s="1">
        <v>1</v>
      </c>
      <c r="N795" s="1" t="s">
        <v>149</v>
      </c>
      <c r="O795" s="1" t="s">
        <v>217</v>
      </c>
      <c r="Q795" s="1" t="s">
        <v>91</v>
      </c>
      <c r="R795" t="b">
        <f>IF(COUNTBLANK(Master_Reference[[#This Row],[C-Flex 3000K Eco Part Number]:[C-Flex 4000K Eco Part Number]])=3,FALSE,TRUE)</f>
        <v>0</v>
      </c>
      <c r="S795" t="b">
        <f>IF(COUNTBLANK(Master_Reference[[#This Row],[C-Flex 3000K 3W Part Number]:[C-Flex 4000K 3W Part Number]])=3,FALSE,TRUE)</f>
        <v>0</v>
      </c>
      <c r="T795" t="b">
        <f>IF(COUNTBLANK(Master_Reference[[#This Row],[Lutron 3000K Eco Part Number]:[Lutron 4000K Eco Part Number]])=3,FALSE,TRUE)</f>
        <v>0</v>
      </c>
      <c r="U795" t="b">
        <f>IF(COUNTBLANK(Master_Reference[[#This Row],[Lutron 3000K 3W Part Number]:[Lutron 4000K 3W Part Number]])=3,FALSE,TRUE)</f>
        <v>0</v>
      </c>
      <c r="V795" s="12"/>
      <c r="W795" s="12"/>
      <c r="X795" s="12"/>
      <c r="Y795" t="s">
        <v>2125</v>
      </c>
      <c r="Z795" s="12"/>
      <c r="AA795" s="12"/>
      <c r="AB795" s="12"/>
      <c r="AC795" t="s">
        <v>2125</v>
      </c>
      <c r="AD795" t="str">
        <f>SUBSTITUTE(Master_Reference[[#This Row],[C-Flex 4000K Eco Part Number]],"40-","xx-")</f>
        <v/>
      </c>
      <c r="AE795" t="str">
        <f>SUBSTITUTE(Master_Reference[[#This Row],[C-Flex 4000K 3W Part Number]],"40-","xx-")</f>
        <v/>
      </c>
      <c r="AF795" s="1" t="str">
        <f>_xlfn.IFNA(VLOOKUP(Master_Reference[[#This Row],[C-Flex 3000K Eco Part Number]],Lutron_CFlex_Lookup[],MATCH("Lutron Kit PN",Lutron_CFlex_Lookup[#Headers],0),FALSE),"")</f>
        <v/>
      </c>
      <c r="AG795" s="1" t="str">
        <f>_xlfn.IFNA(VLOOKUP(Master_Reference[[#This Row],[C-Flex 3500K Eco Part Number]],Lutron_CFlex_Lookup[],MATCH("Lutron Kit PN",Lutron_CFlex_Lookup[#Headers],0),FALSE),"")</f>
        <v/>
      </c>
      <c r="AH795" s="1" t="str">
        <f>_xlfn.IFNA(VLOOKUP(Master_Reference[[#This Row],[C-Flex 4000K Eco Part Number]],Lutron_CFlex_Lookup[],MATCH("Lutron Kit PN",Lutron_CFlex_Lookup[#Headers],0),FALSE),"")</f>
        <v/>
      </c>
      <c r="AI795" s="1" t="str">
        <f>_xlfn.IFNA(VLOOKUP(Master_Reference[[#This Row],[C-Flex 5000K Eco Part Number]],Lutron_CFlex_Lookup[],MATCH("Lutron Kit PN",Lutron_CFlex_Lookup[#Headers],0),FALSE),"")</f>
        <v/>
      </c>
      <c r="AJ795" s="1" t="str">
        <f>_xlfn.IFNA(VLOOKUP(Master_Reference[[#This Row],[C-Flex 3000K 3W Part Number]],Lutron_CFlex_Lookup[],MATCH("Lutron Kit PN",Lutron_CFlex_Lookup[#Headers],0),FALSE),"")</f>
        <v/>
      </c>
      <c r="AK795" s="1" t="str">
        <f>_xlfn.IFNA(VLOOKUP(Master_Reference[[#This Row],[C-Flex 3500K 3W Part Number]],Lutron_CFlex_Lookup[],MATCH("Lutron Kit PN",Lutron_CFlex_Lookup[#Headers],0),FALSE),"")</f>
        <v/>
      </c>
      <c r="AL795" s="1" t="str">
        <f>_xlfn.IFNA(VLOOKUP(Master_Reference[[#This Row],[C-Flex 4000K 3W Part Number]],Lutron_CFlex_Lookup[],MATCH("Lutron Kit PN",Lutron_CFlex_Lookup[#Headers],0),FALSE),"")</f>
        <v/>
      </c>
      <c r="AM795" s="1" t="str">
        <f>_xlfn.IFNA(VLOOKUP(Master_Reference[[#This Row],[C-Flex 5000K 3W Part Number]],Lutron_CFlex_Lookup[],MATCH("Lutron Kit PN",Lutron_CFlex_Lookup[#Headers],0),FALSE),"")</f>
        <v/>
      </c>
      <c r="AN795" s="1" t="b">
        <f>NOT(ISNA(VLOOKUP(Master_Reference[[#This Row],[Model Number]],ObsoleteModels[],1,FALSE)))</f>
        <v>1</v>
      </c>
      <c r="AO795" s="1" t="str">
        <f>IF(LEFT(Master_Reference[[#This Row],[Model Number]],1)="U",LEFT(Master_Reference[[#This Row],[Model Number]],4),LEFT(Master_Reference[[#This Row],[Model Number]],3))</f>
        <v>H3D</v>
      </c>
    </row>
    <row r="796" spans="1:41" x14ac:dyDescent="0.25">
      <c r="A796" s="2" t="s">
        <v>1097</v>
      </c>
      <c r="B796" s="1" t="b">
        <v>1</v>
      </c>
      <c r="C796" s="1" t="b">
        <v>1</v>
      </c>
      <c r="G796" s="1" t="b">
        <f>IF(OR(LEFT(RIGHT(Master_Reference[[#This Row],[Model Number]],3),1)="C",LEFT(RIGHT(Master_Reference[[#This Row],[Model Number]],4),1)="C"),TRUE,"")</f>
        <v>1</v>
      </c>
      <c r="H796" s="1" t="str">
        <f>IF(LEFT(Master_Reference[[#This Row],[Model Number]],1)="U",TRUE,"")</f>
        <v/>
      </c>
      <c r="I796" s="1" t="b">
        <f>IF(Master_Reference[[#This Row],[Lamp Type]]="T4","",IF(Master_Reference[[#This Row],[Case Type]]="M","",TRUE))</f>
        <v>1</v>
      </c>
      <c r="J796" s="1" t="s">
        <v>215</v>
      </c>
      <c r="K796" s="1">
        <v>50</v>
      </c>
      <c r="L796" s="1" t="s">
        <v>225</v>
      </c>
      <c r="M796" s="1">
        <v>1</v>
      </c>
      <c r="N796" s="1" t="s">
        <v>149</v>
      </c>
      <c r="O796" s="1" t="s">
        <v>217</v>
      </c>
      <c r="R796" t="b">
        <f>IF(COUNTBLANK(Master_Reference[[#This Row],[C-Flex 3000K Eco Part Number]:[C-Flex 4000K Eco Part Number]])=3,FALSE,TRUE)</f>
        <v>1</v>
      </c>
      <c r="S796" t="b">
        <f>IF(COUNTBLANK(Master_Reference[[#This Row],[C-Flex 3000K 3W Part Number]:[C-Flex 4000K 3W Part Number]])=3,FALSE,TRUE)</f>
        <v>1</v>
      </c>
      <c r="T796" t="b">
        <f>IF(COUNTBLANK(Master_Reference[[#This Row],[Lutron 3000K Eco Part Number]:[Lutron 4000K Eco Part Number]])=3,FALSE,TRUE)</f>
        <v>1</v>
      </c>
      <c r="U796" t="b">
        <f>IF(COUNTBLANK(Master_Reference[[#This Row],[Lutron 3000K 3W Part Number]:[Lutron 4000K 3W Part Number]])=3,FALSE,TRUE)</f>
        <v>1</v>
      </c>
      <c r="V796" s="12" t="s">
        <v>226</v>
      </c>
      <c r="W796" s="12" t="s">
        <v>227</v>
      </c>
      <c r="X796" s="12" t="s">
        <v>228</v>
      </c>
      <c r="Y796" t="s">
        <v>1712</v>
      </c>
      <c r="Z796" s="12" t="s">
        <v>229</v>
      </c>
      <c r="AA796" s="12" t="s">
        <v>230</v>
      </c>
      <c r="AB796" s="12" t="s">
        <v>231</v>
      </c>
      <c r="AC796" t="s">
        <v>1801</v>
      </c>
      <c r="AD796" t="str">
        <f>SUBSTITUTE(Master_Reference[[#This Row],[C-Flex 4000K Eco Part Number]],"40-","xx-")</f>
        <v>RP-PLL-2.5K-1L-8xx-E1-M-G2</v>
      </c>
      <c r="AE796" t="str">
        <f>SUBSTITUTE(Master_Reference[[#This Row],[C-Flex 4000K 3W Part Number]],"40-","xx-")</f>
        <v>RP-PLL-2.5K-1L-8xx-3W-M-G2</v>
      </c>
      <c r="AF796" s="1" t="str">
        <f>_xlfn.IFNA(VLOOKUP(Master_Reference[[#This Row],[C-Flex 3000K Eco Part Number]],Lutron_CFlex_Lookup[],MATCH("Lutron Kit PN",Lutron_CFlex_Lookup[#Headers],0),FALSE),"")</f>
        <v>ELD-TT-1M30-q</v>
      </c>
      <c r="AG796" s="1" t="str">
        <f>_xlfn.IFNA(VLOOKUP(Master_Reference[[#This Row],[C-Flex 3500K Eco Part Number]],Lutron_CFlex_Lookup[],MATCH("Lutron Kit PN",Lutron_CFlex_Lookup[#Headers],0),FALSE),"")</f>
        <v>ELD-TT-1M35-q</v>
      </c>
      <c r="AH796" s="1" t="str">
        <f>_xlfn.IFNA(VLOOKUP(Master_Reference[[#This Row],[C-Flex 4000K Eco Part Number]],Lutron_CFlex_Lookup[],MATCH("Lutron Kit PN",Lutron_CFlex_Lookup[#Headers],0),FALSE),"")</f>
        <v>ELD-TT-1M40-q</v>
      </c>
      <c r="AI796" s="1" t="str">
        <f>_xlfn.IFNA(VLOOKUP(Master_Reference[[#This Row],[C-Flex 5000K Eco Part Number]],Lutron_CFlex_Lookup[],MATCH("Lutron Kit PN",Lutron_CFlex_Lookup[#Headers],0),FALSE),"")</f>
        <v>ELD-TT-1M50-q</v>
      </c>
      <c r="AJ796" s="1" t="str">
        <f>_xlfn.IFNA(VLOOKUP(Master_Reference[[#This Row],[C-Flex 3000K 3W Part Number]],Lutron_CFlex_Lookup[],MATCH("Lutron Kit PN",Lutron_CFlex_Lookup[#Headers],0),FALSE),"")</f>
        <v>3LD-TT-1M30-q</v>
      </c>
      <c r="AK796" s="1" t="str">
        <f>_xlfn.IFNA(VLOOKUP(Master_Reference[[#This Row],[C-Flex 3500K 3W Part Number]],Lutron_CFlex_Lookup[],MATCH("Lutron Kit PN",Lutron_CFlex_Lookup[#Headers],0),FALSE),"")</f>
        <v>3LD-TT-1M35-q</v>
      </c>
      <c r="AL796" s="1" t="str">
        <f>_xlfn.IFNA(VLOOKUP(Master_Reference[[#This Row],[C-Flex 4000K 3W Part Number]],Lutron_CFlex_Lookup[],MATCH("Lutron Kit PN",Lutron_CFlex_Lookup[#Headers],0),FALSE),"")</f>
        <v>3LD-TT-1M40-q</v>
      </c>
      <c r="AM796" s="1" t="str">
        <f>_xlfn.IFNA(VLOOKUP(Master_Reference[[#This Row],[C-Flex 5000K 3W Part Number]],Lutron_CFlex_Lookup[],MATCH("Lutron Kit PN",Lutron_CFlex_Lookup[#Headers],0),FALSE),"")</f>
        <v>3LD-TT-1M50-q</v>
      </c>
      <c r="AN796" s="1" t="b">
        <f>NOT(ISNA(VLOOKUP(Master_Reference[[#This Row],[Model Number]],ObsoleteModels[],1,FALSE)))</f>
        <v>1</v>
      </c>
      <c r="AO796" s="1" t="str">
        <f>IF(LEFT(Master_Reference[[#This Row],[Model Number]],1)="U",LEFT(Master_Reference[[#This Row],[Model Number]],4),LEFT(Master_Reference[[#This Row],[Model Number]],3))</f>
        <v>H3D</v>
      </c>
    </row>
    <row r="797" spans="1:41" x14ac:dyDescent="0.25">
      <c r="A797" s="2" t="s">
        <v>1098</v>
      </c>
      <c r="B797" s="1" t="b">
        <v>1</v>
      </c>
      <c r="C797" s="1" t="b">
        <v>1</v>
      </c>
      <c r="G797" s="1" t="str">
        <f>IF(OR(LEFT(RIGHT(Master_Reference[[#This Row],[Model Number]],3),1)="C",LEFT(RIGHT(Master_Reference[[#This Row],[Model Number]],4),1)="C"),TRUE,"")</f>
        <v/>
      </c>
      <c r="H797" s="1" t="str">
        <f>IF(LEFT(Master_Reference[[#This Row],[Model Number]],1)="U",TRUE,"")</f>
        <v/>
      </c>
      <c r="I797" s="1" t="b">
        <f>IF(Master_Reference[[#This Row],[Lamp Type]]="T4","",IF(Master_Reference[[#This Row],[Case Type]]="M","",TRUE))</f>
        <v>1</v>
      </c>
      <c r="J797" s="1" t="s">
        <v>215</v>
      </c>
      <c r="K797" s="1">
        <v>50</v>
      </c>
      <c r="L797" s="1" t="s">
        <v>225</v>
      </c>
      <c r="M797" s="1">
        <v>2</v>
      </c>
      <c r="N797" s="1" t="s">
        <v>149</v>
      </c>
      <c r="O797" s="1" t="s">
        <v>217</v>
      </c>
      <c r="R797" t="b">
        <f>IF(COUNTBLANK(Master_Reference[[#This Row],[C-Flex 3000K Eco Part Number]:[C-Flex 4000K Eco Part Number]])=3,FALSE,TRUE)</f>
        <v>1</v>
      </c>
      <c r="S797" t="b">
        <f>IF(COUNTBLANK(Master_Reference[[#This Row],[C-Flex 3000K 3W Part Number]:[C-Flex 4000K 3W Part Number]])=3,FALSE,TRUE)</f>
        <v>1</v>
      </c>
      <c r="T797" t="b">
        <f>IF(COUNTBLANK(Master_Reference[[#This Row],[Lutron 3000K Eco Part Number]:[Lutron 4000K Eco Part Number]])=3,FALSE,TRUE)</f>
        <v>1</v>
      </c>
      <c r="U797" t="b">
        <f>IF(COUNTBLANK(Master_Reference[[#This Row],[Lutron 3000K 3W Part Number]:[Lutron 4000K 3W Part Number]])=3,FALSE,TRUE)</f>
        <v>1</v>
      </c>
      <c r="V797" s="12" t="s">
        <v>233</v>
      </c>
      <c r="W797" s="12" t="s">
        <v>234</v>
      </c>
      <c r="X797" s="12" t="s">
        <v>235</v>
      </c>
      <c r="Y797" t="s">
        <v>1713</v>
      </c>
      <c r="Z797" s="12" t="s">
        <v>236</v>
      </c>
      <c r="AA797" s="12" t="s">
        <v>237</v>
      </c>
      <c r="AB797" s="12" t="s">
        <v>238</v>
      </c>
      <c r="AC797" t="s">
        <v>1802</v>
      </c>
      <c r="AD797" t="str">
        <f>SUBSTITUTE(Master_Reference[[#This Row],[C-Flex 4000K Eco Part Number]],"40-","xx-")</f>
        <v>RP-PLL-5.0K-2L-8xx-E1-M-G2</v>
      </c>
      <c r="AE797" t="str">
        <f>SUBSTITUTE(Master_Reference[[#This Row],[C-Flex 4000K 3W Part Number]],"40-","xx-")</f>
        <v>RP-PLL-5.0K-2L-8xx-3W-M-G2</v>
      </c>
      <c r="AF797" s="1" t="str">
        <f>_xlfn.IFNA(VLOOKUP(Master_Reference[[#This Row],[C-Flex 3000K Eco Part Number]],Lutron_CFlex_Lookup[],MATCH("Lutron Kit PN",Lutron_CFlex_Lookup[#Headers],0),FALSE),"")</f>
        <v>ELD-TT-2M30-q</v>
      </c>
      <c r="AG797" s="1" t="str">
        <f>_xlfn.IFNA(VLOOKUP(Master_Reference[[#This Row],[C-Flex 3500K Eco Part Number]],Lutron_CFlex_Lookup[],MATCH("Lutron Kit PN",Lutron_CFlex_Lookup[#Headers],0),FALSE),"")</f>
        <v>ELD-TT-2M35-q</v>
      </c>
      <c r="AH797" s="1" t="str">
        <f>_xlfn.IFNA(VLOOKUP(Master_Reference[[#This Row],[C-Flex 4000K Eco Part Number]],Lutron_CFlex_Lookup[],MATCH("Lutron Kit PN",Lutron_CFlex_Lookup[#Headers],0),FALSE),"")</f>
        <v>ELD-TT-2M40-q</v>
      </c>
      <c r="AI797" s="1" t="str">
        <f>_xlfn.IFNA(VLOOKUP(Master_Reference[[#This Row],[C-Flex 5000K Eco Part Number]],Lutron_CFlex_Lookup[],MATCH("Lutron Kit PN",Lutron_CFlex_Lookup[#Headers],0),FALSE),"")</f>
        <v>ELD-TT-2M50-q</v>
      </c>
      <c r="AJ797" s="1" t="str">
        <f>_xlfn.IFNA(VLOOKUP(Master_Reference[[#This Row],[C-Flex 3000K 3W Part Number]],Lutron_CFlex_Lookup[],MATCH("Lutron Kit PN",Lutron_CFlex_Lookup[#Headers],0),FALSE),"")</f>
        <v>3LD-TT-2M30-q</v>
      </c>
      <c r="AK797" s="1" t="str">
        <f>_xlfn.IFNA(VLOOKUP(Master_Reference[[#This Row],[C-Flex 3500K 3W Part Number]],Lutron_CFlex_Lookup[],MATCH("Lutron Kit PN",Lutron_CFlex_Lookup[#Headers],0),FALSE),"")</f>
        <v>3LD-TT-2M35-q</v>
      </c>
      <c r="AL797" s="1" t="str">
        <f>_xlfn.IFNA(VLOOKUP(Master_Reference[[#This Row],[C-Flex 4000K 3W Part Number]],Lutron_CFlex_Lookup[],MATCH("Lutron Kit PN",Lutron_CFlex_Lookup[#Headers],0),FALSE),"")</f>
        <v>3LD-TT-2M40-q</v>
      </c>
      <c r="AM797" s="1" t="str">
        <f>_xlfn.IFNA(VLOOKUP(Master_Reference[[#This Row],[C-Flex 5000K 3W Part Number]],Lutron_CFlex_Lookup[],MATCH("Lutron Kit PN",Lutron_CFlex_Lookup[#Headers],0),FALSE),"")</f>
        <v>3LD-TT-2M50-q</v>
      </c>
      <c r="AN797" s="1" t="b">
        <f>NOT(ISNA(VLOOKUP(Master_Reference[[#This Row],[Model Number]],ObsoleteModels[],1,FALSE)))</f>
        <v>1</v>
      </c>
      <c r="AO797" s="1" t="str">
        <f>IF(LEFT(Master_Reference[[#This Row],[Model Number]],1)="U",LEFT(Master_Reference[[#This Row],[Model Number]],4),LEFT(Master_Reference[[#This Row],[Model Number]],3))</f>
        <v>H3D</v>
      </c>
    </row>
    <row r="798" spans="1:41" x14ac:dyDescent="0.25">
      <c r="A798" s="2" t="s">
        <v>1099</v>
      </c>
      <c r="B798" s="1" t="b">
        <v>1</v>
      </c>
      <c r="C798" s="1" t="b">
        <v>1</v>
      </c>
      <c r="G798" s="1" t="str">
        <f>IF(OR(LEFT(RIGHT(Master_Reference[[#This Row],[Model Number]],3),1)="C",LEFT(RIGHT(Master_Reference[[#This Row],[Model Number]],4),1)="C"),TRUE,"")</f>
        <v/>
      </c>
      <c r="H798" s="1" t="str">
        <f>IF(LEFT(Master_Reference[[#This Row],[Model Number]],1)="U",TRUE,"")</f>
        <v/>
      </c>
      <c r="I798" s="1" t="b">
        <f>IF(Master_Reference[[#This Row],[Lamp Type]]="T4","",IF(Master_Reference[[#This Row],[Case Type]]="M","",TRUE))</f>
        <v>1</v>
      </c>
      <c r="J798" s="1" t="s">
        <v>215</v>
      </c>
      <c r="K798" s="1">
        <v>50</v>
      </c>
      <c r="L798" s="1" t="s">
        <v>225</v>
      </c>
      <c r="M798" s="1">
        <v>2</v>
      </c>
      <c r="N798" s="1" t="s">
        <v>149</v>
      </c>
      <c r="O798" s="1" t="s">
        <v>217</v>
      </c>
      <c r="Q798" s="1" t="s">
        <v>91</v>
      </c>
      <c r="R798" t="b">
        <f>IF(COUNTBLANK(Master_Reference[[#This Row],[C-Flex 3000K Eco Part Number]:[C-Flex 4000K Eco Part Number]])=3,FALSE,TRUE)</f>
        <v>0</v>
      </c>
      <c r="S798" t="b">
        <f>IF(COUNTBLANK(Master_Reference[[#This Row],[C-Flex 3000K 3W Part Number]:[C-Flex 4000K 3W Part Number]])=3,FALSE,TRUE)</f>
        <v>0</v>
      </c>
      <c r="T798" t="b">
        <f>IF(COUNTBLANK(Master_Reference[[#This Row],[Lutron 3000K Eco Part Number]:[Lutron 4000K Eco Part Number]])=3,FALSE,TRUE)</f>
        <v>0</v>
      </c>
      <c r="U798" t="b">
        <f>IF(COUNTBLANK(Master_Reference[[#This Row],[Lutron 3000K 3W Part Number]:[Lutron 4000K 3W Part Number]])=3,FALSE,TRUE)</f>
        <v>0</v>
      </c>
      <c r="V798" s="12"/>
      <c r="W798" s="12"/>
      <c r="X798" s="12"/>
      <c r="Y798" t="s">
        <v>2125</v>
      </c>
      <c r="Z798" s="12"/>
      <c r="AA798" s="12"/>
      <c r="AB798" s="12"/>
      <c r="AC798" t="s">
        <v>2125</v>
      </c>
      <c r="AD798" t="str">
        <f>SUBSTITUTE(Master_Reference[[#This Row],[C-Flex 4000K Eco Part Number]],"40-","xx-")</f>
        <v/>
      </c>
      <c r="AE798" t="str">
        <f>SUBSTITUTE(Master_Reference[[#This Row],[C-Flex 4000K 3W Part Number]],"40-","xx-")</f>
        <v/>
      </c>
      <c r="AF798" s="1" t="str">
        <f>_xlfn.IFNA(VLOOKUP(Master_Reference[[#This Row],[C-Flex 3000K Eco Part Number]],Lutron_CFlex_Lookup[],MATCH("Lutron Kit PN",Lutron_CFlex_Lookup[#Headers],0),FALSE),"")</f>
        <v/>
      </c>
      <c r="AG798" s="1" t="str">
        <f>_xlfn.IFNA(VLOOKUP(Master_Reference[[#This Row],[C-Flex 3500K Eco Part Number]],Lutron_CFlex_Lookup[],MATCH("Lutron Kit PN",Lutron_CFlex_Lookup[#Headers],0),FALSE),"")</f>
        <v/>
      </c>
      <c r="AH798" s="1" t="str">
        <f>_xlfn.IFNA(VLOOKUP(Master_Reference[[#This Row],[C-Flex 4000K Eco Part Number]],Lutron_CFlex_Lookup[],MATCH("Lutron Kit PN",Lutron_CFlex_Lookup[#Headers],0),FALSE),"")</f>
        <v/>
      </c>
      <c r="AI798" s="1" t="str">
        <f>_xlfn.IFNA(VLOOKUP(Master_Reference[[#This Row],[C-Flex 5000K Eco Part Number]],Lutron_CFlex_Lookup[],MATCH("Lutron Kit PN",Lutron_CFlex_Lookup[#Headers],0),FALSE),"")</f>
        <v/>
      </c>
      <c r="AJ798" s="1" t="str">
        <f>_xlfn.IFNA(VLOOKUP(Master_Reference[[#This Row],[C-Flex 3000K 3W Part Number]],Lutron_CFlex_Lookup[],MATCH("Lutron Kit PN",Lutron_CFlex_Lookup[#Headers],0),FALSE),"")</f>
        <v/>
      </c>
      <c r="AK798" s="1" t="str">
        <f>_xlfn.IFNA(VLOOKUP(Master_Reference[[#This Row],[C-Flex 3500K 3W Part Number]],Lutron_CFlex_Lookup[],MATCH("Lutron Kit PN",Lutron_CFlex_Lookup[#Headers],0),FALSE),"")</f>
        <v/>
      </c>
      <c r="AL798" s="1" t="str">
        <f>_xlfn.IFNA(VLOOKUP(Master_Reference[[#This Row],[C-Flex 4000K 3W Part Number]],Lutron_CFlex_Lookup[],MATCH("Lutron Kit PN",Lutron_CFlex_Lookup[#Headers],0),FALSE),"")</f>
        <v/>
      </c>
      <c r="AM798" s="1" t="str">
        <f>_xlfn.IFNA(VLOOKUP(Master_Reference[[#This Row],[C-Flex 5000K 3W Part Number]],Lutron_CFlex_Lookup[],MATCH("Lutron Kit PN",Lutron_CFlex_Lookup[#Headers],0),FALSE),"")</f>
        <v/>
      </c>
      <c r="AN798" s="1" t="b">
        <f>NOT(ISNA(VLOOKUP(Master_Reference[[#This Row],[Model Number]],ObsoleteModels[],1,FALSE)))</f>
        <v>1</v>
      </c>
      <c r="AO798" s="1" t="str">
        <f>IF(LEFT(Master_Reference[[#This Row],[Model Number]],1)="U",LEFT(Master_Reference[[#This Row],[Model Number]],4),LEFT(Master_Reference[[#This Row],[Model Number]],3))</f>
        <v>H3D</v>
      </c>
    </row>
    <row r="799" spans="1:41" x14ac:dyDescent="0.25">
      <c r="A799" s="2" t="s">
        <v>1100</v>
      </c>
      <c r="B799" s="1" t="b">
        <v>1</v>
      </c>
      <c r="C799" s="1" t="b">
        <v>1</v>
      </c>
      <c r="G799" s="1" t="b">
        <f>IF(OR(LEFT(RIGHT(Master_Reference[[#This Row],[Model Number]],3),1)="C",LEFT(RIGHT(Master_Reference[[#This Row],[Model Number]],4),1)="C"),TRUE,"")</f>
        <v>1</v>
      </c>
      <c r="H799" s="1" t="str">
        <f>IF(LEFT(Master_Reference[[#This Row],[Model Number]],1)="U",TRUE,"")</f>
        <v/>
      </c>
      <c r="I799" s="1" t="b">
        <f>IF(Master_Reference[[#This Row],[Lamp Type]]="T4","",IF(Master_Reference[[#This Row],[Case Type]]="M","",TRUE))</f>
        <v>1</v>
      </c>
      <c r="J799" s="1" t="s">
        <v>215</v>
      </c>
      <c r="K799" s="1">
        <v>50</v>
      </c>
      <c r="L799" s="1" t="s">
        <v>225</v>
      </c>
      <c r="M799" s="1">
        <v>2</v>
      </c>
      <c r="N799" s="1" t="s">
        <v>149</v>
      </c>
      <c r="O799" s="1" t="s">
        <v>217</v>
      </c>
      <c r="R799" t="b">
        <f>IF(COUNTBLANK(Master_Reference[[#This Row],[C-Flex 3000K Eco Part Number]:[C-Flex 4000K Eco Part Number]])=3,FALSE,TRUE)</f>
        <v>1</v>
      </c>
      <c r="S799" t="b">
        <f>IF(COUNTBLANK(Master_Reference[[#This Row],[C-Flex 3000K 3W Part Number]:[C-Flex 4000K 3W Part Number]])=3,FALSE,TRUE)</f>
        <v>1</v>
      </c>
      <c r="T799" t="b">
        <f>IF(COUNTBLANK(Master_Reference[[#This Row],[Lutron 3000K Eco Part Number]:[Lutron 4000K Eco Part Number]])=3,FALSE,TRUE)</f>
        <v>1</v>
      </c>
      <c r="U799" t="b">
        <f>IF(COUNTBLANK(Master_Reference[[#This Row],[Lutron 3000K 3W Part Number]:[Lutron 4000K 3W Part Number]])=3,FALSE,TRUE)</f>
        <v>1</v>
      </c>
      <c r="V799" s="12" t="s">
        <v>233</v>
      </c>
      <c r="W799" s="12" t="s">
        <v>234</v>
      </c>
      <c r="X799" s="12" t="s">
        <v>235</v>
      </c>
      <c r="Y799" t="s">
        <v>1713</v>
      </c>
      <c r="Z799" s="12" t="s">
        <v>236</v>
      </c>
      <c r="AA799" s="12" t="s">
        <v>237</v>
      </c>
      <c r="AB799" s="12" t="s">
        <v>238</v>
      </c>
      <c r="AC799" t="s">
        <v>1802</v>
      </c>
      <c r="AD799" t="str">
        <f>SUBSTITUTE(Master_Reference[[#This Row],[C-Flex 4000K Eco Part Number]],"40-","xx-")</f>
        <v>RP-PLL-5.0K-2L-8xx-E1-M-G2</v>
      </c>
      <c r="AE799" t="str">
        <f>SUBSTITUTE(Master_Reference[[#This Row],[C-Flex 4000K 3W Part Number]],"40-","xx-")</f>
        <v>RP-PLL-5.0K-2L-8xx-3W-M-G2</v>
      </c>
      <c r="AF799" s="1" t="str">
        <f>_xlfn.IFNA(VLOOKUP(Master_Reference[[#This Row],[C-Flex 3000K Eco Part Number]],Lutron_CFlex_Lookup[],MATCH("Lutron Kit PN",Lutron_CFlex_Lookup[#Headers],0),FALSE),"")</f>
        <v>ELD-TT-2M30-q</v>
      </c>
      <c r="AG799" s="1" t="str">
        <f>_xlfn.IFNA(VLOOKUP(Master_Reference[[#This Row],[C-Flex 3500K Eco Part Number]],Lutron_CFlex_Lookup[],MATCH("Lutron Kit PN",Lutron_CFlex_Lookup[#Headers],0),FALSE),"")</f>
        <v>ELD-TT-2M35-q</v>
      </c>
      <c r="AH799" s="1" t="str">
        <f>_xlfn.IFNA(VLOOKUP(Master_Reference[[#This Row],[C-Flex 4000K Eco Part Number]],Lutron_CFlex_Lookup[],MATCH("Lutron Kit PN",Lutron_CFlex_Lookup[#Headers],0),FALSE),"")</f>
        <v>ELD-TT-2M40-q</v>
      </c>
      <c r="AI799" s="1" t="str">
        <f>_xlfn.IFNA(VLOOKUP(Master_Reference[[#This Row],[C-Flex 5000K Eco Part Number]],Lutron_CFlex_Lookup[],MATCH("Lutron Kit PN",Lutron_CFlex_Lookup[#Headers],0),FALSE),"")</f>
        <v>ELD-TT-2M50-q</v>
      </c>
      <c r="AJ799" s="1" t="str">
        <f>_xlfn.IFNA(VLOOKUP(Master_Reference[[#This Row],[C-Flex 3000K 3W Part Number]],Lutron_CFlex_Lookup[],MATCH("Lutron Kit PN",Lutron_CFlex_Lookup[#Headers],0),FALSE),"")</f>
        <v>3LD-TT-2M30-q</v>
      </c>
      <c r="AK799" s="1" t="str">
        <f>_xlfn.IFNA(VLOOKUP(Master_Reference[[#This Row],[C-Flex 3500K 3W Part Number]],Lutron_CFlex_Lookup[],MATCH("Lutron Kit PN",Lutron_CFlex_Lookup[#Headers],0),FALSE),"")</f>
        <v>3LD-TT-2M35-q</v>
      </c>
      <c r="AL799" s="1" t="str">
        <f>_xlfn.IFNA(VLOOKUP(Master_Reference[[#This Row],[C-Flex 4000K 3W Part Number]],Lutron_CFlex_Lookup[],MATCH("Lutron Kit PN",Lutron_CFlex_Lookup[#Headers],0),FALSE),"")</f>
        <v>3LD-TT-2M40-q</v>
      </c>
      <c r="AM799" s="1" t="str">
        <f>_xlfn.IFNA(VLOOKUP(Master_Reference[[#This Row],[C-Flex 5000K 3W Part Number]],Lutron_CFlex_Lookup[],MATCH("Lutron Kit PN",Lutron_CFlex_Lookup[#Headers],0),FALSE),"")</f>
        <v>3LD-TT-2M50-q</v>
      </c>
      <c r="AN799" s="1" t="b">
        <f>NOT(ISNA(VLOOKUP(Master_Reference[[#This Row],[Model Number]],ObsoleteModels[],1,FALSE)))</f>
        <v>1</v>
      </c>
      <c r="AO799" s="1" t="str">
        <f>IF(LEFT(Master_Reference[[#This Row],[Model Number]],1)="U",LEFT(Master_Reference[[#This Row],[Model Number]],4),LEFT(Master_Reference[[#This Row],[Model Number]],3))</f>
        <v>H3D</v>
      </c>
    </row>
    <row r="800" spans="1:41" x14ac:dyDescent="0.25">
      <c r="A800" s="2" t="s">
        <v>1101</v>
      </c>
      <c r="B800" s="1" t="b">
        <v>1</v>
      </c>
      <c r="C800" s="1" t="b">
        <v>1</v>
      </c>
      <c r="G800" s="1" t="b">
        <f>IF(OR(LEFT(RIGHT(Master_Reference[[#This Row],[Model Number]],3),1)="C",LEFT(RIGHT(Master_Reference[[#This Row],[Model Number]],4),1)="C"),TRUE,"")</f>
        <v>1</v>
      </c>
      <c r="H800" s="1" t="str">
        <f>IF(LEFT(Master_Reference[[#This Row],[Model Number]],1)="U",TRUE,"")</f>
        <v/>
      </c>
      <c r="I800" s="1" t="b">
        <f>IF(Master_Reference[[#This Row],[Lamp Type]]="T4","",IF(Master_Reference[[#This Row],[Case Type]]="M","",TRUE))</f>
        <v>1</v>
      </c>
      <c r="J800" s="1" t="s">
        <v>215</v>
      </c>
      <c r="K800" s="1">
        <v>50</v>
      </c>
      <c r="L800" s="1" t="s">
        <v>225</v>
      </c>
      <c r="M800" s="1">
        <v>2</v>
      </c>
      <c r="N800" s="1" t="s">
        <v>149</v>
      </c>
      <c r="O800" s="1" t="s">
        <v>217</v>
      </c>
      <c r="R800" t="b">
        <f>IF(COUNTBLANK(Master_Reference[[#This Row],[C-Flex 3000K Eco Part Number]:[C-Flex 4000K Eco Part Number]])=3,FALSE,TRUE)</f>
        <v>1</v>
      </c>
      <c r="S800" t="b">
        <f>IF(COUNTBLANK(Master_Reference[[#This Row],[C-Flex 3000K 3W Part Number]:[C-Flex 4000K 3W Part Number]])=3,FALSE,TRUE)</f>
        <v>1</v>
      </c>
      <c r="T800" t="b">
        <f>IF(COUNTBLANK(Master_Reference[[#This Row],[Lutron 3000K Eco Part Number]:[Lutron 4000K Eco Part Number]])=3,FALSE,TRUE)</f>
        <v>1</v>
      </c>
      <c r="U800" t="b">
        <f>IF(COUNTBLANK(Master_Reference[[#This Row],[Lutron 3000K 3W Part Number]:[Lutron 4000K 3W Part Number]])=3,FALSE,TRUE)</f>
        <v>1</v>
      </c>
      <c r="V800" s="12" t="s">
        <v>233</v>
      </c>
      <c r="W800" s="12" t="s">
        <v>234</v>
      </c>
      <c r="X800" s="12" t="s">
        <v>235</v>
      </c>
      <c r="Y800" t="s">
        <v>1713</v>
      </c>
      <c r="Z800" s="12" t="s">
        <v>236</v>
      </c>
      <c r="AA800" s="12" t="s">
        <v>237</v>
      </c>
      <c r="AB800" s="12" t="s">
        <v>238</v>
      </c>
      <c r="AC800" t="s">
        <v>1802</v>
      </c>
      <c r="AD800" t="str">
        <f>SUBSTITUTE(Master_Reference[[#This Row],[C-Flex 4000K Eco Part Number]],"40-","xx-")</f>
        <v>RP-PLL-5.0K-2L-8xx-E1-M-G2</v>
      </c>
      <c r="AE800" t="str">
        <f>SUBSTITUTE(Master_Reference[[#This Row],[C-Flex 4000K 3W Part Number]],"40-","xx-")</f>
        <v>RP-PLL-5.0K-2L-8xx-3W-M-G2</v>
      </c>
      <c r="AF800" s="1" t="str">
        <f>_xlfn.IFNA(VLOOKUP(Master_Reference[[#This Row],[C-Flex 3000K Eco Part Number]],Lutron_CFlex_Lookup[],MATCH("Lutron Kit PN",Lutron_CFlex_Lookup[#Headers],0),FALSE),"")</f>
        <v>ELD-TT-2M30-q</v>
      </c>
      <c r="AG800" s="1" t="str">
        <f>_xlfn.IFNA(VLOOKUP(Master_Reference[[#This Row],[C-Flex 3500K Eco Part Number]],Lutron_CFlex_Lookup[],MATCH("Lutron Kit PN",Lutron_CFlex_Lookup[#Headers],0),FALSE),"")</f>
        <v>ELD-TT-2M35-q</v>
      </c>
      <c r="AH800" s="1" t="str">
        <f>_xlfn.IFNA(VLOOKUP(Master_Reference[[#This Row],[C-Flex 4000K Eco Part Number]],Lutron_CFlex_Lookup[],MATCH("Lutron Kit PN",Lutron_CFlex_Lookup[#Headers],0),FALSE),"")</f>
        <v>ELD-TT-2M40-q</v>
      </c>
      <c r="AI800" s="1" t="str">
        <f>_xlfn.IFNA(VLOOKUP(Master_Reference[[#This Row],[C-Flex 5000K Eco Part Number]],Lutron_CFlex_Lookup[],MATCH("Lutron Kit PN",Lutron_CFlex_Lookup[#Headers],0),FALSE),"")</f>
        <v>ELD-TT-2M50-q</v>
      </c>
      <c r="AJ800" s="1" t="str">
        <f>_xlfn.IFNA(VLOOKUP(Master_Reference[[#This Row],[C-Flex 3000K 3W Part Number]],Lutron_CFlex_Lookup[],MATCH("Lutron Kit PN",Lutron_CFlex_Lookup[#Headers],0),FALSE),"")</f>
        <v>3LD-TT-2M30-q</v>
      </c>
      <c r="AK800" s="1" t="str">
        <f>_xlfn.IFNA(VLOOKUP(Master_Reference[[#This Row],[C-Flex 3500K 3W Part Number]],Lutron_CFlex_Lookup[],MATCH("Lutron Kit PN",Lutron_CFlex_Lookup[#Headers],0),FALSE),"")</f>
        <v>3LD-TT-2M35-q</v>
      </c>
      <c r="AL800" s="1" t="str">
        <f>_xlfn.IFNA(VLOOKUP(Master_Reference[[#This Row],[C-Flex 4000K 3W Part Number]],Lutron_CFlex_Lookup[],MATCH("Lutron Kit PN",Lutron_CFlex_Lookup[#Headers],0),FALSE),"")</f>
        <v>3LD-TT-2M40-q</v>
      </c>
      <c r="AM800" s="1" t="str">
        <f>_xlfn.IFNA(VLOOKUP(Master_Reference[[#This Row],[C-Flex 5000K 3W Part Number]],Lutron_CFlex_Lookup[],MATCH("Lutron Kit PN",Lutron_CFlex_Lookup[#Headers],0),FALSE),"")</f>
        <v>3LD-TT-2M50-q</v>
      </c>
      <c r="AN800" s="1" t="b">
        <f>NOT(ISNA(VLOOKUP(Master_Reference[[#This Row],[Model Number]],ObsoleteModels[],1,FALSE)))</f>
        <v>1</v>
      </c>
      <c r="AO800" s="1" t="str">
        <f>IF(LEFT(Master_Reference[[#This Row],[Model Number]],1)="U",LEFT(Master_Reference[[#This Row],[Model Number]],4),LEFT(Master_Reference[[#This Row],[Model Number]],3))</f>
        <v>H3D</v>
      </c>
    </row>
    <row r="801" spans="1:41" x14ac:dyDescent="0.25">
      <c r="A801" s="2" t="s">
        <v>1102</v>
      </c>
      <c r="B801" s="1" t="b">
        <v>1</v>
      </c>
      <c r="C801" s="1" t="b">
        <v>1</v>
      </c>
      <c r="G801" s="1" t="str">
        <f>IF(OR(LEFT(RIGHT(Master_Reference[[#This Row],[Model Number]],3),1)="C",LEFT(RIGHT(Master_Reference[[#This Row],[Model Number]],4),1)="C"),TRUE,"")</f>
        <v/>
      </c>
      <c r="H801" s="1" t="str">
        <f>IF(LEFT(Master_Reference[[#This Row],[Model Number]],1)="U",TRUE,"")</f>
        <v/>
      </c>
      <c r="I801" s="1" t="b">
        <f>IF(Master_Reference[[#This Row],[Lamp Type]]="T4","",IF(Master_Reference[[#This Row],[Case Type]]="M","",TRUE))</f>
        <v>1</v>
      </c>
      <c r="J801" s="1" t="s">
        <v>215</v>
      </c>
      <c r="K801" s="1">
        <v>50</v>
      </c>
      <c r="L801" s="1" t="s">
        <v>225</v>
      </c>
      <c r="M801" s="1">
        <v>3</v>
      </c>
      <c r="N801" s="1" t="s">
        <v>149</v>
      </c>
      <c r="O801" s="1" t="s">
        <v>217</v>
      </c>
      <c r="R801" t="b">
        <f>IF(COUNTBLANK(Master_Reference[[#This Row],[C-Flex 3000K Eco Part Number]:[C-Flex 4000K Eco Part Number]])=3,FALSE,TRUE)</f>
        <v>1</v>
      </c>
      <c r="S801" t="b">
        <f>IF(COUNTBLANK(Master_Reference[[#This Row],[C-Flex 3000K 3W Part Number]:[C-Flex 4000K 3W Part Number]])=3,FALSE,TRUE)</f>
        <v>0</v>
      </c>
      <c r="T801" t="b">
        <f>IF(COUNTBLANK(Master_Reference[[#This Row],[Lutron 3000K Eco Part Number]:[Lutron 4000K Eco Part Number]])=3,FALSE,TRUE)</f>
        <v>1</v>
      </c>
      <c r="U801" t="b">
        <f>IF(COUNTBLANK(Master_Reference[[#This Row],[Lutron 3000K 3W Part Number]:[Lutron 4000K 3W Part Number]])=3,FALSE,TRUE)</f>
        <v>0</v>
      </c>
      <c r="V801" s="12" t="s">
        <v>424</v>
      </c>
      <c r="W801" s="12" t="s">
        <v>425</v>
      </c>
      <c r="X801" s="12" t="s">
        <v>426</v>
      </c>
      <c r="Y801" t="s">
        <v>1714</v>
      </c>
      <c r="Z801" s="12"/>
      <c r="AA801" s="12"/>
      <c r="AB801" s="12"/>
      <c r="AC801" t="s">
        <v>2125</v>
      </c>
      <c r="AD801" t="str">
        <f>SUBSTITUTE(Master_Reference[[#This Row],[C-Flex 4000K Eco Part Number]],"40-","xx-")</f>
        <v>RP-PLL-7.5K-3L-8xx-E1-M-G2</v>
      </c>
      <c r="AE801" t="str">
        <f>SUBSTITUTE(Master_Reference[[#This Row],[C-Flex 4000K 3W Part Number]],"40-","xx-")</f>
        <v/>
      </c>
      <c r="AF801" s="1" t="str">
        <f>_xlfn.IFNA(VLOOKUP(Master_Reference[[#This Row],[C-Flex 3000K Eco Part Number]],Lutron_CFlex_Lookup[],MATCH("Lutron Kit PN",Lutron_CFlex_Lookup[#Headers],0),FALSE),"")</f>
        <v>ELD-TT-3M30-q</v>
      </c>
      <c r="AG801" s="1" t="str">
        <f>_xlfn.IFNA(VLOOKUP(Master_Reference[[#This Row],[C-Flex 3500K Eco Part Number]],Lutron_CFlex_Lookup[],MATCH("Lutron Kit PN",Lutron_CFlex_Lookup[#Headers],0),FALSE),"")</f>
        <v>ELD-TT-3M35-q</v>
      </c>
      <c r="AH801" s="1" t="str">
        <f>_xlfn.IFNA(VLOOKUP(Master_Reference[[#This Row],[C-Flex 4000K Eco Part Number]],Lutron_CFlex_Lookup[],MATCH("Lutron Kit PN",Lutron_CFlex_Lookup[#Headers],0),FALSE),"")</f>
        <v>ELD-TT-3M40-q</v>
      </c>
      <c r="AI801" s="1" t="str">
        <f>_xlfn.IFNA(VLOOKUP(Master_Reference[[#This Row],[C-Flex 5000K Eco Part Number]],Lutron_CFlex_Lookup[],MATCH("Lutron Kit PN",Lutron_CFlex_Lookup[#Headers],0),FALSE),"")</f>
        <v>ELD-TT-3M50-q</v>
      </c>
      <c r="AJ801" s="1" t="str">
        <f>_xlfn.IFNA(VLOOKUP(Master_Reference[[#This Row],[C-Flex 3000K 3W Part Number]],Lutron_CFlex_Lookup[],MATCH("Lutron Kit PN",Lutron_CFlex_Lookup[#Headers],0),FALSE),"")</f>
        <v/>
      </c>
      <c r="AK801" s="1" t="str">
        <f>_xlfn.IFNA(VLOOKUP(Master_Reference[[#This Row],[C-Flex 3500K 3W Part Number]],Lutron_CFlex_Lookup[],MATCH("Lutron Kit PN",Lutron_CFlex_Lookup[#Headers],0),FALSE),"")</f>
        <v/>
      </c>
      <c r="AL801" s="1" t="str">
        <f>_xlfn.IFNA(VLOOKUP(Master_Reference[[#This Row],[C-Flex 4000K 3W Part Number]],Lutron_CFlex_Lookup[],MATCH("Lutron Kit PN",Lutron_CFlex_Lookup[#Headers],0),FALSE),"")</f>
        <v/>
      </c>
      <c r="AM801" s="1" t="str">
        <f>_xlfn.IFNA(VLOOKUP(Master_Reference[[#This Row],[C-Flex 5000K 3W Part Number]],Lutron_CFlex_Lookup[],MATCH("Lutron Kit PN",Lutron_CFlex_Lookup[#Headers],0),FALSE),"")</f>
        <v/>
      </c>
      <c r="AN801" s="1" t="b">
        <f>NOT(ISNA(VLOOKUP(Master_Reference[[#This Row],[Model Number]],ObsoleteModels[],1,FALSE)))</f>
        <v>1</v>
      </c>
      <c r="AO801" s="1" t="str">
        <f>IF(LEFT(Master_Reference[[#This Row],[Model Number]],1)="U",LEFT(Master_Reference[[#This Row],[Model Number]],4),LEFT(Master_Reference[[#This Row],[Model Number]],3))</f>
        <v>H3D</v>
      </c>
    </row>
    <row r="802" spans="1:41" x14ac:dyDescent="0.25">
      <c r="A802" s="2" t="s">
        <v>1103</v>
      </c>
      <c r="B802" s="1" t="b">
        <v>1</v>
      </c>
      <c r="C802" s="1" t="b">
        <v>1</v>
      </c>
      <c r="G802" s="1" t="str">
        <f>IF(OR(LEFT(RIGHT(Master_Reference[[#This Row],[Model Number]],3),1)="C",LEFT(RIGHT(Master_Reference[[#This Row],[Model Number]],4),1)="C"),TRUE,"")</f>
        <v/>
      </c>
      <c r="H802" s="1" t="str">
        <f>IF(LEFT(Master_Reference[[#This Row],[Model Number]],1)="U",TRUE,"")</f>
        <v/>
      </c>
      <c r="I802" s="1" t="b">
        <f>IF(Master_Reference[[#This Row],[Lamp Type]]="T4","",IF(Master_Reference[[#This Row],[Case Type]]="M","",TRUE))</f>
        <v>1</v>
      </c>
      <c r="J802" s="1" t="s">
        <v>215</v>
      </c>
      <c r="K802" s="1">
        <v>50</v>
      </c>
      <c r="L802" s="1" t="s">
        <v>225</v>
      </c>
      <c r="M802" s="1">
        <v>3</v>
      </c>
      <c r="N802" s="1" t="s">
        <v>149</v>
      </c>
      <c r="O802" s="1" t="s">
        <v>217</v>
      </c>
      <c r="Q802" s="1" t="s">
        <v>91</v>
      </c>
      <c r="R802" t="b">
        <f>IF(COUNTBLANK(Master_Reference[[#This Row],[C-Flex 3000K Eco Part Number]:[C-Flex 4000K Eco Part Number]])=3,FALSE,TRUE)</f>
        <v>0</v>
      </c>
      <c r="S802" t="b">
        <f>IF(COUNTBLANK(Master_Reference[[#This Row],[C-Flex 3000K 3W Part Number]:[C-Flex 4000K 3W Part Number]])=3,FALSE,TRUE)</f>
        <v>0</v>
      </c>
      <c r="T802" t="b">
        <f>IF(COUNTBLANK(Master_Reference[[#This Row],[Lutron 3000K Eco Part Number]:[Lutron 4000K Eco Part Number]])=3,FALSE,TRUE)</f>
        <v>0</v>
      </c>
      <c r="U802" t="b">
        <f>IF(COUNTBLANK(Master_Reference[[#This Row],[Lutron 3000K 3W Part Number]:[Lutron 4000K 3W Part Number]])=3,FALSE,TRUE)</f>
        <v>0</v>
      </c>
      <c r="V802" s="12"/>
      <c r="W802" s="12"/>
      <c r="X802" s="12"/>
      <c r="Y802" t="s">
        <v>2125</v>
      </c>
      <c r="Z802" s="12"/>
      <c r="AA802" s="12"/>
      <c r="AB802" s="12"/>
      <c r="AC802" t="s">
        <v>2125</v>
      </c>
      <c r="AD802" t="str">
        <f>SUBSTITUTE(Master_Reference[[#This Row],[C-Flex 4000K Eco Part Number]],"40-","xx-")</f>
        <v/>
      </c>
      <c r="AE802" t="str">
        <f>SUBSTITUTE(Master_Reference[[#This Row],[C-Flex 4000K 3W Part Number]],"40-","xx-")</f>
        <v/>
      </c>
      <c r="AF802" s="1" t="str">
        <f>_xlfn.IFNA(VLOOKUP(Master_Reference[[#This Row],[C-Flex 3000K Eco Part Number]],Lutron_CFlex_Lookup[],MATCH("Lutron Kit PN",Lutron_CFlex_Lookup[#Headers],0),FALSE),"")</f>
        <v/>
      </c>
      <c r="AG802" s="1" t="str">
        <f>_xlfn.IFNA(VLOOKUP(Master_Reference[[#This Row],[C-Flex 3500K Eco Part Number]],Lutron_CFlex_Lookup[],MATCH("Lutron Kit PN",Lutron_CFlex_Lookup[#Headers],0),FALSE),"")</f>
        <v/>
      </c>
      <c r="AH802" s="1" t="str">
        <f>_xlfn.IFNA(VLOOKUP(Master_Reference[[#This Row],[C-Flex 4000K Eco Part Number]],Lutron_CFlex_Lookup[],MATCH("Lutron Kit PN",Lutron_CFlex_Lookup[#Headers],0),FALSE),"")</f>
        <v/>
      </c>
      <c r="AI802" s="1" t="str">
        <f>_xlfn.IFNA(VLOOKUP(Master_Reference[[#This Row],[C-Flex 5000K Eco Part Number]],Lutron_CFlex_Lookup[],MATCH("Lutron Kit PN",Lutron_CFlex_Lookup[#Headers],0),FALSE),"")</f>
        <v/>
      </c>
      <c r="AJ802" s="1" t="str">
        <f>_xlfn.IFNA(VLOOKUP(Master_Reference[[#This Row],[C-Flex 3000K 3W Part Number]],Lutron_CFlex_Lookup[],MATCH("Lutron Kit PN",Lutron_CFlex_Lookup[#Headers],0),FALSE),"")</f>
        <v/>
      </c>
      <c r="AK802" s="1" t="str">
        <f>_xlfn.IFNA(VLOOKUP(Master_Reference[[#This Row],[C-Flex 3500K 3W Part Number]],Lutron_CFlex_Lookup[],MATCH("Lutron Kit PN",Lutron_CFlex_Lookup[#Headers],0),FALSE),"")</f>
        <v/>
      </c>
      <c r="AL802" s="1" t="str">
        <f>_xlfn.IFNA(VLOOKUP(Master_Reference[[#This Row],[C-Flex 4000K 3W Part Number]],Lutron_CFlex_Lookup[],MATCH("Lutron Kit PN",Lutron_CFlex_Lookup[#Headers],0),FALSE),"")</f>
        <v/>
      </c>
      <c r="AM802" s="1" t="str">
        <f>_xlfn.IFNA(VLOOKUP(Master_Reference[[#This Row],[C-Flex 5000K 3W Part Number]],Lutron_CFlex_Lookup[],MATCH("Lutron Kit PN",Lutron_CFlex_Lookup[#Headers],0),FALSE),"")</f>
        <v/>
      </c>
      <c r="AN802" s="1" t="b">
        <f>NOT(ISNA(VLOOKUP(Master_Reference[[#This Row],[Model Number]],ObsoleteModels[],1,FALSE)))</f>
        <v>1</v>
      </c>
      <c r="AO802" s="1" t="str">
        <f>IF(LEFT(Master_Reference[[#This Row],[Model Number]],1)="U",LEFT(Master_Reference[[#This Row],[Model Number]],4),LEFT(Master_Reference[[#This Row],[Model Number]],3))</f>
        <v>H3D</v>
      </c>
    </row>
    <row r="803" spans="1:41" x14ac:dyDescent="0.25">
      <c r="A803" s="2" t="s">
        <v>1104</v>
      </c>
      <c r="B803" s="1" t="b">
        <v>1</v>
      </c>
      <c r="C803" s="1" t="b">
        <v>1</v>
      </c>
      <c r="G803" s="1" t="str">
        <f>IF(OR(LEFT(RIGHT(Master_Reference[[#This Row],[Model Number]],3),1)="C",LEFT(RIGHT(Master_Reference[[#This Row],[Model Number]],4),1)="C"),TRUE,"")</f>
        <v/>
      </c>
      <c r="H803" s="1" t="str">
        <f>IF(LEFT(Master_Reference[[#This Row],[Model Number]],1)="U",TRUE,"")</f>
        <v/>
      </c>
      <c r="I803" s="1" t="b">
        <f>IF(Master_Reference[[#This Row],[Lamp Type]]="T4","",IF(Master_Reference[[#This Row],[Case Type]]="M","",TRUE))</f>
        <v>1</v>
      </c>
      <c r="J803" s="1" t="s">
        <v>215</v>
      </c>
      <c r="K803" s="1">
        <v>50</v>
      </c>
      <c r="L803" s="1" t="s">
        <v>225</v>
      </c>
      <c r="M803" s="1">
        <v>1</v>
      </c>
      <c r="N803" s="1" t="s">
        <v>149</v>
      </c>
      <c r="O803" s="1" t="s">
        <v>217</v>
      </c>
      <c r="R803" t="b">
        <f>IF(COUNTBLANK(Master_Reference[[#This Row],[C-Flex 3000K Eco Part Number]:[C-Flex 4000K Eco Part Number]])=3,FALSE,TRUE)</f>
        <v>1</v>
      </c>
      <c r="S803" t="b">
        <f>IF(COUNTBLANK(Master_Reference[[#This Row],[C-Flex 3000K 3W Part Number]:[C-Flex 4000K 3W Part Number]])=3,FALSE,TRUE)</f>
        <v>1</v>
      </c>
      <c r="T803" t="b">
        <f>IF(COUNTBLANK(Master_Reference[[#This Row],[Lutron 3000K Eco Part Number]:[Lutron 4000K Eco Part Number]])=3,FALSE,TRUE)</f>
        <v>1</v>
      </c>
      <c r="U803" t="b">
        <f>IF(COUNTBLANK(Master_Reference[[#This Row],[Lutron 3000K 3W Part Number]:[Lutron 4000K 3W Part Number]])=3,FALSE,TRUE)</f>
        <v>1</v>
      </c>
      <c r="V803" s="12" t="s">
        <v>226</v>
      </c>
      <c r="W803" s="12" t="s">
        <v>227</v>
      </c>
      <c r="X803" s="12" t="s">
        <v>228</v>
      </c>
      <c r="Y803" t="s">
        <v>1712</v>
      </c>
      <c r="Z803" s="12" t="s">
        <v>229</v>
      </c>
      <c r="AA803" s="12" t="s">
        <v>230</v>
      </c>
      <c r="AB803" s="12" t="s">
        <v>231</v>
      </c>
      <c r="AC803" t="s">
        <v>1801</v>
      </c>
      <c r="AD803" t="str">
        <f>SUBSTITUTE(Master_Reference[[#This Row],[C-Flex 4000K Eco Part Number]],"40-","xx-")</f>
        <v>RP-PLL-2.5K-1L-8xx-E1-M-G2</v>
      </c>
      <c r="AE803" t="str">
        <f>SUBSTITUTE(Master_Reference[[#This Row],[C-Flex 4000K 3W Part Number]],"40-","xx-")</f>
        <v>RP-PLL-2.5K-1L-8xx-3W-M-G2</v>
      </c>
      <c r="AF803" s="1" t="str">
        <f>_xlfn.IFNA(VLOOKUP(Master_Reference[[#This Row],[C-Flex 3000K Eco Part Number]],Lutron_CFlex_Lookup[],MATCH("Lutron Kit PN",Lutron_CFlex_Lookup[#Headers],0),FALSE),"")</f>
        <v>ELD-TT-1M30-q</v>
      </c>
      <c r="AG803" s="1" t="str">
        <f>_xlfn.IFNA(VLOOKUP(Master_Reference[[#This Row],[C-Flex 3500K Eco Part Number]],Lutron_CFlex_Lookup[],MATCH("Lutron Kit PN",Lutron_CFlex_Lookup[#Headers],0),FALSE),"")</f>
        <v>ELD-TT-1M35-q</v>
      </c>
      <c r="AH803" s="1" t="str">
        <f>_xlfn.IFNA(VLOOKUP(Master_Reference[[#This Row],[C-Flex 4000K Eco Part Number]],Lutron_CFlex_Lookup[],MATCH("Lutron Kit PN",Lutron_CFlex_Lookup[#Headers],0),FALSE),"")</f>
        <v>ELD-TT-1M40-q</v>
      </c>
      <c r="AI803" s="1" t="str">
        <f>_xlfn.IFNA(VLOOKUP(Master_Reference[[#This Row],[C-Flex 5000K Eco Part Number]],Lutron_CFlex_Lookup[],MATCH("Lutron Kit PN",Lutron_CFlex_Lookup[#Headers],0),FALSE),"")</f>
        <v>ELD-TT-1M50-q</v>
      </c>
      <c r="AJ803" s="1" t="str">
        <f>_xlfn.IFNA(VLOOKUP(Master_Reference[[#This Row],[C-Flex 3000K 3W Part Number]],Lutron_CFlex_Lookup[],MATCH("Lutron Kit PN",Lutron_CFlex_Lookup[#Headers],0),FALSE),"")</f>
        <v>3LD-TT-1M30-q</v>
      </c>
      <c r="AK803" s="1" t="str">
        <f>_xlfn.IFNA(VLOOKUP(Master_Reference[[#This Row],[C-Flex 3500K 3W Part Number]],Lutron_CFlex_Lookup[],MATCH("Lutron Kit PN",Lutron_CFlex_Lookup[#Headers],0),FALSE),"")</f>
        <v>3LD-TT-1M35-q</v>
      </c>
      <c r="AL803" s="1" t="str">
        <f>_xlfn.IFNA(VLOOKUP(Master_Reference[[#This Row],[C-Flex 4000K 3W Part Number]],Lutron_CFlex_Lookup[],MATCH("Lutron Kit PN",Lutron_CFlex_Lookup[#Headers],0),FALSE),"")</f>
        <v>3LD-TT-1M40-q</v>
      </c>
      <c r="AM803" s="1" t="str">
        <f>_xlfn.IFNA(VLOOKUP(Master_Reference[[#This Row],[C-Flex 5000K 3W Part Number]],Lutron_CFlex_Lookup[],MATCH("Lutron Kit PN",Lutron_CFlex_Lookup[#Headers],0),FALSE),"")</f>
        <v>3LD-TT-1M50-q</v>
      </c>
      <c r="AN803" s="1" t="b">
        <f>NOT(ISNA(VLOOKUP(Master_Reference[[#This Row],[Model Number]],ObsoleteModels[],1,FALSE)))</f>
        <v>1</v>
      </c>
      <c r="AO803" s="1" t="str">
        <f>IF(LEFT(Master_Reference[[#This Row],[Model Number]],1)="U",LEFT(Master_Reference[[#This Row],[Model Number]],4),LEFT(Master_Reference[[#This Row],[Model Number]],3))</f>
        <v>H3D</v>
      </c>
    </row>
    <row r="804" spans="1:41" x14ac:dyDescent="0.25">
      <c r="A804" s="2" t="s">
        <v>1105</v>
      </c>
      <c r="B804" s="1" t="b">
        <v>1</v>
      </c>
      <c r="C804" s="1" t="b">
        <v>1</v>
      </c>
      <c r="G804" s="1" t="str">
        <f>IF(OR(LEFT(RIGHT(Master_Reference[[#This Row],[Model Number]],3),1)="C",LEFT(RIGHT(Master_Reference[[#This Row],[Model Number]],4),1)="C"),TRUE,"")</f>
        <v/>
      </c>
      <c r="H804" s="1" t="str">
        <f>IF(LEFT(Master_Reference[[#This Row],[Model Number]],1)="U",TRUE,"")</f>
        <v/>
      </c>
      <c r="I804" s="1" t="b">
        <f>IF(Master_Reference[[#This Row],[Lamp Type]]="T4","",IF(Master_Reference[[#This Row],[Case Type]]="M","",TRUE))</f>
        <v>1</v>
      </c>
      <c r="J804" s="1" t="s">
        <v>215</v>
      </c>
      <c r="K804" s="1">
        <v>50</v>
      </c>
      <c r="L804" s="1" t="s">
        <v>225</v>
      </c>
      <c r="M804" s="1">
        <v>2</v>
      </c>
      <c r="N804" s="1" t="s">
        <v>149</v>
      </c>
      <c r="O804" s="1" t="s">
        <v>217</v>
      </c>
      <c r="R804" t="b">
        <f>IF(COUNTBLANK(Master_Reference[[#This Row],[C-Flex 3000K Eco Part Number]:[C-Flex 4000K Eco Part Number]])=3,FALSE,TRUE)</f>
        <v>1</v>
      </c>
      <c r="S804" t="b">
        <f>IF(COUNTBLANK(Master_Reference[[#This Row],[C-Flex 3000K 3W Part Number]:[C-Flex 4000K 3W Part Number]])=3,FALSE,TRUE)</f>
        <v>1</v>
      </c>
      <c r="T804" t="b">
        <f>IF(COUNTBLANK(Master_Reference[[#This Row],[Lutron 3000K Eco Part Number]:[Lutron 4000K Eco Part Number]])=3,FALSE,TRUE)</f>
        <v>1</v>
      </c>
      <c r="U804" t="b">
        <f>IF(COUNTBLANK(Master_Reference[[#This Row],[Lutron 3000K 3W Part Number]:[Lutron 4000K 3W Part Number]])=3,FALSE,TRUE)</f>
        <v>1</v>
      </c>
      <c r="V804" s="12" t="s">
        <v>233</v>
      </c>
      <c r="W804" s="12" t="s">
        <v>234</v>
      </c>
      <c r="X804" s="12" t="s">
        <v>235</v>
      </c>
      <c r="Y804" t="s">
        <v>1713</v>
      </c>
      <c r="Z804" s="12" t="s">
        <v>236</v>
      </c>
      <c r="AA804" s="12" t="s">
        <v>237</v>
      </c>
      <c r="AB804" s="12" t="s">
        <v>238</v>
      </c>
      <c r="AC804" t="s">
        <v>1802</v>
      </c>
      <c r="AD804" t="str">
        <f>SUBSTITUTE(Master_Reference[[#This Row],[C-Flex 4000K Eco Part Number]],"40-","xx-")</f>
        <v>RP-PLL-5.0K-2L-8xx-E1-M-G2</v>
      </c>
      <c r="AE804" t="str">
        <f>SUBSTITUTE(Master_Reference[[#This Row],[C-Flex 4000K 3W Part Number]],"40-","xx-")</f>
        <v>RP-PLL-5.0K-2L-8xx-3W-M-G2</v>
      </c>
      <c r="AF804" s="1" t="str">
        <f>_xlfn.IFNA(VLOOKUP(Master_Reference[[#This Row],[C-Flex 3000K Eco Part Number]],Lutron_CFlex_Lookup[],MATCH("Lutron Kit PN",Lutron_CFlex_Lookup[#Headers],0),FALSE),"")</f>
        <v>ELD-TT-2M30-q</v>
      </c>
      <c r="AG804" s="1" t="str">
        <f>_xlfn.IFNA(VLOOKUP(Master_Reference[[#This Row],[C-Flex 3500K Eco Part Number]],Lutron_CFlex_Lookup[],MATCH("Lutron Kit PN",Lutron_CFlex_Lookup[#Headers],0),FALSE),"")</f>
        <v>ELD-TT-2M35-q</v>
      </c>
      <c r="AH804" s="1" t="str">
        <f>_xlfn.IFNA(VLOOKUP(Master_Reference[[#This Row],[C-Flex 4000K Eco Part Number]],Lutron_CFlex_Lookup[],MATCH("Lutron Kit PN",Lutron_CFlex_Lookup[#Headers],0),FALSE),"")</f>
        <v>ELD-TT-2M40-q</v>
      </c>
      <c r="AI804" s="1" t="str">
        <f>_xlfn.IFNA(VLOOKUP(Master_Reference[[#This Row],[C-Flex 5000K Eco Part Number]],Lutron_CFlex_Lookup[],MATCH("Lutron Kit PN",Lutron_CFlex_Lookup[#Headers],0),FALSE),"")</f>
        <v>ELD-TT-2M50-q</v>
      </c>
      <c r="AJ804" s="1" t="str">
        <f>_xlfn.IFNA(VLOOKUP(Master_Reference[[#This Row],[C-Flex 3000K 3W Part Number]],Lutron_CFlex_Lookup[],MATCH("Lutron Kit PN",Lutron_CFlex_Lookup[#Headers],0),FALSE),"")</f>
        <v>3LD-TT-2M30-q</v>
      </c>
      <c r="AK804" s="1" t="str">
        <f>_xlfn.IFNA(VLOOKUP(Master_Reference[[#This Row],[C-Flex 3500K 3W Part Number]],Lutron_CFlex_Lookup[],MATCH("Lutron Kit PN",Lutron_CFlex_Lookup[#Headers],0),FALSE),"")</f>
        <v>3LD-TT-2M35-q</v>
      </c>
      <c r="AL804" s="1" t="str">
        <f>_xlfn.IFNA(VLOOKUP(Master_Reference[[#This Row],[C-Flex 4000K 3W Part Number]],Lutron_CFlex_Lookup[],MATCH("Lutron Kit PN",Lutron_CFlex_Lookup[#Headers],0),FALSE),"")</f>
        <v>3LD-TT-2M40-q</v>
      </c>
      <c r="AM804" s="1" t="str">
        <f>_xlfn.IFNA(VLOOKUP(Master_Reference[[#This Row],[C-Flex 5000K 3W Part Number]],Lutron_CFlex_Lookup[],MATCH("Lutron Kit PN",Lutron_CFlex_Lookup[#Headers],0),FALSE),"")</f>
        <v>3LD-TT-2M50-q</v>
      </c>
      <c r="AN804" s="1" t="b">
        <f>NOT(ISNA(VLOOKUP(Master_Reference[[#This Row],[Model Number]],ObsoleteModels[],1,FALSE)))</f>
        <v>1</v>
      </c>
      <c r="AO804" s="1" t="str">
        <f>IF(LEFT(Master_Reference[[#This Row],[Model Number]],1)="U",LEFT(Master_Reference[[#This Row],[Model Number]],4),LEFT(Master_Reference[[#This Row],[Model Number]],3))</f>
        <v>H3D</v>
      </c>
    </row>
    <row r="805" spans="1:41" x14ac:dyDescent="0.25">
      <c r="A805" s="2" t="s">
        <v>1106</v>
      </c>
      <c r="B805" s="1" t="b">
        <v>1</v>
      </c>
      <c r="C805" s="1" t="b">
        <v>1</v>
      </c>
      <c r="G805" s="1" t="b">
        <f>IF(OR(LEFT(RIGHT(Master_Reference[[#This Row],[Model Number]],3),1)="C",LEFT(RIGHT(Master_Reference[[#This Row],[Model Number]],4),1)="C"),TRUE,"")</f>
        <v>1</v>
      </c>
      <c r="H805" s="1" t="str">
        <f>IF(LEFT(Master_Reference[[#This Row],[Model Number]],1)="U",TRUE,"")</f>
        <v/>
      </c>
      <c r="I805" s="1" t="b">
        <f>IF(Master_Reference[[#This Row],[Lamp Type]]="T4","",IF(Master_Reference[[#This Row],[Case Type]]="M","",TRUE))</f>
        <v>1</v>
      </c>
      <c r="J805" s="1" t="s">
        <v>215</v>
      </c>
      <c r="K805" s="1">
        <v>50</v>
      </c>
      <c r="L805" s="1" t="s">
        <v>225</v>
      </c>
      <c r="M805" s="1">
        <v>2</v>
      </c>
      <c r="N805" s="1" t="s">
        <v>149</v>
      </c>
      <c r="O805" s="1" t="s">
        <v>217</v>
      </c>
      <c r="R805" t="b">
        <f>IF(COUNTBLANK(Master_Reference[[#This Row],[C-Flex 3000K Eco Part Number]:[C-Flex 4000K Eco Part Number]])=3,FALSE,TRUE)</f>
        <v>1</v>
      </c>
      <c r="S805" t="b">
        <f>IF(COUNTBLANK(Master_Reference[[#This Row],[C-Flex 3000K 3W Part Number]:[C-Flex 4000K 3W Part Number]])=3,FALSE,TRUE)</f>
        <v>1</v>
      </c>
      <c r="T805" t="b">
        <f>IF(COUNTBLANK(Master_Reference[[#This Row],[Lutron 3000K Eco Part Number]:[Lutron 4000K Eco Part Number]])=3,FALSE,TRUE)</f>
        <v>1</v>
      </c>
      <c r="U805" t="b">
        <f>IF(COUNTBLANK(Master_Reference[[#This Row],[Lutron 3000K 3W Part Number]:[Lutron 4000K 3W Part Number]])=3,FALSE,TRUE)</f>
        <v>1</v>
      </c>
      <c r="V805" s="12" t="s">
        <v>233</v>
      </c>
      <c r="W805" s="12" t="s">
        <v>234</v>
      </c>
      <c r="X805" s="12" t="s">
        <v>235</v>
      </c>
      <c r="Y805" t="s">
        <v>1713</v>
      </c>
      <c r="Z805" s="12" t="s">
        <v>236</v>
      </c>
      <c r="AA805" s="12" t="s">
        <v>237</v>
      </c>
      <c r="AB805" s="12" t="s">
        <v>238</v>
      </c>
      <c r="AC805" t="s">
        <v>1802</v>
      </c>
      <c r="AD805" t="str">
        <f>SUBSTITUTE(Master_Reference[[#This Row],[C-Flex 4000K Eco Part Number]],"40-","xx-")</f>
        <v>RP-PLL-5.0K-2L-8xx-E1-M-G2</v>
      </c>
      <c r="AE805" t="str">
        <f>SUBSTITUTE(Master_Reference[[#This Row],[C-Flex 4000K 3W Part Number]],"40-","xx-")</f>
        <v>RP-PLL-5.0K-2L-8xx-3W-M-G2</v>
      </c>
      <c r="AF805" s="1" t="str">
        <f>_xlfn.IFNA(VLOOKUP(Master_Reference[[#This Row],[C-Flex 3000K Eco Part Number]],Lutron_CFlex_Lookup[],MATCH("Lutron Kit PN",Lutron_CFlex_Lookup[#Headers],0),FALSE),"")</f>
        <v>ELD-TT-2M30-q</v>
      </c>
      <c r="AG805" s="1" t="str">
        <f>_xlfn.IFNA(VLOOKUP(Master_Reference[[#This Row],[C-Flex 3500K Eco Part Number]],Lutron_CFlex_Lookup[],MATCH("Lutron Kit PN",Lutron_CFlex_Lookup[#Headers],0),FALSE),"")</f>
        <v>ELD-TT-2M35-q</v>
      </c>
      <c r="AH805" s="1" t="str">
        <f>_xlfn.IFNA(VLOOKUP(Master_Reference[[#This Row],[C-Flex 4000K Eco Part Number]],Lutron_CFlex_Lookup[],MATCH("Lutron Kit PN",Lutron_CFlex_Lookup[#Headers],0),FALSE),"")</f>
        <v>ELD-TT-2M40-q</v>
      </c>
      <c r="AI805" s="1" t="str">
        <f>_xlfn.IFNA(VLOOKUP(Master_Reference[[#This Row],[C-Flex 5000K Eco Part Number]],Lutron_CFlex_Lookup[],MATCH("Lutron Kit PN",Lutron_CFlex_Lookup[#Headers],0),FALSE),"")</f>
        <v>ELD-TT-2M50-q</v>
      </c>
      <c r="AJ805" s="1" t="str">
        <f>_xlfn.IFNA(VLOOKUP(Master_Reference[[#This Row],[C-Flex 3000K 3W Part Number]],Lutron_CFlex_Lookup[],MATCH("Lutron Kit PN",Lutron_CFlex_Lookup[#Headers],0),FALSE),"")</f>
        <v>3LD-TT-2M30-q</v>
      </c>
      <c r="AK805" s="1" t="str">
        <f>_xlfn.IFNA(VLOOKUP(Master_Reference[[#This Row],[C-Flex 3500K 3W Part Number]],Lutron_CFlex_Lookup[],MATCH("Lutron Kit PN",Lutron_CFlex_Lookup[#Headers],0),FALSE),"")</f>
        <v>3LD-TT-2M35-q</v>
      </c>
      <c r="AL805" s="1" t="str">
        <f>_xlfn.IFNA(VLOOKUP(Master_Reference[[#This Row],[C-Flex 4000K 3W Part Number]],Lutron_CFlex_Lookup[],MATCH("Lutron Kit PN",Lutron_CFlex_Lookup[#Headers],0),FALSE),"")</f>
        <v>3LD-TT-2M40-q</v>
      </c>
      <c r="AM805" s="1" t="str">
        <f>_xlfn.IFNA(VLOOKUP(Master_Reference[[#This Row],[C-Flex 5000K 3W Part Number]],Lutron_CFlex_Lookup[],MATCH("Lutron Kit PN",Lutron_CFlex_Lookup[#Headers],0),FALSE),"")</f>
        <v>3LD-TT-2M50-q</v>
      </c>
      <c r="AN805" s="1" t="b">
        <f>NOT(ISNA(VLOOKUP(Master_Reference[[#This Row],[Model Number]],ObsoleteModels[],1,FALSE)))</f>
        <v>1</v>
      </c>
      <c r="AO805" s="1" t="str">
        <f>IF(LEFT(Master_Reference[[#This Row],[Model Number]],1)="U",LEFT(Master_Reference[[#This Row],[Model Number]],4),LEFT(Master_Reference[[#This Row],[Model Number]],3))</f>
        <v>H3D</v>
      </c>
    </row>
    <row r="806" spans="1:41" x14ac:dyDescent="0.25">
      <c r="A806" s="2" t="s">
        <v>1107</v>
      </c>
      <c r="B806" s="1" t="b">
        <v>1</v>
      </c>
      <c r="C806" s="1" t="b">
        <v>1</v>
      </c>
      <c r="G806" s="1" t="str">
        <f>IF(OR(LEFT(RIGHT(Master_Reference[[#This Row],[Model Number]],3),1)="C",LEFT(RIGHT(Master_Reference[[#This Row],[Model Number]],4),1)="C"),TRUE,"")</f>
        <v/>
      </c>
      <c r="H806" s="1" t="str">
        <f>IF(LEFT(Master_Reference[[#This Row],[Model Number]],1)="U",TRUE,"")</f>
        <v/>
      </c>
      <c r="I806" s="1" t="b">
        <f>IF(Master_Reference[[#This Row],[Lamp Type]]="T4","",IF(Master_Reference[[#This Row],[Case Type]]="M","",TRUE))</f>
        <v>1</v>
      </c>
      <c r="J806" s="1" t="s">
        <v>297</v>
      </c>
      <c r="K806" s="1">
        <v>54</v>
      </c>
      <c r="L806" s="1" t="s">
        <v>118</v>
      </c>
      <c r="M806" s="1">
        <v>1</v>
      </c>
      <c r="N806" s="1" t="s">
        <v>149</v>
      </c>
      <c r="O806" s="1" t="s">
        <v>113</v>
      </c>
      <c r="R806" t="b">
        <f>IF(COUNTBLANK(Master_Reference[[#This Row],[C-Flex 3000K Eco Part Number]:[C-Flex 4000K Eco Part Number]])=3,FALSE,TRUE)</f>
        <v>1</v>
      </c>
      <c r="S806" t="b">
        <f>IF(COUNTBLANK(Master_Reference[[#This Row],[C-Flex 3000K 3W Part Number]:[C-Flex 4000K 3W Part Number]])=3,FALSE,TRUE)</f>
        <v>1</v>
      </c>
      <c r="T806" t="b">
        <f>IF(COUNTBLANK(Master_Reference[[#This Row],[Lutron 3000K Eco Part Number]:[Lutron 4000K Eco Part Number]])=3,FALSE,TRUE)</f>
        <v>1</v>
      </c>
      <c r="U806" t="b">
        <f>IF(COUNTBLANK(Master_Reference[[#This Row],[Lutron 3000K 3W Part Number]:[Lutron 4000K 3W Part Number]])=3,FALSE,TRUE)</f>
        <v>1</v>
      </c>
      <c r="V806" s="12" t="s">
        <v>298</v>
      </c>
      <c r="W806" s="12" t="s">
        <v>299</v>
      </c>
      <c r="X806" s="12" t="s">
        <v>300</v>
      </c>
      <c r="Y806" t="s">
        <v>1733</v>
      </c>
      <c r="Z806" s="12" t="s">
        <v>301</v>
      </c>
      <c r="AA806" s="12" t="s">
        <v>302</v>
      </c>
      <c r="AB806" s="12" t="s">
        <v>303</v>
      </c>
      <c r="AC806" t="s">
        <v>1821</v>
      </c>
      <c r="AD806" t="str">
        <f>SUBSTITUTE(Master_Reference[[#This Row],[C-Flex 4000K Eco Part Number]],"40-","xx-")</f>
        <v>RP-T5HO-4FT-1L-8xx-E1-M-G2</v>
      </c>
      <c r="AE806" t="str">
        <f>SUBSTITUTE(Master_Reference[[#This Row],[C-Flex 4000K 3W Part Number]],"40-","xx-")</f>
        <v>RP-T5HO-4FT-1L-8xx-3W-M-G2</v>
      </c>
      <c r="AF806" s="1" t="str">
        <f>_xlfn.IFNA(VLOOKUP(Master_Reference[[#This Row],[C-Flex 3000K Eco Part Number]],Lutron_CFlex_Lookup[],MATCH("Lutron Kit PN",Lutron_CFlex_Lookup[#Headers],0),FALSE),"")</f>
        <v>ELD4T5H-1M30-q</v>
      </c>
      <c r="AG806" s="1" t="str">
        <f>_xlfn.IFNA(VLOOKUP(Master_Reference[[#This Row],[C-Flex 3500K Eco Part Number]],Lutron_CFlex_Lookup[],MATCH("Lutron Kit PN",Lutron_CFlex_Lookup[#Headers],0),FALSE),"")</f>
        <v>ELD4T5H-1M35-q</v>
      </c>
      <c r="AH806" s="1" t="str">
        <f>_xlfn.IFNA(VLOOKUP(Master_Reference[[#This Row],[C-Flex 4000K Eco Part Number]],Lutron_CFlex_Lookup[],MATCH("Lutron Kit PN",Lutron_CFlex_Lookup[#Headers],0),FALSE),"")</f>
        <v>ELD4T5H-1M40-q</v>
      </c>
      <c r="AI806" s="1" t="str">
        <f>_xlfn.IFNA(VLOOKUP(Master_Reference[[#This Row],[C-Flex 5000K Eco Part Number]],Lutron_CFlex_Lookup[],MATCH("Lutron Kit PN",Lutron_CFlex_Lookup[#Headers],0),FALSE),"")</f>
        <v>ELD4T5H-1M50-q</v>
      </c>
      <c r="AJ806" s="1" t="str">
        <f>_xlfn.IFNA(VLOOKUP(Master_Reference[[#This Row],[C-Flex 3000K 3W Part Number]],Lutron_CFlex_Lookup[],MATCH("Lutron Kit PN",Lutron_CFlex_Lookup[#Headers],0),FALSE),"")</f>
        <v>3LD4T5H-1M30-q</v>
      </c>
      <c r="AK806" s="1" t="str">
        <f>_xlfn.IFNA(VLOOKUP(Master_Reference[[#This Row],[C-Flex 3500K 3W Part Number]],Lutron_CFlex_Lookup[],MATCH("Lutron Kit PN",Lutron_CFlex_Lookup[#Headers],0),FALSE),"")</f>
        <v>3LD4T5H-1M35-q</v>
      </c>
      <c r="AL806" s="1" t="str">
        <f>_xlfn.IFNA(VLOOKUP(Master_Reference[[#This Row],[C-Flex 4000K 3W Part Number]],Lutron_CFlex_Lookup[],MATCH("Lutron Kit PN",Lutron_CFlex_Lookup[#Headers],0),FALSE),"")</f>
        <v>3LD4T5H-1M40-q</v>
      </c>
      <c r="AM806" s="1" t="str">
        <f>_xlfn.IFNA(VLOOKUP(Master_Reference[[#This Row],[C-Flex 5000K 3W Part Number]],Lutron_CFlex_Lookup[],MATCH("Lutron Kit PN",Lutron_CFlex_Lookup[#Headers],0),FALSE),"")</f>
        <v>3LD4T5H-1M50-q</v>
      </c>
      <c r="AN806" s="1" t="b">
        <f>NOT(ISNA(VLOOKUP(Master_Reference[[#This Row],[Model Number]],ObsoleteModels[],1,FALSE)))</f>
        <v>1</v>
      </c>
      <c r="AO806" s="1" t="str">
        <f>IF(LEFT(Master_Reference[[#This Row],[Model Number]],1)="U",LEFT(Master_Reference[[#This Row],[Model Number]],4),LEFT(Master_Reference[[#This Row],[Model Number]],3))</f>
        <v>H3D</v>
      </c>
    </row>
    <row r="807" spans="1:41" x14ac:dyDescent="0.25">
      <c r="A807" s="2" t="s">
        <v>1108</v>
      </c>
      <c r="B807" s="1" t="b">
        <v>1</v>
      </c>
      <c r="C807" s="1" t="b">
        <v>1</v>
      </c>
      <c r="G807" s="1" t="str">
        <f>IF(OR(LEFT(RIGHT(Master_Reference[[#This Row],[Model Number]],3),1)="C",LEFT(RIGHT(Master_Reference[[#This Row],[Model Number]],4),1)="C"),TRUE,"")</f>
        <v/>
      </c>
      <c r="H807" s="1" t="str">
        <f>IF(LEFT(Master_Reference[[#This Row],[Model Number]],1)="U",TRUE,"")</f>
        <v/>
      </c>
      <c r="I807" s="1" t="b">
        <f>IF(Master_Reference[[#This Row],[Lamp Type]]="T4","",IF(Master_Reference[[#This Row],[Case Type]]="M","",TRUE))</f>
        <v>1</v>
      </c>
      <c r="J807" s="1" t="s">
        <v>297</v>
      </c>
      <c r="K807" s="1">
        <v>54</v>
      </c>
      <c r="L807" s="1" t="s">
        <v>118</v>
      </c>
      <c r="M807" s="1">
        <v>1</v>
      </c>
      <c r="N807" s="1" t="s">
        <v>149</v>
      </c>
      <c r="O807" s="1" t="s">
        <v>113</v>
      </c>
      <c r="Q807" s="1" t="s">
        <v>91</v>
      </c>
      <c r="R807" t="b">
        <f>IF(COUNTBLANK(Master_Reference[[#This Row],[C-Flex 3000K Eco Part Number]:[C-Flex 4000K Eco Part Number]])=3,FALSE,TRUE)</f>
        <v>0</v>
      </c>
      <c r="S807" t="b">
        <f>IF(COUNTBLANK(Master_Reference[[#This Row],[C-Flex 3000K 3W Part Number]:[C-Flex 4000K 3W Part Number]])=3,FALSE,TRUE)</f>
        <v>0</v>
      </c>
      <c r="T807" t="b">
        <f>IF(COUNTBLANK(Master_Reference[[#This Row],[Lutron 3000K Eco Part Number]:[Lutron 4000K Eco Part Number]])=3,FALSE,TRUE)</f>
        <v>0</v>
      </c>
      <c r="U807" t="b">
        <f>IF(COUNTBLANK(Master_Reference[[#This Row],[Lutron 3000K 3W Part Number]:[Lutron 4000K 3W Part Number]])=3,FALSE,TRUE)</f>
        <v>0</v>
      </c>
      <c r="V807" s="12"/>
      <c r="W807" s="12"/>
      <c r="X807" s="12"/>
      <c r="Y807" t="s">
        <v>2125</v>
      </c>
      <c r="Z807" s="12"/>
      <c r="AA807" s="12"/>
      <c r="AB807" s="12"/>
      <c r="AC807" t="s">
        <v>2125</v>
      </c>
      <c r="AD807" t="str">
        <f>SUBSTITUTE(Master_Reference[[#This Row],[C-Flex 4000K Eco Part Number]],"40-","xx-")</f>
        <v/>
      </c>
      <c r="AE807" t="str">
        <f>SUBSTITUTE(Master_Reference[[#This Row],[C-Flex 4000K 3W Part Number]],"40-","xx-")</f>
        <v/>
      </c>
      <c r="AF807" s="1" t="str">
        <f>_xlfn.IFNA(VLOOKUP(Master_Reference[[#This Row],[C-Flex 3000K Eco Part Number]],Lutron_CFlex_Lookup[],MATCH("Lutron Kit PN",Lutron_CFlex_Lookup[#Headers],0),FALSE),"")</f>
        <v/>
      </c>
      <c r="AG807" s="1" t="str">
        <f>_xlfn.IFNA(VLOOKUP(Master_Reference[[#This Row],[C-Flex 3500K Eco Part Number]],Lutron_CFlex_Lookup[],MATCH("Lutron Kit PN",Lutron_CFlex_Lookup[#Headers],0),FALSE),"")</f>
        <v/>
      </c>
      <c r="AH807" s="1" t="str">
        <f>_xlfn.IFNA(VLOOKUP(Master_Reference[[#This Row],[C-Flex 4000K Eco Part Number]],Lutron_CFlex_Lookup[],MATCH("Lutron Kit PN",Lutron_CFlex_Lookup[#Headers],0),FALSE),"")</f>
        <v/>
      </c>
      <c r="AI807" s="1" t="str">
        <f>_xlfn.IFNA(VLOOKUP(Master_Reference[[#This Row],[C-Flex 5000K Eco Part Number]],Lutron_CFlex_Lookup[],MATCH("Lutron Kit PN",Lutron_CFlex_Lookup[#Headers],0),FALSE),"")</f>
        <v/>
      </c>
      <c r="AJ807" s="1" t="str">
        <f>_xlfn.IFNA(VLOOKUP(Master_Reference[[#This Row],[C-Flex 3000K 3W Part Number]],Lutron_CFlex_Lookup[],MATCH("Lutron Kit PN",Lutron_CFlex_Lookup[#Headers],0),FALSE),"")</f>
        <v/>
      </c>
      <c r="AK807" s="1" t="str">
        <f>_xlfn.IFNA(VLOOKUP(Master_Reference[[#This Row],[C-Flex 3500K 3W Part Number]],Lutron_CFlex_Lookup[],MATCH("Lutron Kit PN",Lutron_CFlex_Lookup[#Headers],0),FALSE),"")</f>
        <v/>
      </c>
      <c r="AL807" s="1" t="str">
        <f>_xlfn.IFNA(VLOOKUP(Master_Reference[[#This Row],[C-Flex 4000K 3W Part Number]],Lutron_CFlex_Lookup[],MATCH("Lutron Kit PN",Lutron_CFlex_Lookup[#Headers],0),FALSE),"")</f>
        <v/>
      </c>
      <c r="AM807" s="1" t="str">
        <f>_xlfn.IFNA(VLOOKUP(Master_Reference[[#This Row],[C-Flex 5000K 3W Part Number]],Lutron_CFlex_Lookup[],MATCH("Lutron Kit PN",Lutron_CFlex_Lookup[#Headers],0),FALSE),"")</f>
        <v/>
      </c>
      <c r="AN807" s="1" t="b">
        <f>NOT(ISNA(VLOOKUP(Master_Reference[[#This Row],[Model Number]],ObsoleteModels[],1,FALSE)))</f>
        <v>1</v>
      </c>
      <c r="AO807" s="1" t="str">
        <f>IF(LEFT(Master_Reference[[#This Row],[Model Number]],1)="U",LEFT(Master_Reference[[#This Row],[Model Number]],4),LEFT(Master_Reference[[#This Row],[Model Number]],3))</f>
        <v>H3D</v>
      </c>
    </row>
    <row r="808" spans="1:41" x14ac:dyDescent="0.25">
      <c r="A808" s="2" t="s">
        <v>1109</v>
      </c>
      <c r="B808" s="1" t="b">
        <v>1</v>
      </c>
      <c r="C808" s="1" t="b">
        <v>1</v>
      </c>
      <c r="G808" s="1" t="b">
        <f>IF(OR(LEFT(RIGHT(Master_Reference[[#This Row],[Model Number]],3),1)="C",LEFT(RIGHT(Master_Reference[[#This Row],[Model Number]],4),1)="C"),TRUE,"")</f>
        <v>1</v>
      </c>
      <c r="H808" s="1" t="str">
        <f>IF(LEFT(Master_Reference[[#This Row],[Model Number]],1)="U",TRUE,"")</f>
        <v/>
      </c>
      <c r="I808" s="1" t="b">
        <f>IF(Master_Reference[[#This Row],[Lamp Type]]="T4","",IF(Master_Reference[[#This Row],[Case Type]]="M","",TRUE))</f>
        <v>1</v>
      </c>
      <c r="J808" s="1" t="s">
        <v>297</v>
      </c>
      <c r="K808" s="1">
        <v>54</v>
      </c>
      <c r="L808" s="1" t="s">
        <v>118</v>
      </c>
      <c r="M808" s="1">
        <v>1</v>
      </c>
      <c r="N808" s="1" t="s">
        <v>149</v>
      </c>
      <c r="O808" s="1" t="s">
        <v>113</v>
      </c>
      <c r="R808" t="b">
        <f>IF(COUNTBLANK(Master_Reference[[#This Row],[C-Flex 3000K Eco Part Number]:[C-Flex 4000K Eco Part Number]])=3,FALSE,TRUE)</f>
        <v>1</v>
      </c>
      <c r="S808" t="b">
        <f>IF(COUNTBLANK(Master_Reference[[#This Row],[C-Flex 3000K 3W Part Number]:[C-Flex 4000K 3W Part Number]])=3,FALSE,TRUE)</f>
        <v>1</v>
      </c>
      <c r="T808" t="b">
        <f>IF(COUNTBLANK(Master_Reference[[#This Row],[Lutron 3000K Eco Part Number]:[Lutron 4000K Eco Part Number]])=3,FALSE,TRUE)</f>
        <v>1</v>
      </c>
      <c r="U808" t="b">
        <f>IF(COUNTBLANK(Master_Reference[[#This Row],[Lutron 3000K 3W Part Number]:[Lutron 4000K 3W Part Number]])=3,FALSE,TRUE)</f>
        <v>1</v>
      </c>
      <c r="V808" s="12" t="s">
        <v>298</v>
      </c>
      <c r="W808" s="12" t="s">
        <v>299</v>
      </c>
      <c r="X808" s="12" t="s">
        <v>300</v>
      </c>
      <c r="Y808" t="s">
        <v>1733</v>
      </c>
      <c r="Z808" s="12" t="s">
        <v>301</v>
      </c>
      <c r="AA808" s="12" t="s">
        <v>302</v>
      </c>
      <c r="AB808" s="12" t="s">
        <v>303</v>
      </c>
      <c r="AC808" t="s">
        <v>1821</v>
      </c>
      <c r="AD808" t="str">
        <f>SUBSTITUTE(Master_Reference[[#This Row],[C-Flex 4000K Eco Part Number]],"40-","xx-")</f>
        <v>RP-T5HO-4FT-1L-8xx-E1-M-G2</v>
      </c>
      <c r="AE808" t="str">
        <f>SUBSTITUTE(Master_Reference[[#This Row],[C-Flex 4000K 3W Part Number]],"40-","xx-")</f>
        <v>RP-T5HO-4FT-1L-8xx-3W-M-G2</v>
      </c>
      <c r="AF808" s="1" t="str">
        <f>_xlfn.IFNA(VLOOKUP(Master_Reference[[#This Row],[C-Flex 3000K Eco Part Number]],Lutron_CFlex_Lookup[],MATCH("Lutron Kit PN",Lutron_CFlex_Lookup[#Headers],0),FALSE),"")</f>
        <v>ELD4T5H-1M30-q</v>
      </c>
      <c r="AG808" s="1" t="str">
        <f>_xlfn.IFNA(VLOOKUP(Master_Reference[[#This Row],[C-Flex 3500K Eco Part Number]],Lutron_CFlex_Lookup[],MATCH("Lutron Kit PN",Lutron_CFlex_Lookup[#Headers],0),FALSE),"")</f>
        <v>ELD4T5H-1M35-q</v>
      </c>
      <c r="AH808" s="1" t="str">
        <f>_xlfn.IFNA(VLOOKUP(Master_Reference[[#This Row],[C-Flex 4000K Eco Part Number]],Lutron_CFlex_Lookup[],MATCH("Lutron Kit PN",Lutron_CFlex_Lookup[#Headers],0),FALSE),"")</f>
        <v>ELD4T5H-1M40-q</v>
      </c>
      <c r="AI808" s="1" t="str">
        <f>_xlfn.IFNA(VLOOKUP(Master_Reference[[#This Row],[C-Flex 5000K Eco Part Number]],Lutron_CFlex_Lookup[],MATCH("Lutron Kit PN",Lutron_CFlex_Lookup[#Headers],0),FALSE),"")</f>
        <v>ELD4T5H-1M50-q</v>
      </c>
      <c r="AJ808" s="1" t="str">
        <f>_xlfn.IFNA(VLOOKUP(Master_Reference[[#This Row],[C-Flex 3000K 3W Part Number]],Lutron_CFlex_Lookup[],MATCH("Lutron Kit PN",Lutron_CFlex_Lookup[#Headers],0),FALSE),"")</f>
        <v>3LD4T5H-1M30-q</v>
      </c>
      <c r="AK808" s="1" t="str">
        <f>_xlfn.IFNA(VLOOKUP(Master_Reference[[#This Row],[C-Flex 3500K 3W Part Number]],Lutron_CFlex_Lookup[],MATCH("Lutron Kit PN",Lutron_CFlex_Lookup[#Headers],0),FALSE),"")</f>
        <v>3LD4T5H-1M35-q</v>
      </c>
      <c r="AL808" s="1" t="str">
        <f>_xlfn.IFNA(VLOOKUP(Master_Reference[[#This Row],[C-Flex 4000K 3W Part Number]],Lutron_CFlex_Lookup[],MATCH("Lutron Kit PN",Lutron_CFlex_Lookup[#Headers],0),FALSE),"")</f>
        <v>3LD4T5H-1M40-q</v>
      </c>
      <c r="AM808" s="1" t="str">
        <f>_xlfn.IFNA(VLOOKUP(Master_Reference[[#This Row],[C-Flex 5000K 3W Part Number]],Lutron_CFlex_Lookup[],MATCH("Lutron Kit PN",Lutron_CFlex_Lookup[#Headers],0),FALSE),"")</f>
        <v>3LD4T5H-1M50-q</v>
      </c>
      <c r="AN808" s="1" t="b">
        <f>NOT(ISNA(VLOOKUP(Master_Reference[[#This Row],[Model Number]],ObsoleteModels[],1,FALSE)))</f>
        <v>1</v>
      </c>
      <c r="AO808" s="1" t="str">
        <f>IF(LEFT(Master_Reference[[#This Row],[Model Number]],1)="U",LEFT(Master_Reference[[#This Row],[Model Number]],4),LEFT(Master_Reference[[#This Row],[Model Number]],3))</f>
        <v>H3D</v>
      </c>
    </row>
    <row r="809" spans="1:41" x14ac:dyDescent="0.25">
      <c r="A809" s="2" t="s">
        <v>1110</v>
      </c>
      <c r="B809" s="1" t="b">
        <v>1</v>
      </c>
      <c r="C809" s="1" t="b">
        <v>1</v>
      </c>
      <c r="G809" s="1" t="b">
        <f>IF(OR(LEFT(RIGHT(Master_Reference[[#This Row],[Model Number]],3),1)="C",LEFT(RIGHT(Master_Reference[[#This Row],[Model Number]],4),1)="C"),TRUE,"")</f>
        <v>1</v>
      </c>
      <c r="H809" s="1" t="str">
        <f>IF(LEFT(Master_Reference[[#This Row],[Model Number]],1)="U",TRUE,"")</f>
        <v/>
      </c>
      <c r="I809" s="1" t="b">
        <f>IF(Master_Reference[[#This Row],[Lamp Type]]="T4","",IF(Master_Reference[[#This Row],[Case Type]]="M","",TRUE))</f>
        <v>1</v>
      </c>
      <c r="J809" s="1" t="s">
        <v>297</v>
      </c>
      <c r="K809" s="1">
        <v>54</v>
      </c>
      <c r="L809" s="1" t="s">
        <v>118</v>
      </c>
      <c r="M809" s="1">
        <v>1</v>
      </c>
      <c r="N809" s="1" t="s">
        <v>149</v>
      </c>
      <c r="O809" s="1" t="s">
        <v>113</v>
      </c>
      <c r="R809" t="b">
        <f>IF(COUNTBLANK(Master_Reference[[#This Row],[C-Flex 3000K Eco Part Number]:[C-Flex 4000K Eco Part Number]])=3,FALSE,TRUE)</f>
        <v>1</v>
      </c>
      <c r="S809" t="b">
        <f>IF(COUNTBLANK(Master_Reference[[#This Row],[C-Flex 3000K 3W Part Number]:[C-Flex 4000K 3W Part Number]])=3,FALSE,TRUE)</f>
        <v>1</v>
      </c>
      <c r="T809" t="b">
        <f>IF(COUNTBLANK(Master_Reference[[#This Row],[Lutron 3000K Eco Part Number]:[Lutron 4000K Eco Part Number]])=3,FALSE,TRUE)</f>
        <v>1</v>
      </c>
      <c r="U809" t="b">
        <f>IF(COUNTBLANK(Master_Reference[[#This Row],[Lutron 3000K 3W Part Number]:[Lutron 4000K 3W Part Number]])=3,FALSE,TRUE)</f>
        <v>1</v>
      </c>
      <c r="V809" s="12" t="s">
        <v>298</v>
      </c>
      <c r="W809" s="12" t="s">
        <v>299</v>
      </c>
      <c r="X809" s="12" t="s">
        <v>300</v>
      </c>
      <c r="Y809" t="s">
        <v>1733</v>
      </c>
      <c r="Z809" s="12" t="s">
        <v>301</v>
      </c>
      <c r="AA809" s="12" t="s">
        <v>302</v>
      </c>
      <c r="AB809" s="12" t="s">
        <v>303</v>
      </c>
      <c r="AC809" t="s">
        <v>1821</v>
      </c>
      <c r="AD809" t="str">
        <f>SUBSTITUTE(Master_Reference[[#This Row],[C-Flex 4000K Eco Part Number]],"40-","xx-")</f>
        <v>RP-T5HO-4FT-1L-8xx-E1-M-G2</v>
      </c>
      <c r="AE809" t="str">
        <f>SUBSTITUTE(Master_Reference[[#This Row],[C-Flex 4000K 3W Part Number]],"40-","xx-")</f>
        <v>RP-T5HO-4FT-1L-8xx-3W-M-G2</v>
      </c>
      <c r="AF809" s="1" t="str">
        <f>_xlfn.IFNA(VLOOKUP(Master_Reference[[#This Row],[C-Flex 3000K Eco Part Number]],Lutron_CFlex_Lookup[],MATCH("Lutron Kit PN",Lutron_CFlex_Lookup[#Headers],0),FALSE),"")</f>
        <v>ELD4T5H-1M30-q</v>
      </c>
      <c r="AG809" s="1" t="str">
        <f>_xlfn.IFNA(VLOOKUP(Master_Reference[[#This Row],[C-Flex 3500K Eco Part Number]],Lutron_CFlex_Lookup[],MATCH("Lutron Kit PN",Lutron_CFlex_Lookup[#Headers],0),FALSE),"")</f>
        <v>ELD4T5H-1M35-q</v>
      </c>
      <c r="AH809" s="1" t="str">
        <f>_xlfn.IFNA(VLOOKUP(Master_Reference[[#This Row],[C-Flex 4000K Eco Part Number]],Lutron_CFlex_Lookup[],MATCH("Lutron Kit PN",Lutron_CFlex_Lookup[#Headers],0),FALSE),"")</f>
        <v>ELD4T5H-1M40-q</v>
      </c>
      <c r="AI809" s="1" t="str">
        <f>_xlfn.IFNA(VLOOKUP(Master_Reference[[#This Row],[C-Flex 5000K Eco Part Number]],Lutron_CFlex_Lookup[],MATCH("Lutron Kit PN",Lutron_CFlex_Lookup[#Headers],0),FALSE),"")</f>
        <v>ELD4T5H-1M50-q</v>
      </c>
      <c r="AJ809" s="1" t="str">
        <f>_xlfn.IFNA(VLOOKUP(Master_Reference[[#This Row],[C-Flex 3000K 3W Part Number]],Lutron_CFlex_Lookup[],MATCH("Lutron Kit PN",Lutron_CFlex_Lookup[#Headers],0),FALSE),"")</f>
        <v>3LD4T5H-1M30-q</v>
      </c>
      <c r="AK809" s="1" t="str">
        <f>_xlfn.IFNA(VLOOKUP(Master_Reference[[#This Row],[C-Flex 3500K 3W Part Number]],Lutron_CFlex_Lookup[],MATCH("Lutron Kit PN",Lutron_CFlex_Lookup[#Headers],0),FALSE),"")</f>
        <v>3LD4T5H-1M35-q</v>
      </c>
      <c r="AL809" s="1" t="str">
        <f>_xlfn.IFNA(VLOOKUP(Master_Reference[[#This Row],[C-Flex 4000K 3W Part Number]],Lutron_CFlex_Lookup[],MATCH("Lutron Kit PN",Lutron_CFlex_Lookup[#Headers],0),FALSE),"")</f>
        <v>3LD4T5H-1M40-q</v>
      </c>
      <c r="AM809" s="1" t="str">
        <f>_xlfn.IFNA(VLOOKUP(Master_Reference[[#This Row],[C-Flex 5000K 3W Part Number]],Lutron_CFlex_Lookup[],MATCH("Lutron Kit PN",Lutron_CFlex_Lookup[#Headers],0),FALSE),"")</f>
        <v>3LD4T5H-1M50-q</v>
      </c>
      <c r="AN809" s="1" t="b">
        <f>NOT(ISNA(VLOOKUP(Master_Reference[[#This Row],[Model Number]],ObsoleteModels[],1,FALSE)))</f>
        <v>1</v>
      </c>
      <c r="AO809" s="1" t="str">
        <f>IF(LEFT(Master_Reference[[#This Row],[Model Number]],1)="U",LEFT(Master_Reference[[#This Row],[Model Number]],4),LEFT(Master_Reference[[#This Row],[Model Number]],3))</f>
        <v>H3D</v>
      </c>
    </row>
    <row r="810" spans="1:41" x14ac:dyDescent="0.25">
      <c r="A810" s="2" t="s">
        <v>1111</v>
      </c>
      <c r="B810" s="1" t="b">
        <v>1</v>
      </c>
      <c r="C810" s="1" t="b">
        <v>1</v>
      </c>
      <c r="G810" s="1" t="b">
        <f>IF(OR(LEFT(RIGHT(Master_Reference[[#This Row],[Model Number]],3),1)="C",LEFT(RIGHT(Master_Reference[[#This Row],[Model Number]],4),1)="C"),TRUE,"")</f>
        <v>1</v>
      </c>
      <c r="H810" s="1" t="str">
        <f>IF(LEFT(Master_Reference[[#This Row],[Model Number]],1)="U",TRUE,"")</f>
        <v/>
      </c>
      <c r="I810" s="1" t="b">
        <f>IF(Master_Reference[[#This Row],[Lamp Type]]="T4","",IF(Master_Reference[[#This Row],[Case Type]]="M","",TRUE))</f>
        <v>1</v>
      </c>
      <c r="J810" s="1" t="s">
        <v>297</v>
      </c>
      <c r="K810" s="1">
        <v>54</v>
      </c>
      <c r="L810" s="1" t="s">
        <v>118</v>
      </c>
      <c r="M810" s="1">
        <v>1</v>
      </c>
      <c r="N810" s="1" t="s">
        <v>149</v>
      </c>
      <c r="O810" s="1" t="s">
        <v>113</v>
      </c>
      <c r="R810" t="b">
        <f>IF(COUNTBLANK(Master_Reference[[#This Row],[C-Flex 3000K Eco Part Number]:[C-Flex 4000K Eco Part Number]])=3,FALSE,TRUE)</f>
        <v>1</v>
      </c>
      <c r="S810" t="b">
        <f>IF(COUNTBLANK(Master_Reference[[#This Row],[C-Flex 3000K 3W Part Number]:[C-Flex 4000K 3W Part Number]])=3,FALSE,TRUE)</f>
        <v>1</v>
      </c>
      <c r="T810" t="b">
        <f>IF(COUNTBLANK(Master_Reference[[#This Row],[Lutron 3000K Eco Part Number]:[Lutron 4000K Eco Part Number]])=3,FALSE,TRUE)</f>
        <v>1</v>
      </c>
      <c r="U810" t="b">
        <f>IF(COUNTBLANK(Master_Reference[[#This Row],[Lutron 3000K 3W Part Number]:[Lutron 4000K 3W Part Number]])=3,FALSE,TRUE)</f>
        <v>1</v>
      </c>
      <c r="V810" s="12" t="s">
        <v>298</v>
      </c>
      <c r="W810" s="12" t="s">
        <v>299</v>
      </c>
      <c r="X810" s="12" t="s">
        <v>300</v>
      </c>
      <c r="Y810" t="s">
        <v>1733</v>
      </c>
      <c r="Z810" s="12" t="s">
        <v>301</v>
      </c>
      <c r="AA810" s="12" t="s">
        <v>302</v>
      </c>
      <c r="AB810" s="12" t="s">
        <v>303</v>
      </c>
      <c r="AC810" t="s">
        <v>1821</v>
      </c>
      <c r="AD810" t="str">
        <f>SUBSTITUTE(Master_Reference[[#This Row],[C-Flex 4000K Eco Part Number]],"40-","xx-")</f>
        <v>RP-T5HO-4FT-1L-8xx-E1-M-G2</v>
      </c>
      <c r="AE810" t="str">
        <f>SUBSTITUTE(Master_Reference[[#This Row],[C-Flex 4000K 3W Part Number]],"40-","xx-")</f>
        <v>RP-T5HO-4FT-1L-8xx-3W-M-G2</v>
      </c>
      <c r="AF810" s="1" t="str">
        <f>_xlfn.IFNA(VLOOKUP(Master_Reference[[#This Row],[C-Flex 3000K Eco Part Number]],Lutron_CFlex_Lookup[],MATCH("Lutron Kit PN",Lutron_CFlex_Lookup[#Headers],0),FALSE),"")</f>
        <v>ELD4T5H-1M30-q</v>
      </c>
      <c r="AG810" s="1" t="str">
        <f>_xlfn.IFNA(VLOOKUP(Master_Reference[[#This Row],[C-Flex 3500K Eco Part Number]],Lutron_CFlex_Lookup[],MATCH("Lutron Kit PN",Lutron_CFlex_Lookup[#Headers],0),FALSE),"")</f>
        <v>ELD4T5H-1M35-q</v>
      </c>
      <c r="AH810" s="1" t="str">
        <f>_xlfn.IFNA(VLOOKUP(Master_Reference[[#This Row],[C-Flex 4000K Eco Part Number]],Lutron_CFlex_Lookup[],MATCH("Lutron Kit PN",Lutron_CFlex_Lookup[#Headers],0),FALSE),"")</f>
        <v>ELD4T5H-1M40-q</v>
      </c>
      <c r="AI810" s="1" t="str">
        <f>_xlfn.IFNA(VLOOKUP(Master_Reference[[#This Row],[C-Flex 5000K Eco Part Number]],Lutron_CFlex_Lookup[],MATCH("Lutron Kit PN",Lutron_CFlex_Lookup[#Headers],0),FALSE),"")</f>
        <v>ELD4T5H-1M50-q</v>
      </c>
      <c r="AJ810" s="1" t="str">
        <f>_xlfn.IFNA(VLOOKUP(Master_Reference[[#This Row],[C-Flex 3000K 3W Part Number]],Lutron_CFlex_Lookup[],MATCH("Lutron Kit PN",Lutron_CFlex_Lookup[#Headers],0),FALSE),"")</f>
        <v>3LD4T5H-1M30-q</v>
      </c>
      <c r="AK810" s="1" t="str">
        <f>_xlfn.IFNA(VLOOKUP(Master_Reference[[#This Row],[C-Flex 3500K 3W Part Number]],Lutron_CFlex_Lookup[],MATCH("Lutron Kit PN",Lutron_CFlex_Lookup[#Headers],0),FALSE),"")</f>
        <v>3LD4T5H-1M35-q</v>
      </c>
      <c r="AL810" s="1" t="str">
        <f>_xlfn.IFNA(VLOOKUP(Master_Reference[[#This Row],[C-Flex 4000K 3W Part Number]],Lutron_CFlex_Lookup[],MATCH("Lutron Kit PN",Lutron_CFlex_Lookup[#Headers],0),FALSE),"")</f>
        <v>3LD4T5H-1M40-q</v>
      </c>
      <c r="AM810" s="1" t="str">
        <f>_xlfn.IFNA(VLOOKUP(Master_Reference[[#This Row],[C-Flex 5000K 3W Part Number]],Lutron_CFlex_Lookup[],MATCH("Lutron Kit PN",Lutron_CFlex_Lookup[#Headers],0),FALSE),"")</f>
        <v>3LD4T5H-1M50-q</v>
      </c>
      <c r="AN810" s="1" t="b">
        <f>NOT(ISNA(VLOOKUP(Master_Reference[[#This Row],[Model Number]],ObsoleteModels[],1,FALSE)))</f>
        <v>1</v>
      </c>
      <c r="AO810" s="1" t="str">
        <f>IF(LEFT(Master_Reference[[#This Row],[Model Number]],1)="U",LEFT(Master_Reference[[#This Row],[Model Number]],4),LEFT(Master_Reference[[#This Row],[Model Number]],3))</f>
        <v>H3D</v>
      </c>
    </row>
    <row r="811" spans="1:41" x14ac:dyDescent="0.25">
      <c r="A811" s="2" t="s">
        <v>1112</v>
      </c>
      <c r="B811" s="1" t="b">
        <v>1</v>
      </c>
      <c r="C811" s="1" t="b">
        <v>1</v>
      </c>
      <c r="G811" s="1" t="str">
        <f>IF(OR(LEFT(RIGHT(Master_Reference[[#This Row],[Model Number]],3),1)="C",LEFT(RIGHT(Master_Reference[[#This Row],[Model Number]],4),1)="C"),TRUE,"")</f>
        <v/>
      </c>
      <c r="H811" s="1" t="str">
        <f>IF(LEFT(Master_Reference[[#This Row],[Model Number]],1)="U",TRUE,"")</f>
        <v/>
      </c>
      <c r="I811" s="1" t="b">
        <f>IF(Master_Reference[[#This Row],[Lamp Type]]="T4","",IF(Master_Reference[[#This Row],[Case Type]]="M","",TRUE))</f>
        <v>1</v>
      </c>
      <c r="J811" s="1" t="s">
        <v>297</v>
      </c>
      <c r="K811" s="1">
        <v>54</v>
      </c>
      <c r="L811" s="1" t="s">
        <v>118</v>
      </c>
      <c r="M811" s="1">
        <v>2</v>
      </c>
      <c r="N811" s="1" t="s">
        <v>149</v>
      </c>
      <c r="O811" s="1" t="s">
        <v>113</v>
      </c>
      <c r="R811" t="b">
        <f>IF(COUNTBLANK(Master_Reference[[#This Row],[C-Flex 3000K Eco Part Number]:[C-Flex 4000K Eco Part Number]])=3,FALSE,TRUE)</f>
        <v>1</v>
      </c>
      <c r="S811" t="b">
        <f>IF(COUNTBLANK(Master_Reference[[#This Row],[C-Flex 3000K 3W Part Number]:[C-Flex 4000K 3W Part Number]])=3,FALSE,TRUE)</f>
        <v>1</v>
      </c>
      <c r="T811" t="b">
        <f>IF(COUNTBLANK(Master_Reference[[#This Row],[Lutron 3000K Eco Part Number]:[Lutron 4000K Eco Part Number]])=3,FALSE,TRUE)</f>
        <v>1</v>
      </c>
      <c r="U811" t="b">
        <f>IF(COUNTBLANK(Master_Reference[[#This Row],[Lutron 3000K 3W Part Number]:[Lutron 4000K 3W Part Number]])=3,FALSE,TRUE)</f>
        <v>1</v>
      </c>
      <c r="V811" s="12" t="s">
        <v>305</v>
      </c>
      <c r="W811" s="12" t="s">
        <v>306</v>
      </c>
      <c r="X811" s="12" t="s">
        <v>307</v>
      </c>
      <c r="Y811" t="s">
        <v>1734</v>
      </c>
      <c r="Z811" s="12" t="s">
        <v>308</v>
      </c>
      <c r="AA811" s="12" t="s">
        <v>309</v>
      </c>
      <c r="AB811" s="12" t="s">
        <v>310</v>
      </c>
      <c r="AC811" t="s">
        <v>1822</v>
      </c>
      <c r="AD811" t="str">
        <f>SUBSTITUTE(Master_Reference[[#This Row],[C-Flex 4000K Eco Part Number]],"40-","xx-")</f>
        <v>RP-T5HO-4FT-2L-8xx-E1-M-G2</v>
      </c>
      <c r="AE811" t="str">
        <f>SUBSTITUTE(Master_Reference[[#This Row],[C-Flex 4000K 3W Part Number]],"40-","xx-")</f>
        <v>RP-T5HO-4FT-2L-8xx-3W-M-G2</v>
      </c>
      <c r="AF811" s="1" t="str">
        <f>_xlfn.IFNA(VLOOKUP(Master_Reference[[#This Row],[C-Flex 3000K Eco Part Number]],Lutron_CFlex_Lookup[],MATCH("Lutron Kit PN",Lutron_CFlex_Lookup[#Headers],0),FALSE),"")</f>
        <v>ELD4T5H-2M30-q</v>
      </c>
      <c r="AG811" s="1" t="str">
        <f>_xlfn.IFNA(VLOOKUP(Master_Reference[[#This Row],[C-Flex 3500K Eco Part Number]],Lutron_CFlex_Lookup[],MATCH("Lutron Kit PN",Lutron_CFlex_Lookup[#Headers],0),FALSE),"")</f>
        <v>ELD4T5H-2M35-q</v>
      </c>
      <c r="AH811" s="1" t="str">
        <f>_xlfn.IFNA(VLOOKUP(Master_Reference[[#This Row],[C-Flex 4000K Eco Part Number]],Lutron_CFlex_Lookup[],MATCH("Lutron Kit PN",Lutron_CFlex_Lookup[#Headers],0),FALSE),"")</f>
        <v>ELD4T5H-2M40-q</v>
      </c>
      <c r="AI811" s="1" t="str">
        <f>_xlfn.IFNA(VLOOKUP(Master_Reference[[#This Row],[C-Flex 5000K Eco Part Number]],Lutron_CFlex_Lookup[],MATCH("Lutron Kit PN",Lutron_CFlex_Lookup[#Headers],0),FALSE),"")</f>
        <v>ELD4T5H-2M50-q</v>
      </c>
      <c r="AJ811" s="1" t="str">
        <f>_xlfn.IFNA(VLOOKUP(Master_Reference[[#This Row],[C-Flex 3000K 3W Part Number]],Lutron_CFlex_Lookup[],MATCH("Lutron Kit PN",Lutron_CFlex_Lookup[#Headers],0),FALSE),"")</f>
        <v>3LD4T5H-2M30-q</v>
      </c>
      <c r="AK811" s="1" t="str">
        <f>_xlfn.IFNA(VLOOKUP(Master_Reference[[#This Row],[C-Flex 3500K 3W Part Number]],Lutron_CFlex_Lookup[],MATCH("Lutron Kit PN",Lutron_CFlex_Lookup[#Headers],0),FALSE),"")</f>
        <v>3LD4T5H-2M35-q</v>
      </c>
      <c r="AL811" s="1" t="str">
        <f>_xlfn.IFNA(VLOOKUP(Master_Reference[[#This Row],[C-Flex 4000K 3W Part Number]],Lutron_CFlex_Lookup[],MATCH("Lutron Kit PN",Lutron_CFlex_Lookup[#Headers],0),FALSE),"")</f>
        <v>3LD4T5H-2M40-q</v>
      </c>
      <c r="AM811" s="1" t="str">
        <f>_xlfn.IFNA(VLOOKUP(Master_Reference[[#This Row],[C-Flex 5000K 3W Part Number]],Lutron_CFlex_Lookup[],MATCH("Lutron Kit PN",Lutron_CFlex_Lookup[#Headers],0),FALSE),"")</f>
        <v>3LD4T5H-2M50-q</v>
      </c>
      <c r="AN811" s="1" t="b">
        <f>NOT(ISNA(VLOOKUP(Master_Reference[[#This Row],[Model Number]],ObsoleteModels[],1,FALSE)))</f>
        <v>1</v>
      </c>
      <c r="AO811" s="1" t="str">
        <f>IF(LEFT(Master_Reference[[#This Row],[Model Number]],1)="U",LEFT(Master_Reference[[#This Row],[Model Number]],4),LEFT(Master_Reference[[#This Row],[Model Number]],3))</f>
        <v>H3D</v>
      </c>
    </row>
    <row r="812" spans="1:41" x14ac:dyDescent="0.25">
      <c r="A812" s="2" t="s">
        <v>1113</v>
      </c>
      <c r="B812" s="1" t="b">
        <v>1</v>
      </c>
      <c r="C812" s="1" t="b">
        <v>1</v>
      </c>
      <c r="G812" s="1" t="str">
        <f>IF(OR(LEFT(RIGHT(Master_Reference[[#This Row],[Model Number]],3),1)="C",LEFT(RIGHT(Master_Reference[[#This Row],[Model Number]],4),1)="C"),TRUE,"")</f>
        <v/>
      </c>
      <c r="H812" s="1" t="str">
        <f>IF(LEFT(Master_Reference[[#This Row],[Model Number]],1)="U",TRUE,"")</f>
        <v/>
      </c>
      <c r="I812" s="1" t="b">
        <f>IF(Master_Reference[[#This Row],[Lamp Type]]="T4","",IF(Master_Reference[[#This Row],[Case Type]]="M","",TRUE))</f>
        <v>1</v>
      </c>
      <c r="J812" s="1" t="s">
        <v>297</v>
      </c>
      <c r="K812" s="1">
        <v>54</v>
      </c>
      <c r="L812" s="1" t="s">
        <v>118</v>
      </c>
      <c r="M812" s="1">
        <v>2</v>
      </c>
      <c r="N812" s="1" t="s">
        <v>149</v>
      </c>
      <c r="O812" s="1" t="s">
        <v>113</v>
      </c>
      <c r="Q812" s="1" t="s">
        <v>91</v>
      </c>
      <c r="R812" t="b">
        <f>IF(COUNTBLANK(Master_Reference[[#This Row],[C-Flex 3000K Eco Part Number]:[C-Flex 4000K Eco Part Number]])=3,FALSE,TRUE)</f>
        <v>0</v>
      </c>
      <c r="S812" t="b">
        <f>IF(COUNTBLANK(Master_Reference[[#This Row],[C-Flex 3000K 3W Part Number]:[C-Flex 4000K 3W Part Number]])=3,FALSE,TRUE)</f>
        <v>0</v>
      </c>
      <c r="T812" t="b">
        <f>IF(COUNTBLANK(Master_Reference[[#This Row],[Lutron 3000K Eco Part Number]:[Lutron 4000K Eco Part Number]])=3,FALSE,TRUE)</f>
        <v>0</v>
      </c>
      <c r="U812" t="b">
        <f>IF(COUNTBLANK(Master_Reference[[#This Row],[Lutron 3000K 3W Part Number]:[Lutron 4000K 3W Part Number]])=3,FALSE,TRUE)</f>
        <v>0</v>
      </c>
      <c r="V812" s="12"/>
      <c r="W812" s="12"/>
      <c r="X812" s="12"/>
      <c r="Y812" t="s">
        <v>2125</v>
      </c>
      <c r="Z812" s="12"/>
      <c r="AA812" s="12"/>
      <c r="AB812" s="12"/>
      <c r="AC812" t="s">
        <v>2125</v>
      </c>
      <c r="AD812" t="str">
        <f>SUBSTITUTE(Master_Reference[[#This Row],[C-Flex 4000K Eco Part Number]],"40-","xx-")</f>
        <v/>
      </c>
      <c r="AE812" t="str">
        <f>SUBSTITUTE(Master_Reference[[#This Row],[C-Flex 4000K 3W Part Number]],"40-","xx-")</f>
        <v/>
      </c>
      <c r="AF812" s="1" t="str">
        <f>_xlfn.IFNA(VLOOKUP(Master_Reference[[#This Row],[C-Flex 3000K Eco Part Number]],Lutron_CFlex_Lookup[],MATCH("Lutron Kit PN",Lutron_CFlex_Lookup[#Headers],0),FALSE),"")</f>
        <v/>
      </c>
      <c r="AG812" s="1" t="str">
        <f>_xlfn.IFNA(VLOOKUP(Master_Reference[[#This Row],[C-Flex 3500K Eco Part Number]],Lutron_CFlex_Lookup[],MATCH("Lutron Kit PN",Lutron_CFlex_Lookup[#Headers],0),FALSE),"")</f>
        <v/>
      </c>
      <c r="AH812" s="1" t="str">
        <f>_xlfn.IFNA(VLOOKUP(Master_Reference[[#This Row],[C-Flex 4000K Eco Part Number]],Lutron_CFlex_Lookup[],MATCH("Lutron Kit PN",Lutron_CFlex_Lookup[#Headers],0),FALSE),"")</f>
        <v/>
      </c>
      <c r="AI812" s="1" t="str">
        <f>_xlfn.IFNA(VLOOKUP(Master_Reference[[#This Row],[C-Flex 5000K Eco Part Number]],Lutron_CFlex_Lookup[],MATCH("Lutron Kit PN",Lutron_CFlex_Lookup[#Headers],0),FALSE),"")</f>
        <v/>
      </c>
      <c r="AJ812" s="1" t="str">
        <f>_xlfn.IFNA(VLOOKUP(Master_Reference[[#This Row],[C-Flex 3000K 3W Part Number]],Lutron_CFlex_Lookup[],MATCH("Lutron Kit PN",Lutron_CFlex_Lookup[#Headers],0),FALSE),"")</f>
        <v/>
      </c>
      <c r="AK812" s="1" t="str">
        <f>_xlfn.IFNA(VLOOKUP(Master_Reference[[#This Row],[C-Flex 3500K 3W Part Number]],Lutron_CFlex_Lookup[],MATCH("Lutron Kit PN",Lutron_CFlex_Lookup[#Headers],0),FALSE),"")</f>
        <v/>
      </c>
      <c r="AL812" s="1" t="str">
        <f>_xlfn.IFNA(VLOOKUP(Master_Reference[[#This Row],[C-Flex 4000K 3W Part Number]],Lutron_CFlex_Lookup[],MATCH("Lutron Kit PN",Lutron_CFlex_Lookup[#Headers],0),FALSE),"")</f>
        <v/>
      </c>
      <c r="AM812" s="1" t="str">
        <f>_xlfn.IFNA(VLOOKUP(Master_Reference[[#This Row],[C-Flex 5000K 3W Part Number]],Lutron_CFlex_Lookup[],MATCH("Lutron Kit PN",Lutron_CFlex_Lookup[#Headers],0),FALSE),"")</f>
        <v/>
      </c>
      <c r="AN812" s="1" t="b">
        <f>NOT(ISNA(VLOOKUP(Master_Reference[[#This Row],[Model Number]],ObsoleteModels[],1,FALSE)))</f>
        <v>1</v>
      </c>
      <c r="AO812" s="1" t="str">
        <f>IF(LEFT(Master_Reference[[#This Row],[Model Number]],1)="U",LEFT(Master_Reference[[#This Row],[Model Number]],4),LEFT(Master_Reference[[#This Row],[Model Number]],3))</f>
        <v>H3D</v>
      </c>
    </row>
    <row r="813" spans="1:41" x14ac:dyDescent="0.25">
      <c r="A813" s="2" t="s">
        <v>1114</v>
      </c>
      <c r="B813" s="1" t="b">
        <v>1</v>
      </c>
      <c r="C813" s="1" t="b">
        <v>1</v>
      </c>
      <c r="G813" s="1" t="b">
        <f>IF(OR(LEFT(RIGHT(Master_Reference[[#This Row],[Model Number]],3),1)="C",LEFT(RIGHT(Master_Reference[[#This Row],[Model Number]],4),1)="C"),TRUE,"")</f>
        <v>1</v>
      </c>
      <c r="H813" s="1" t="str">
        <f>IF(LEFT(Master_Reference[[#This Row],[Model Number]],1)="U",TRUE,"")</f>
        <v/>
      </c>
      <c r="I813" s="1" t="b">
        <f>IF(Master_Reference[[#This Row],[Lamp Type]]="T4","",IF(Master_Reference[[#This Row],[Case Type]]="M","",TRUE))</f>
        <v>1</v>
      </c>
      <c r="J813" s="1" t="s">
        <v>297</v>
      </c>
      <c r="K813" s="1">
        <v>54</v>
      </c>
      <c r="L813" s="1" t="s">
        <v>118</v>
      </c>
      <c r="M813" s="1">
        <v>2</v>
      </c>
      <c r="N813" s="1" t="s">
        <v>149</v>
      </c>
      <c r="O813" s="1" t="s">
        <v>113</v>
      </c>
      <c r="R813" t="b">
        <f>IF(COUNTBLANK(Master_Reference[[#This Row],[C-Flex 3000K Eco Part Number]:[C-Flex 4000K Eco Part Number]])=3,FALSE,TRUE)</f>
        <v>1</v>
      </c>
      <c r="S813" t="b">
        <f>IF(COUNTBLANK(Master_Reference[[#This Row],[C-Flex 3000K 3W Part Number]:[C-Flex 4000K 3W Part Number]])=3,FALSE,TRUE)</f>
        <v>1</v>
      </c>
      <c r="T813" t="b">
        <f>IF(COUNTBLANK(Master_Reference[[#This Row],[Lutron 3000K Eco Part Number]:[Lutron 4000K Eco Part Number]])=3,FALSE,TRUE)</f>
        <v>1</v>
      </c>
      <c r="U813" t="b">
        <f>IF(COUNTBLANK(Master_Reference[[#This Row],[Lutron 3000K 3W Part Number]:[Lutron 4000K 3W Part Number]])=3,FALSE,TRUE)</f>
        <v>1</v>
      </c>
      <c r="V813" s="12" t="s">
        <v>305</v>
      </c>
      <c r="W813" s="12" t="s">
        <v>306</v>
      </c>
      <c r="X813" s="12" t="s">
        <v>307</v>
      </c>
      <c r="Y813" t="s">
        <v>1734</v>
      </c>
      <c r="Z813" s="12" t="s">
        <v>308</v>
      </c>
      <c r="AA813" s="12" t="s">
        <v>309</v>
      </c>
      <c r="AB813" s="12" t="s">
        <v>310</v>
      </c>
      <c r="AC813" t="s">
        <v>1822</v>
      </c>
      <c r="AD813" t="str">
        <f>SUBSTITUTE(Master_Reference[[#This Row],[C-Flex 4000K Eco Part Number]],"40-","xx-")</f>
        <v>RP-T5HO-4FT-2L-8xx-E1-M-G2</v>
      </c>
      <c r="AE813" t="str">
        <f>SUBSTITUTE(Master_Reference[[#This Row],[C-Flex 4000K 3W Part Number]],"40-","xx-")</f>
        <v>RP-T5HO-4FT-2L-8xx-3W-M-G2</v>
      </c>
      <c r="AF813" s="1" t="str">
        <f>_xlfn.IFNA(VLOOKUP(Master_Reference[[#This Row],[C-Flex 3000K Eco Part Number]],Lutron_CFlex_Lookup[],MATCH("Lutron Kit PN",Lutron_CFlex_Lookup[#Headers],0),FALSE),"")</f>
        <v>ELD4T5H-2M30-q</v>
      </c>
      <c r="AG813" s="1" t="str">
        <f>_xlfn.IFNA(VLOOKUP(Master_Reference[[#This Row],[C-Flex 3500K Eco Part Number]],Lutron_CFlex_Lookup[],MATCH("Lutron Kit PN",Lutron_CFlex_Lookup[#Headers],0),FALSE),"")</f>
        <v>ELD4T5H-2M35-q</v>
      </c>
      <c r="AH813" s="1" t="str">
        <f>_xlfn.IFNA(VLOOKUP(Master_Reference[[#This Row],[C-Flex 4000K Eco Part Number]],Lutron_CFlex_Lookup[],MATCH("Lutron Kit PN",Lutron_CFlex_Lookup[#Headers],0),FALSE),"")</f>
        <v>ELD4T5H-2M40-q</v>
      </c>
      <c r="AI813" s="1" t="str">
        <f>_xlfn.IFNA(VLOOKUP(Master_Reference[[#This Row],[C-Flex 5000K Eco Part Number]],Lutron_CFlex_Lookup[],MATCH("Lutron Kit PN",Lutron_CFlex_Lookup[#Headers],0),FALSE),"")</f>
        <v>ELD4T5H-2M50-q</v>
      </c>
      <c r="AJ813" s="1" t="str">
        <f>_xlfn.IFNA(VLOOKUP(Master_Reference[[#This Row],[C-Flex 3000K 3W Part Number]],Lutron_CFlex_Lookup[],MATCH("Lutron Kit PN",Lutron_CFlex_Lookup[#Headers],0),FALSE),"")</f>
        <v>3LD4T5H-2M30-q</v>
      </c>
      <c r="AK813" s="1" t="str">
        <f>_xlfn.IFNA(VLOOKUP(Master_Reference[[#This Row],[C-Flex 3500K 3W Part Number]],Lutron_CFlex_Lookup[],MATCH("Lutron Kit PN",Lutron_CFlex_Lookup[#Headers],0),FALSE),"")</f>
        <v>3LD4T5H-2M35-q</v>
      </c>
      <c r="AL813" s="1" t="str">
        <f>_xlfn.IFNA(VLOOKUP(Master_Reference[[#This Row],[C-Flex 4000K 3W Part Number]],Lutron_CFlex_Lookup[],MATCH("Lutron Kit PN",Lutron_CFlex_Lookup[#Headers],0),FALSE),"")</f>
        <v>3LD4T5H-2M40-q</v>
      </c>
      <c r="AM813" s="1" t="str">
        <f>_xlfn.IFNA(VLOOKUP(Master_Reference[[#This Row],[C-Flex 5000K 3W Part Number]],Lutron_CFlex_Lookup[],MATCH("Lutron Kit PN",Lutron_CFlex_Lookup[#Headers],0),FALSE),"")</f>
        <v>3LD4T5H-2M50-q</v>
      </c>
      <c r="AN813" s="1" t="b">
        <f>NOT(ISNA(VLOOKUP(Master_Reference[[#This Row],[Model Number]],ObsoleteModels[],1,FALSE)))</f>
        <v>1</v>
      </c>
      <c r="AO813" s="1" t="str">
        <f>IF(LEFT(Master_Reference[[#This Row],[Model Number]],1)="U",LEFT(Master_Reference[[#This Row],[Model Number]],4),LEFT(Master_Reference[[#This Row],[Model Number]],3))</f>
        <v>H3D</v>
      </c>
    </row>
    <row r="814" spans="1:41" x14ac:dyDescent="0.25">
      <c r="A814" s="2" t="s">
        <v>1115</v>
      </c>
      <c r="B814" s="1" t="b">
        <v>1</v>
      </c>
      <c r="C814" s="1" t="b">
        <v>1</v>
      </c>
      <c r="G814" s="1" t="b">
        <f>IF(OR(LEFT(RIGHT(Master_Reference[[#This Row],[Model Number]],3),1)="C",LEFT(RIGHT(Master_Reference[[#This Row],[Model Number]],4),1)="C"),TRUE,"")</f>
        <v>1</v>
      </c>
      <c r="H814" s="1" t="str">
        <f>IF(LEFT(Master_Reference[[#This Row],[Model Number]],1)="U",TRUE,"")</f>
        <v/>
      </c>
      <c r="I814" s="1" t="b">
        <f>IF(Master_Reference[[#This Row],[Lamp Type]]="T4","",IF(Master_Reference[[#This Row],[Case Type]]="M","",TRUE))</f>
        <v>1</v>
      </c>
      <c r="J814" s="1" t="s">
        <v>297</v>
      </c>
      <c r="K814" s="1">
        <v>54</v>
      </c>
      <c r="L814" s="1" t="s">
        <v>118</v>
      </c>
      <c r="M814" s="1">
        <v>2</v>
      </c>
      <c r="N814" s="1" t="s">
        <v>149</v>
      </c>
      <c r="O814" s="1" t="s">
        <v>113</v>
      </c>
      <c r="R814" t="b">
        <f>IF(COUNTBLANK(Master_Reference[[#This Row],[C-Flex 3000K Eco Part Number]:[C-Flex 4000K Eco Part Number]])=3,FALSE,TRUE)</f>
        <v>1</v>
      </c>
      <c r="S814" t="b">
        <f>IF(COUNTBLANK(Master_Reference[[#This Row],[C-Flex 3000K 3W Part Number]:[C-Flex 4000K 3W Part Number]])=3,FALSE,TRUE)</f>
        <v>1</v>
      </c>
      <c r="T814" t="b">
        <f>IF(COUNTBLANK(Master_Reference[[#This Row],[Lutron 3000K Eco Part Number]:[Lutron 4000K Eco Part Number]])=3,FALSE,TRUE)</f>
        <v>1</v>
      </c>
      <c r="U814" t="b">
        <f>IF(COUNTBLANK(Master_Reference[[#This Row],[Lutron 3000K 3W Part Number]:[Lutron 4000K 3W Part Number]])=3,FALSE,TRUE)</f>
        <v>1</v>
      </c>
      <c r="V814" s="12" t="s">
        <v>305</v>
      </c>
      <c r="W814" s="12" t="s">
        <v>306</v>
      </c>
      <c r="X814" s="12" t="s">
        <v>307</v>
      </c>
      <c r="Y814" t="s">
        <v>1734</v>
      </c>
      <c r="Z814" s="12" t="s">
        <v>308</v>
      </c>
      <c r="AA814" s="12" t="s">
        <v>309</v>
      </c>
      <c r="AB814" s="12" t="s">
        <v>310</v>
      </c>
      <c r="AC814" t="s">
        <v>1822</v>
      </c>
      <c r="AD814" t="str">
        <f>SUBSTITUTE(Master_Reference[[#This Row],[C-Flex 4000K Eco Part Number]],"40-","xx-")</f>
        <v>RP-T5HO-4FT-2L-8xx-E1-M-G2</v>
      </c>
      <c r="AE814" t="str">
        <f>SUBSTITUTE(Master_Reference[[#This Row],[C-Flex 4000K 3W Part Number]],"40-","xx-")</f>
        <v>RP-T5HO-4FT-2L-8xx-3W-M-G2</v>
      </c>
      <c r="AF814" s="1" t="str">
        <f>_xlfn.IFNA(VLOOKUP(Master_Reference[[#This Row],[C-Flex 3000K Eco Part Number]],Lutron_CFlex_Lookup[],MATCH("Lutron Kit PN",Lutron_CFlex_Lookup[#Headers],0),FALSE),"")</f>
        <v>ELD4T5H-2M30-q</v>
      </c>
      <c r="AG814" s="1" t="str">
        <f>_xlfn.IFNA(VLOOKUP(Master_Reference[[#This Row],[C-Flex 3500K Eco Part Number]],Lutron_CFlex_Lookup[],MATCH("Lutron Kit PN",Lutron_CFlex_Lookup[#Headers],0),FALSE),"")</f>
        <v>ELD4T5H-2M35-q</v>
      </c>
      <c r="AH814" s="1" t="str">
        <f>_xlfn.IFNA(VLOOKUP(Master_Reference[[#This Row],[C-Flex 4000K Eco Part Number]],Lutron_CFlex_Lookup[],MATCH("Lutron Kit PN",Lutron_CFlex_Lookup[#Headers],0),FALSE),"")</f>
        <v>ELD4T5H-2M40-q</v>
      </c>
      <c r="AI814" s="1" t="str">
        <f>_xlfn.IFNA(VLOOKUP(Master_Reference[[#This Row],[C-Flex 5000K Eco Part Number]],Lutron_CFlex_Lookup[],MATCH("Lutron Kit PN",Lutron_CFlex_Lookup[#Headers],0),FALSE),"")</f>
        <v>ELD4T5H-2M50-q</v>
      </c>
      <c r="AJ814" s="1" t="str">
        <f>_xlfn.IFNA(VLOOKUP(Master_Reference[[#This Row],[C-Flex 3000K 3W Part Number]],Lutron_CFlex_Lookup[],MATCH("Lutron Kit PN",Lutron_CFlex_Lookup[#Headers],0),FALSE),"")</f>
        <v>3LD4T5H-2M30-q</v>
      </c>
      <c r="AK814" s="1" t="str">
        <f>_xlfn.IFNA(VLOOKUP(Master_Reference[[#This Row],[C-Flex 3500K 3W Part Number]],Lutron_CFlex_Lookup[],MATCH("Lutron Kit PN",Lutron_CFlex_Lookup[#Headers],0),FALSE),"")</f>
        <v>3LD4T5H-2M35-q</v>
      </c>
      <c r="AL814" s="1" t="str">
        <f>_xlfn.IFNA(VLOOKUP(Master_Reference[[#This Row],[C-Flex 4000K 3W Part Number]],Lutron_CFlex_Lookup[],MATCH("Lutron Kit PN",Lutron_CFlex_Lookup[#Headers],0),FALSE),"")</f>
        <v>3LD4T5H-2M40-q</v>
      </c>
      <c r="AM814" s="1" t="str">
        <f>_xlfn.IFNA(VLOOKUP(Master_Reference[[#This Row],[C-Flex 5000K 3W Part Number]],Lutron_CFlex_Lookup[],MATCH("Lutron Kit PN",Lutron_CFlex_Lookup[#Headers],0),FALSE),"")</f>
        <v>3LD4T5H-2M50-q</v>
      </c>
      <c r="AN814" s="1" t="b">
        <f>NOT(ISNA(VLOOKUP(Master_Reference[[#This Row],[Model Number]],ObsoleteModels[],1,FALSE)))</f>
        <v>1</v>
      </c>
      <c r="AO814" s="1" t="str">
        <f>IF(LEFT(Master_Reference[[#This Row],[Model Number]],1)="U",LEFT(Master_Reference[[#This Row],[Model Number]],4),LEFT(Master_Reference[[#This Row],[Model Number]],3))</f>
        <v>H3D</v>
      </c>
    </row>
    <row r="815" spans="1:41" x14ac:dyDescent="0.25">
      <c r="A815" s="2" t="s">
        <v>1116</v>
      </c>
      <c r="B815" s="1" t="b">
        <v>1</v>
      </c>
      <c r="C815" s="1" t="b">
        <v>1</v>
      </c>
      <c r="G815" s="1" t="b">
        <f>IF(OR(LEFT(RIGHT(Master_Reference[[#This Row],[Model Number]],3),1)="C",LEFT(RIGHT(Master_Reference[[#This Row],[Model Number]],4),1)="C"),TRUE,"")</f>
        <v>1</v>
      </c>
      <c r="H815" s="1" t="str">
        <f>IF(LEFT(Master_Reference[[#This Row],[Model Number]],1)="U",TRUE,"")</f>
        <v/>
      </c>
      <c r="I815" s="1" t="b">
        <f>IF(Master_Reference[[#This Row],[Lamp Type]]="T4","",IF(Master_Reference[[#This Row],[Case Type]]="M","",TRUE))</f>
        <v>1</v>
      </c>
      <c r="J815" s="1" t="s">
        <v>297</v>
      </c>
      <c r="K815" s="1">
        <v>54</v>
      </c>
      <c r="L815" s="1" t="s">
        <v>118</v>
      </c>
      <c r="M815" s="1">
        <v>2</v>
      </c>
      <c r="N815" s="1" t="s">
        <v>149</v>
      </c>
      <c r="O815" s="1" t="s">
        <v>113</v>
      </c>
      <c r="R815" t="b">
        <f>IF(COUNTBLANK(Master_Reference[[#This Row],[C-Flex 3000K Eco Part Number]:[C-Flex 4000K Eco Part Number]])=3,FALSE,TRUE)</f>
        <v>1</v>
      </c>
      <c r="S815" t="b">
        <f>IF(COUNTBLANK(Master_Reference[[#This Row],[C-Flex 3000K 3W Part Number]:[C-Flex 4000K 3W Part Number]])=3,FALSE,TRUE)</f>
        <v>1</v>
      </c>
      <c r="T815" t="b">
        <f>IF(COUNTBLANK(Master_Reference[[#This Row],[Lutron 3000K Eco Part Number]:[Lutron 4000K Eco Part Number]])=3,FALSE,TRUE)</f>
        <v>1</v>
      </c>
      <c r="U815" t="b">
        <f>IF(COUNTBLANK(Master_Reference[[#This Row],[Lutron 3000K 3W Part Number]:[Lutron 4000K 3W Part Number]])=3,FALSE,TRUE)</f>
        <v>1</v>
      </c>
      <c r="V815" s="12" t="s">
        <v>305</v>
      </c>
      <c r="W815" s="12" t="s">
        <v>306</v>
      </c>
      <c r="X815" s="12" t="s">
        <v>307</v>
      </c>
      <c r="Y815" t="s">
        <v>1734</v>
      </c>
      <c r="Z815" s="12" t="s">
        <v>308</v>
      </c>
      <c r="AA815" s="12" t="s">
        <v>309</v>
      </c>
      <c r="AB815" s="12" t="s">
        <v>310</v>
      </c>
      <c r="AC815" t="s">
        <v>1822</v>
      </c>
      <c r="AD815" t="str">
        <f>SUBSTITUTE(Master_Reference[[#This Row],[C-Flex 4000K Eco Part Number]],"40-","xx-")</f>
        <v>RP-T5HO-4FT-2L-8xx-E1-M-G2</v>
      </c>
      <c r="AE815" t="str">
        <f>SUBSTITUTE(Master_Reference[[#This Row],[C-Flex 4000K 3W Part Number]],"40-","xx-")</f>
        <v>RP-T5HO-4FT-2L-8xx-3W-M-G2</v>
      </c>
      <c r="AF815" s="1" t="str">
        <f>_xlfn.IFNA(VLOOKUP(Master_Reference[[#This Row],[C-Flex 3000K Eco Part Number]],Lutron_CFlex_Lookup[],MATCH("Lutron Kit PN",Lutron_CFlex_Lookup[#Headers],0),FALSE),"")</f>
        <v>ELD4T5H-2M30-q</v>
      </c>
      <c r="AG815" s="1" t="str">
        <f>_xlfn.IFNA(VLOOKUP(Master_Reference[[#This Row],[C-Flex 3500K Eco Part Number]],Lutron_CFlex_Lookup[],MATCH("Lutron Kit PN",Lutron_CFlex_Lookup[#Headers],0),FALSE),"")</f>
        <v>ELD4T5H-2M35-q</v>
      </c>
      <c r="AH815" s="1" t="str">
        <f>_xlfn.IFNA(VLOOKUP(Master_Reference[[#This Row],[C-Flex 4000K Eco Part Number]],Lutron_CFlex_Lookup[],MATCH("Lutron Kit PN",Lutron_CFlex_Lookup[#Headers],0),FALSE),"")</f>
        <v>ELD4T5H-2M40-q</v>
      </c>
      <c r="AI815" s="1" t="str">
        <f>_xlfn.IFNA(VLOOKUP(Master_Reference[[#This Row],[C-Flex 5000K Eco Part Number]],Lutron_CFlex_Lookup[],MATCH("Lutron Kit PN",Lutron_CFlex_Lookup[#Headers],0),FALSE),"")</f>
        <v>ELD4T5H-2M50-q</v>
      </c>
      <c r="AJ815" s="1" t="str">
        <f>_xlfn.IFNA(VLOOKUP(Master_Reference[[#This Row],[C-Flex 3000K 3W Part Number]],Lutron_CFlex_Lookup[],MATCH("Lutron Kit PN",Lutron_CFlex_Lookup[#Headers],0),FALSE),"")</f>
        <v>3LD4T5H-2M30-q</v>
      </c>
      <c r="AK815" s="1" t="str">
        <f>_xlfn.IFNA(VLOOKUP(Master_Reference[[#This Row],[C-Flex 3500K 3W Part Number]],Lutron_CFlex_Lookup[],MATCH("Lutron Kit PN",Lutron_CFlex_Lookup[#Headers],0),FALSE),"")</f>
        <v>3LD4T5H-2M35-q</v>
      </c>
      <c r="AL815" s="1" t="str">
        <f>_xlfn.IFNA(VLOOKUP(Master_Reference[[#This Row],[C-Flex 4000K 3W Part Number]],Lutron_CFlex_Lookup[],MATCH("Lutron Kit PN",Lutron_CFlex_Lookup[#Headers],0),FALSE),"")</f>
        <v>3LD4T5H-2M40-q</v>
      </c>
      <c r="AM815" s="1" t="str">
        <f>_xlfn.IFNA(VLOOKUP(Master_Reference[[#This Row],[C-Flex 5000K 3W Part Number]],Lutron_CFlex_Lookup[],MATCH("Lutron Kit PN",Lutron_CFlex_Lookup[#Headers],0),FALSE),"")</f>
        <v>3LD4T5H-2M50-q</v>
      </c>
      <c r="AN815" s="1" t="b">
        <f>NOT(ISNA(VLOOKUP(Master_Reference[[#This Row],[Model Number]],ObsoleteModels[],1,FALSE)))</f>
        <v>1</v>
      </c>
      <c r="AO815" s="1" t="str">
        <f>IF(LEFT(Master_Reference[[#This Row],[Model Number]],1)="U",LEFT(Master_Reference[[#This Row],[Model Number]],4),LEFT(Master_Reference[[#This Row],[Model Number]],3))</f>
        <v>H3D</v>
      </c>
    </row>
    <row r="816" spans="1:41" x14ac:dyDescent="0.25">
      <c r="A816" s="2" t="s">
        <v>1117</v>
      </c>
      <c r="B816" s="1" t="b">
        <v>1</v>
      </c>
      <c r="C816" s="1" t="b">
        <v>1</v>
      </c>
      <c r="G816" s="1" t="str">
        <f>IF(OR(LEFT(RIGHT(Master_Reference[[#This Row],[Model Number]],3),1)="C",LEFT(RIGHT(Master_Reference[[#This Row],[Model Number]],4),1)="C"),TRUE,"")</f>
        <v/>
      </c>
      <c r="H816" s="1" t="str">
        <f>IF(LEFT(Master_Reference[[#This Row],[Model Number]],1)="U",TRUE,"")</f>
        <v/>
      </c>
      <c r="I816" s="1" t="b">
        <f>IF(Master_Reference[[#This Row],[Lamp Type]]="T4","",IF(Master_Reference[[#This Row],[Case Type]]="M","",TRUE))</f>
        <v>1</v>
      </c>
      <c r="J816" s="1" t="s">
        <v>297</v>
      </c>
      <c r="K816" s="1">
        <v>80</v>
      </c>
      <c r="L816" s="1" t="s">
        <v>220</v>
      </c>
      <c r="M816" s="1">
        <v>1</v>
      </c>
      <c r="N816" s="1" t="s">
        <v>149</v>
      </c>
      <c r="O816" s="1" t="s">
        <v>113</v>
      </c>
      <c r="R816" t="b">
        <f>IF(COUNTBLANK(Master_Reference[[#This Row],[C-Flex 3000K Eco Part Number]:[C-Flex 4000K Eco Part Number]])=3,FALSE,TRUE)</f>
        <v>0</v>
      </c>
      <c r="S816" t="b">
        <f>IF(COUNTBLANK(Master_Reference[[#This Row],[C-Flex 3000K 3W Part Number]:[C-Flex 4000K 3W Part Number]])=3,FALSE,TRUE)</f>
        <v>0</v>
      </c>
      <c r="T816" t="b">
        <f>IF(COUNTBLANK(Master_Reference[[#This Row],[Lutron 3000K Eco Part Number]:[Lutron 4000K Eco Part Number]])=3,FALSE,TRUE)</f>
        <v>0</v>
      </c>
      <c r="U816" t="b">
        <f>IF(COUNTBLANK(Master_Reference[[#This Row],[Lutron 3000K 3W Part Number]:[Lutron 4000K 3W Part Number]])=3,FALSE,TRUE)</f>
        <v>0</v>
      </c>
      <c r="V816" s="12"/>
      <c r="W816" s="12"/>
      <c r="X816" s="12"/>
      <c r="Y816" t="s">
        <v>2125</v>
      </c>
      <c r="Z816" s="12"/>
      <c r="AA816" s="12"/>
      <c r="AB816" s="12"/>
      <c r="AC816" t="s">
        <v>2125</v>
      </c>
      <c r="AD816" t="str">
        <f>SUBSTITUTE(Master_Reference[[#This Row],[C-Flex 4000K Eco Part Number]],"40-","xx-")</f>
        <v/>
      </c>
      <c r="AE816" t="str">
        <f>SUBSTITUTE(Master_Reference[[#This Row],[C-Flex 4000K 3W Part Number]],"40-","xx-")</f>
        <v/>
      </c>
      <c r="AF816" s="1" t="str">
        <f>_xlfn.IFNA(VLOOKUP(Master_Reference[[#This Row],[C-Flex 3000K Eco Part Number]],Lutron_CFlex_Lookup[],MATCH("Lutron Kit PN",Lutron_CFlex_Lookup[#Headers],0),FALSE),"")</f>
        <v/>
      </c>
      <c r="AG816" s="1" t="str">
        <f>_xlfn.IFNA(VLOOKUP(Master_Reference[[#This Row],[C-Flex 3500K Eco Part Number]],Lutron_CFlex_Lookup[],MATCH("Lutron Kit PN",Lutron_CFlex_Lookup[#Headers],0),FALSE),"")</f>
        <v/>
      </c>
      <c r="AH816" s="1" t="str">
        <f>_xlfn.IFNA(VLOOKUP(Master_Reference[[#This Row],[C-Flex 4000K Eco Part Number]],Lutron_CFlex_Lookup[],MATCH("Lutron Kit PN",Lutron_CFlex_Lookup[#Headers],0),FALSE),"")</f>
        <v/>
      </c>
      <c r="AI816" s="1" t="str">
        <f>_xlfn.IFNA(VLOOKUP(Master_Reference[[#This Row],[C-Flex 5000K Eco Part Number]],Lutron_CFlex_Lookup[],MATCH("Lutron Kit PN",Lutron_CFlex_Lookup[#Headers],0),FALSE),"")</f>
        <v/>
      </c>
      <c r="AJ816" s="1" t="str">
        <f>_xlfn.IFNA(VLOOKUP(Master_Reference[[#This Row],[C-Flex 3000K 3W Part Number]],Lutron_CFlex_Lookup[],MATCH("Lutron Kit PN",Lutron_CFlex_Lookup[#Headers],0),FALSE),"")</f>
        <v/>
      </c>
      <c r="AK816" s="1" t="str">
        <f>_xlfn.IFNA(VLOOKUP(Master_Reference[[#This Row],[C-Flex 3500K 3W Part Number]],Lutron_CFlex_Lookup[],MATCH("Lutron Kit PN",Lutron_CFlex_Lookup[#Headers],0),FALSE),"")</f>
        <v/>
      </c>
      <c r="AL816" s="1" t="str">
        <f>_xlfn.IFNA(VLOOKUP(Master_Reference[[#This Row],[C-Flex 4000K 3W Part Number]],Lutron_CFlex_Lookup[],MATCH("Lutron Kit PN",Lutron_CFlex_Lookup[#Headers],0),FALSE),"")</f>
        <v/>
      </c>
      <c r="AM816" s="1" t="str">
        <f>_xlfn.IFNA(VLOOKUP(Master_Reference[[#This Row],[C-Flex 5000K 3W Part Number]],Lutron_CFlex_Lookup[],MATCH("Lutron Kit PN",Lutron_CFlex_Lookup[#Headers],0),FALSE),"")</f>
        <v/>
      </c>
      <c r="AN816" s="1" t="b">
        <f>NOT(ISNA(VLOOKUP(Master_Reference[[#This Row],[Model Number]],ObsoleteModels[],1,FALSE)))</f>
        <v>1</v>
      </c>
      <c r="AO816" s="1" t="str">
        <f>IF(LEFT(Master_Reference[[#This Row],[Model Number]],1)="U",LEFT(Master_Reference[[#This Row],[Model Number]],4),LEFT(Master_Reference[[#This Row],[Model Number]],3))</f>
        <v>H3D</v>
      </c>
    </row>
    <row r="817" spans="1:41" x14ac:dyDescent="0.25">
      <c r="A817" s="2" t="s">
        <v>1118</v>
      </c>
      <c r="B817" s="1" t="b">
        <v>1</v>
      </c>
      <c r="C817" s="1" t="b">
        <v>1</v>
      </c>
      <c r="G817" s="1" t="str">
        <f>IF(OR(LEFT(RIGHT(Master_Reference[[#This Row],[Model Number]],3),1)="C",LEFT(RIGHT(Master_Reference[[#This Row],[Model Number]],4),1)="C"),TRUE,"")</f>
        <v/>
      </c>
      <c r="H817" s="1" t="str">
        <f>IF(LEFT(Master_Reference[[#This Row],[Model Number]],1)="U",TRUE,"")</f>
        <v/>
      </c>
      <c r="I817" s="1" t="b">
        <f>IF(Master_Reference[[#This Row],[Lamp Type]]="T4","",IF(Master_Reference[[#This Row],[Case Type]]="M","",TRUE))</f>
        <v>1</v>
      </c>
      <c r="J817" s="1" t="str">
        <f t="shared" ref="J817:J848" si="12">RIGHT(LEFT((A817),5),2)</f>
        <v>T8</v>
      </c>
      <c r="K817" s="1">
        <v>17</v>
      </c>
      <c r="L817" s="1" t="s">
        <v>112</v>
      </c>
      <c r="M817" s="1">
        <v>1</v>
      </c>
      <c r="N817" s="1" t="s">
        <v>149</v>
      </c>
      <c r="O817" s="1" t="s">
        <v>113</v>
      </c>
      <c r="R817" t="b">
        <f>IF(COUNTBLANK(Master_Reference[[#This Row],[C-Flex 3000K Eco Part Number]:[C-Flex 4000K Eco Part Number]])=3,FALSE,TRUE)</f>
        <v>1</v>
      </c>
      <c r="S817" t="b">
        <f>IF(COUNTBLANK(Master_Reference[[#This Row],[C-Flex 3000K 3W Part Number]:[C-Flex 4000K 3W Part Number]])=3,FALSE,TRUE)</f>
        <v>1</v>
      </c>
      <c r="T817" t="b">
        <f>IF(COUNTBLANK(Master_Reference[[#This Row],[Lutron 3000K Eco Part Number]:[Lutron 4000K Eco Part Number]])=3,FALSE,TRUE)</f>
        <v>1</v>
      </c>
      <c r="U817" t="b">
        <f>IF(COUNTBLANK(Master_Reference[[#This Row],[Lutron 3000K 3W Part Number]:[Lutron 4000K 3W Part Number]])=3,FALSE,TRUE)</f>
        <v>1</v>
      </c>
      <c r="V817" s="12" t="s">
        <v>462</v>
      </c>
      <c r="W817" s="12" t="s">
        <v>463</v>
      </c>
      <c r="X817" s="12" t="s">
        <v>464</v>
      </c>
      <c r="Y817" t="s">
        <v>1735</v>
      </c>
      <c r="Z817" s="12" t="s">
        <v>240</v>
      </c>
      <c r="AA817" s="12" t="s">
        <v>241</v>
      </c>
      <c r="AB817" s="12" t="s">
        <v>242</v>
      </c>
      <c r="AC817" t="s">
        <v>1823</v>
      </c>
      <c r="AD817" t="str">
        <f>SUBSTITUTE(Master_Reference[[#This Row],[C-Flex 4000K Eco Part Number]],"40-","xx-")</f>
        <v>RP-T8-2FT-1L-8xx-E1-M-G2</v>
      </c>
      <c r="AE817" t="str">
        <f>SUBSTITUTE(Master_Reference[[#This Row],[C-Flex 4000K 3W Part Number]],"40-","xx-")</f>
        <v>RP-T8-2FT-1L-8xx-3W-M-G2</v>
      </c>
      <c r="AF817" s="1" t="str">
        <f>_xlfn.IFNA(VLOOKUP(Master_Reference[[#This Row],[C-Flex 3000K Eco Part Number]],Lutron_CFlex_Lookup[],MATCH("Lutron Kit PN",Lutron_CFlex_Lookup[#Headers],0),FALSE),"")</f>
        <v>ELD2T8-1M30-q</v>
      </c>
      <c r="AG817" s="1" t="str">
        <f>_xlfn.IFNA(VLOOKUP(Master_Reference[[#This Row],[C-Flex 3500K Eco Part Number]],Lutron_CFlex_Lookup[],MATCH("Lutron Kit PN",Lutron_CFlex_Lookup[#Headers],0),FALSE),"")</f>
        <v>ELD2T8-1M35-q</v>
      </c>
      <c r="AH817" s="1" t="str">
        <f>_xlfn.IFNA(VLOOKUP(Master_Reference[[#This Row],[C-Flex 4000K Eco Part Number]],Lutron_CFlex_Lookup[],MATCH("Lutron Kit PN",Lutron_CFlex_Lookup[#Headers],0),FALSE),"")</f>
        <v>ELD2T8-1M40-q</v>
      </c>
      <c r="AI817" s="1" t="str">
        <f>_xlfn.IFNA(VLOOKUP(Master_Reference[[#This Row],[C-Flex 5000K Eco Part Number]],Lutron_CFlex_Lookup[],MATCH("Lutron Kit PN",Lutron_CFlex_Lookup[#Headers],0),FALSE),"")</f>
        <v>ELD2T8-1M50-q</v>
      </c>
      <c r="AJ817" s="1" t="str">
        <f>_xlfn.IFNA(VLOOKUP(Master_Reference[[#This Row],[C-Flex 3000K 3W Part Number]],Lutron_CFlex_Lookup[],MATCH("Lutron Kit PN",Lutron_CFlex_Lookup[#Headers],0),FALSE),"")</f>
        <v>3LD2T8-1M30-q</v>
      </c>
      <c r="AK817" s="1" t="str">
        <f>_xlfn.IFNA(VLOOKUP(Master_Reference[[#This Row],[C-Flex 3500K 3W Part Number]],Lutron_CFlex_Lookup[],MATCH("Lutron Kit PN",Lutron_CFlex_Lookup[#Headers],0),FALSE),"")</f>
        <v>3LD2T8-1M35-q</v>
      </c>
      <c r="AL817" s="1" t="str">
        <f>_xlfn.IFNA(VLOOKUP(Master_Reference[[#This Row],[C-Flex 4000K 3W Part Number]],Lutron_CFlex_Lookup[],MATCH("Lutron Kit PN",Lutron_CFlex_Lookup[#Headers],0),FALSE),"")</f>
        <v>3LD2T8-1M40-q</v>
      </c>
      <c r="AM817" s="1" t="str">
        <f>_xlfn.IFNA(VLOOKUP(Master_Reference[[#This Row],[C-Flex 5000K 3W Part Number]],Lutron_CFlex_Lookup[],MATCH("Lutron Kit PN",Lutron_CFlex_Lookup[#Headers],0),FALSE),"")</f>
        <v>3LD2T8-1M50-q</v>
      </c>
      <c r="AN817" s="1" t="b">
        <f>NOT(ISNA(VLOOKUP(Master_Reference[[#This Row],[Model Number]],ObsoleteModels[],1,FALSE)))</f>
        <v>1</v>
      </c>
      <c r="AO817" s="1" t="str">
        <f>IF(LEFT(Master_Reference[[#This Row],[Model Number]],1)="U",LEFT(Master_Reference[[#This Row],[Model Number]],4),LEFT(Master_Reference[[#This Row],[Model Number]],3))</f>
        <v>H3D</v>
      </c>
    </row>
    <row r="818" spans="1:41" x14ac:dyDescent="0.25">
      <c r="A818" s="2" t="s">
        <v>1119</v>
      </c>
      <c r="B818" s="1" t="b">
        <v>1</v>
      </c>
      <c r="C818" s="1" t="b">
        <v>1</v>
      </c>
      <c r="G818" s="1" t="b">
        <v>1</v>
      </c>
      <c r="H818" s="1" t="str">
        <f>IF(LEFT(Master_Reference[[#This Row],[Model Number]],1)="U",TRUE,"")</f>
        <v/>
      </c>
      <c r="I818" s="1" t="b">
        <f>IF(Master_Reference[[#This Row],[Lamp Type]]="T4","",IF(Master_Reference[[#This Row],[Case Type]]="M","",TRUE))</f>
        <v>1</v>
      </c>
      <c r="J818" s="1" t="str">
        <f t="shared" si="12"/>
        <v>T8</v>
      </c>
      <c r="K818" s="1">
        <v>17</v>
      </c>
      <c r="L818" s="1" t="s">
        <v>112</v>
      </c>
      <c r="M818" s="1">
        <v>1</v>
      </c>
      <c r="N818" s="1" t="s">
        <v>149</v>
      </c>
      <c r="O818" s="1" t="s">
        <v>113</v>
      </c>
      <c r="R818" t="b">
        <f>IF(COUNTBLANK(Master_Reference[[#This Row],[C-Flex 3000K Eco Part Number]:[C-Flex 4000K Eco Part Number]])=3,FALSE,TRUE)</f>
        <v>1</v>
      </c>
      <c r="S818" t="b">
        <f>IF(COUNTBLANK(Master_Reference[[#This Row],[C-Flex 3000K 3W Part Number]:[C-Flex 4000K 3W Part Number]])=3,FALSE,TRUE)</f>
        <v>1</v>
      </c>
      <c r="T818" t="b">
        <f>IF(COUNTBLANK(Master_Reference[[#This Row],[Lutron 3000K Eco Part Number]:[Lutron 4000K Eco Part Number]])=3,FALSE,TRUE)</f>
        <v>1</v>
      </c>
      <c r="U818" t="b">
        <f>IF(COUNTBLANK(Master_Reference[[#This Row],[Lutron 3000K 3W Part Number]:[Lutron 4000K 3W Part Number]])=3,FALSE,TRUE)</f>
        <v>1</v>
      </c>
      <c r="V818" s="12" t="s">
        <v>462</v>
      </c>
      <c r="W818" s="12" t="s">
        <v>463</v>
      </c>
      <c r="X818" s="12" t="s">
        <v>464</v>
      </c>
      <c r="Y818" t="s">
        <v>1735</v>
      </c>
      <c r="Z818" s="12" t="s">
        <v>240</v>
      </c>
      <c r="AA818" s="12" t="s">
        <v>241</v>
      </c>
      <c r="AB818" s="12" t="s">
        <v>242</v>
      </c>
      <c r="AC818" t="s">
        <v>1823</v>
      </c>
      <c r="AD818" t="str">
        <f>SUBSTITUTE(Master_Reference[[#This Row],[C-Flex 4000K Eco Part Number]],"40-","xx-")</f>
        <v>RP-T8-2FT-1L-8xx-E1-M-G2</v>
      </c>
      <c r="AE818" t="str">
        <f>SUBSTITUTE(Master_Reference[[#This Row],[C-Flex 4000K 3W Part Number]],"40-","xx-")</f>
        <v>RP-T8-2FT-1L-8xx-3W-M-G2</v>
      </c>
      <c r="AF818" s="1" t="str">
        <f>_xlfn.IFNA(VLOOKUP(Master_Reference[[#This Row],[C-Flex 3000K Eco Part Number]],Lutron_CFlex_Lookup[],MATCH("Lutron Kit PN",Lutron_CFlex_Lookup[#Headers],0),FALSE),"")</f>
        <v>ELD2T8-1M30-q</v>
      </c>
      <c r="AG818" s="1" t="str">
        <f>_xlfn.IFNA(VLOOKUP(Master_Reference[[#This Row],[C-Flex 3500K Eco Part Number]],Lutron_CFlex_Lookup[],MATCH("Lutron Kit PN",Lutron_CFlex_Lookup[#Headers],0),FALSE),"")</f>
        <v>ELD2T8-1M35-q</v>
      </c>
      <c r="AH818" s="1" t="str">
        <f>_xlfn.IFNA(VLOOKUP(Master_Reference[[#This Row],[C-Flex 4000K Eco Part Number]],Lutron_CFlex_Lookup[],MATCH("Lutron Kit PN",Lutron_CFlex_Lookup[#Headers],0),FALSE),"")</f>
        <v>ELD2T8-1M40-q</v>
      </c>
      <c r="AI818" s="1" t="str">
        <f>_xlfn.IFNA(VLOOKUP(Master_Reference[[#This Row],[C-Flex 5000K Eco Part Number]],Lutron_CFlex_Lookup[],MATCH("Lutron Kit PN",Lutron_CFlex_Lookup[#Headers],0),FALSE),"")</f>
        <v>ELD2T8-1M50-q</v>
      </c>
      <c r="AJ818" s="1" t="str">
        <f>_xlfn.IFNA(VLOOKUP(Master_Reference[[#This Row],[C-Flex 3000K 3W Part Number]],Lutron_CFlex_Lookup[],MATCH("Lutron Kit PN",Lutron_CFlex_Lookup[#Headers],0),FALSE),"")</f>
        <v>3LD2T8-1M30-q</v>
      </c>
      <c r="AK818" s="1" t="str">
        <f>_xlfn.IFNA(VLOOKUP(Master_Reference[[#This Row],[C-Flex 3500K 3W Part Number]],Lutron_CFlex_Lookup[],MATCH("Lutron Kit PN",Lutron_CFlex_Lookup[#Headers],0),FALSE),"")</f>
        <v>3LD2T8-1M35-q</v>
      </c>
      <c r="AL818" s="1" t="str">
        <f>_xlfn.IFNA(VLOOKUP(Master_Reference[[#This Row],[C-Flex 4000K 3W Part Number]],Lutron_CFlex_Lookup[],MATCH("Lutron Kit PN",Lutron_CFlex_Lookup[#Headers],0),FALSE),"")</f>
        <v>3LD2T8-1M40-q</v>
      </c>
      <c r="AM818" s="1" t="str">
        <f>_xlfn.IFNA(VLOOKUP(Master_Reference[[#This Row],[C-Flex 5000K 3W Part Number]],Lutron_CFlex_Lookup[],MATCH("Lutron Kit PN",Lutron_CFlex_Lookup[#Headers],0),FALSE),"")</f>
        <v>3LD2T8-1M50-q</v>
      </c>
      <c r="AN818" s="1" t="b">
        <f>NOT(ISNA(VLOOKUP(Master_Reference[[#This Row],[Model Number]],ObsoleteModels[],1,FALSE)))</f>
        <v>1</v>
      </c>
      <c r="AO818" s="1" t="str">
        <f>IF(LEFT(Master_Reference[[#This Row],[Model Number]],1)="U",LEFT(Master_Reference[[#This Row],[Model Number]],4),LEFT(Master_Reference[[#This Row],[Model Number]],3))</f>
        <v>H3D</v>
      </c>
    </row>
    <row r="819" spans="1:41" x14ac:dyDescent="0.25">
      <c r="A819" s="2" t="s">
        <v>1120</v>
      </c>
      <c r="B819" s="1" t="b">
        <v>1</v>
      </c>
      <c r="C819" s="1" t="b">
        <v>1</v>
      </c>
      <c r="G819" s="1" t="b">
        <f>IF(OR(LEFT(RIGHT(Master_Reference[[#This Row],[Model Number]],3),1)="C",LEFT(RIGHT(Master_Reference[[#This Row],[Model Number]],4),1)="C"),TRUE,"")</f>
        <v>1</v>
      </c>
      <c r="H819" s="1" t="str">
        <f>IF(LEFT(Master_Reference[[#This Row],[Model Number]],1)="U",TRUE,"")</f>
        <v/>
      </c>
      <c r="I819" s="1" t="b">
        <f>IF(Master_Reference[[#This Row],[Lamp Type]]="T4","",IF(Master_Reference[[#This Row],[Case Type]]="M","",TRUE))</f>
        <v>1</v>
      </c>
      <c r="J819" s="1" t="str">
        <f t="shared" si="12"/>
        <v>T8</v>
      </c>
      <c r="K819" s="1">
        <v>17</v>
      </c>
      <c r="L819" s="1" t="s">
        <v>112</v>
      </c>
      <c r="M819" s="1">
        <v>1</v>
      </c>
      <c r="N819" s="1" t="s">
        <v>149</v>
      </c>
      <c r="O819" s="1" t="s">
        <v>113</v>
      </c>
      <c r="R819" t="b">
        <f>IF(COUNTBLANK(Master_Reference[[#This Row],[C-Flex 3000K Eco Part Number]:[C-Flex 4000K Eco Part Number]])=3,FALSE,TRUE)</f>
        <v>1</v>
      </c>
      <c r="S819" t="b">
        <f>IF(COUNTBLANK(Master_Reference[[#This Row],[C-Flex 3000K 3W Part Number]:[C-Flex 4000K 3W Part Number]])=3,FALSE,TRUE)</f>
        <v>1</v>
      </c>
      <c r="T819" t="b">
        <f>IF(COUNTBLANK(Master_Reference[[#This Row],[Lutron 3000K Eco Part Number]:[Lutron 4000K Eco Part Number]])=3,FALSE,TRUE)</f>
        <v>1</v>
      </c>
      <c r="U819" t="b">
        <f>IF(COUNTBLANK(Master_Reference[[#This Row],[Lutron 3000K 3W Part Number]:[Lutron 4000K 3W Part Number]])=3,FALSE,TRUE)</f>
        <v>1</v>
      </c>
      <c r="V819" s="12" t="s">
        <v>462</v>
      </c>
      <c r="W819" s="12" t="s">
        <v>463</v>
      </c>
      <c r="X819" s="12" t="s">
        <v>464</v>
      </c>
      <c r="Y819" t="s">
        <v>1735</v>
      </c>
      <c r="Z819" s="12" t="s">
        <v>240</v>
      </c>
      <c r="AA819" s="12" t="s">
        <v>241</v>
      </c>
      <c r="AB819" s="12" t="s">
        <v>242</v>
      </c>
      <c r="AC819" t="s">
        <v>1823</v>
      </c>
      <c r="AD819" t="str">
        <f>SUBSTITUTE(Master_Reference[[#This Row],[C-Flex 4000K Eco Part Number]],"40-","xx-")</f>
        <v>RP-T8-2FT-1L-8xx-E1-M-G2</v>
      </c>
      <c r="AE819" t="str">
        <f>SUBSTITUTE(Master_Reference[[#This Row],[C-Flex 4000K 3W Part Number]],"40-","xx-")</f>
        <v>RP-T8-2FT-1L-8xx-3W-M-G2</v>
      </c>
      <c r="AF819" s="1" t="str">
        <f>_xlfn.IFNA(VLOOKUP(Master_Reference[[#This Row],[C-Flex 3000K Eco Part Number]],Lutron_CFlex_Lookup[],MATCH("Lutron Kit PN",Lutron_CFlex_Lookup[#Headers],0),FALSE),"")</f>
        <v>ELD2T8-1M30-q</v>
      </c>
      <c r="AG819" s="1" t="str">
        <f>_xlfn.IFNA(VLOOKUP(Master_Reference[[#This Row],[C-Flex 3500K Eco Part Number]],Lutron_CFlex_Lookup[],MATCH("Lutron Kit PN",Lutron_CFlex_Lookup[#Headers],0),FALSE),"")</f>
        <v>ELD2T8-1M35-q</v>
      </c>
      <c r="AH819" s="1" t="str">
        <f>_xlfn.IFNA(VLOOKUP(Master_Reference[[#This Row],[C-Flex 4000K Eco Part Number]],Lutron_CFlex_Lookup[],MATCH("Lutron Kit PN",Lutron_CFlex_Lookup[#Headers],0),FALSE),"")</f>
        <v>ELD2T8-1M40-q</v>
      </c>
      <c r="AI819" s="1" t="str">
        <f>_xlfn.IFNA(VLOOKUP(Master_Reference[[#This Row],[C-Flex 5000K Eco Part Number]],Lutron_CFlex_Lookup[],MATCH("Lutron Kit PN",Lutron_CFlex_Lookup[#Headers],0),FALSE),"")</f>
        <v>ELD2T8-1M50-q</v>
      </c>
      <c r="AJ819" s="1" t="str">
        <f>_xlfn.IFNA(VLOOKUP(Master_Reference[[#This Row],[C-Flex 3000K 3W Part Number]],Lutron_CFlex_Lookup[],MATCH("Lutron Kit PN",Lutron_CFlex_Lookup[#Headers],0),FALSE),"")</f>
        <v>3LD2T8-1M30-q</v>
      </c>
      <c r="AK819" s="1" t="str">
        <f>_xlfn.IFNA(VLOOKUP(Master_Reference[[#This Row],[C-Flex 3500K 3W Part Number]],Lutron_CFlex_Lookup[],MATCH("Lutron Kit PN",Lutron_CFlex_Lookup[#Headers],0),FALSE),"")</f>
        <v>3LD2T8-1M35-q</v>
      </c>
      <c r="AL819" s="1" t="str">
        <f>_xlfn.IFNA(VLOOKUP(Master_Reference[[#This Row],[C-Flex 4000K 3W Part Number]],Lutron_CFlex_Lookup[],MATCH("Lutron Kit PN",Lutron_CFlex_Lookup[#Headers],0),FALSE),"")</f>
        <v>3LD2T8-1M40-q</v>
      </c>
      <c r="AM819" s="1" t="str">
        <f>_xlfn.IFNA(VLOOKUP(Master_Reference[[#This Row],[C-Flex 5000K 3W Part Number]],Lutron_CFlex_Lookup[],MATCH("Lutron Kit PN",Lutron_CFlex_Lookup[#Headers],0),FALSE),"")</f>
        <v>3LD2T8-1M50-q</v>
      </c>
      <c r="AN819" s="1" t="b">
        <f>NOT(ISNA(VLOOKUP(Master_Reference[[#This Row],[Model Number]],ObsoleteModels[],1,FALSE)))</f>
        <v>1</v>
      </c>
      <c r="AO819" s="1" t="str">
        <f>IF(LEFT(Master_Reference[[#This Row],[Model Number]],1)="U",LEFT(Master_Reference[[#This Row],[Model Number]],4),LEFT(Master_Reference[[#This Row],[Model Number]],3))</f>
        <v>H3D</v>
      </c>
    </row>
    <row r="820" spans="1:41" x14ac:dyDescent="0.25">
      <c r="A820" s="2" t="s">
        <v>1121</v>
      </c>
      <c r="B820" s="1" t="b">
        <v>1</v>
      </c>
      <c r="C820" s="1" t="b">
        <v>1</v>
      </c>
      <c r="G820" s="1" t="b">
        <f>IF(OR(LEFT(RIGHT(Master_Reference[[#This Row],[Model Number]],3),1)="C",LEFT(RIGHT(Master_Reference[[#This Row],[Model Number]],4),1)="C"),TRUE,"")</f>
        <v>1</v>
      </c>
      <c r="H820" s="1" t="str">
        <f>IF(LEFT(Master_Reference[[#This Row],[Model Number]],1)="U",TRUE,"")</f>
        <v/>
      </c>
      <c r="I820" s="1" t="b">
        <f>IF(Master_Reference[[#This Row],[Lamp Type]]="T4","",IF(Master_Reference[[#This Row],[Case Type]]="M","",TRUE))</f>
        <v>1</v>
      </c>
      <c r="J820" s="1" t="str">
        <f t="shared" si="12"/>
        <v>T8</v>
      </c>
      <c r="K820" s="1">
        <v>17</v>
      </c>
      <c r="L820" s="1" t="s">
        <v>112</v>
      </c>
      <c r="M820" s="1">
        <v>1</v>
      </c>
      <c r="N820" s="1" t="s">
        <v>149</v>
      </c>
      <c r="O820" s="1" t="s">
        <v>113</v>
      </c>
      <c r="R820" t="b">
        <f>IF(COUNTBLANK(Master_Reference[[#This Row],[C-Flex 3000K Eco Part Number]:[C-Flex 4000K Eco Part Number]])=3,FALSE,TRUE)</f>
        <v>1</v>
      </c>
      <c r="S820" t="b">
        <f>IF(COUNTBLANK(Master_Reference[[#This Row],[C-Flex 3000K 3W Part Number]:[C-Flex 4000K 3W Part Number]])=3,FALSE,TRUE)</f>
        <v>1</v>
      </c>
      <c r="T820" t="b">
        <f>IF(COUNTBLANK(Master_Reference[[#This Row],[Lutron 3000K Eco Part Number]:[Lutron 4000K Eco Part Number]])=3,FALSE,TRUE)</f>
        <v>1</v>
      </c>
      <c r="U820" t="b">
        <f>IF(COUNTBLANK(Master_Reference[[#This Row],[Lutron 3000K 3W Part Number]:[Lutron 4000K 3W Part Number]])=3,FALSE,TRUE)</f>
        <v>1</v>
      </c>
      <c r="V820" s="12" t="s">
        <v>462</v>
      </c>
      <c r="W820" s="12" t="s">
        <v>463</v>
      </c>
      <c r="X820" s="12" t="s">
        <v>464</v>
      </c>
      <c r="Y820" t="s">
        <v>1735</v>
      </c>
      <c r="Z820" s="12" t="s">
        <v>240</v>
      </c>
      <c r="AA820" s="12" t="s">
        <v>241</v>
      </c>
      <c r="AB820" s="12" t="s">
        <v>242</v>
      </c>
      <c r="AC820" t="s">
        <v>1823</v>
      </c>
      <c r="AD820" t="str">
        <f>SUBSTITUTE(Master_Reference[[#This Row],[C-Flex 4000K Eco Part Number]],"40-","xx-")</f>
        <v>RP-T8-2FT-1L-8xx-E1-M-G2</v>
      </c>
      <c r="AE820" t="str">
        <f>SUBSTITUTE(Master_Reference[[#This Row],[C-Flex 4000K 3W Part Number]],"40-","xx-")</f>
        <v>RP-T8-2FT-1L-8xx-3W-M-G2</v>
      </c>
      <c r="AF820" s="1" t="str">
        <f>_xlfn.IFNA(VLOOKUP(Master_Reference[[#This Row],[C-Flex 3000K Eco Part Number]],Lutron_CFlex_Lookup[],MATCH("Lutron Kit PN",Lutron_CFlex_Lookup[#Headers],0),FALSE),"")</f>
        <v>ELD2T8-1M30-q</v>
      </c>
      <c r="AG820" s="1" t="str">
        <f>_xlfn.IFNA(VLOOKUP(Master_Reference[[#This Row],[C-Flex 3500K Eco Part Number]],Lutron_CFlex_Lookup[],MATCH("Lutron Kit PN",Lutron_CFlex_Lookup[#Headers],0),FALSE),"")</f>
        <v>ELD2T8-1M35-q</v>
      </c>
      <c r="AH820" s="1" t="str">
        <f>_xlfn.IFNA(VLOOKUP(Master_Reference[[#This Row],[C-Flex 4000K Eco Part Number]],Lutron_CFlex_Lookup[],MATCH("Lutron Kit PN",Lutron_CFlex_Lookup[#Headers],0),FALSE),"")</f>
        <v>ELD2T8-1M40-q</v>
      </c>
      <c r="AI820" s="1" t="str">
        <f>_xlfn.IFNA(VLOOKUP(Master_Reference[[#This Row],[C-Flex 5000K Eco Part Number]],Lutron_CFlex_Lookup[],MATCH("Lutron Kit PN",Lutron_CFlex_Lookup[#Headers],0),FALSE),"")</f>
        <v>ELD2T8-1M50-q</v>
      </c>
      <c r="AJ820" s="1" t="str">
        <f>_xlfn.IFNA(VLOOKUP(Master_Reference[[#This Row],[C-Flex 3000K 3W Part Number]],Lutron_CFlex_Lookup[],MATCH("Lutron Kit PN",Lutron_CFlex_Lookup[#Headers],0),FALSE),"")</f>
        <v>3LD2T8-1M30-q</v>
      </c>
      <c r="AK820" s="1" t="str">
        <f>_xlfn.IFNA(VLOOKUP(Master_Reference[[#This Row],[C-Flex 3500K 3W Part Number]],Lutron_CFlex_Lookup[],MATCH("Lutron Kit PN",Lutron_CFlex_Lookup[#Headers],0),FALSE),"")</f>
        <v>3LD2T8-1M35-q</v>
      </c>
      <c r="AL820" s="1" t="str">
        <f>_xlfn.IFNA(VLOOKUP(Master_Reference[[#This Row],[C-Flex 4000K 3W Part Number]],Lutron_CFlex_Lookup[],MATCH("Lutron Kit PN",Lutron_CFlex_Lookup[#Headers],0),FALSE),"")</f>
        <v>3LD2T8-1M40-q</v>
      </c>
      <c r="AM820" s="1" t="str">
        <f>_xlfn.IFNA(VLOOKUP(Master_Reference[[#This Row],[C-Flex 5000K 3W Part Number]],Lutron_CFlex_Lookup[],MATCH("Lutron Kit PN",Lutron_CFlex_Lookup[#Headers],0),FALSE),"")</f>
        <v>3LD2T8-1M50-q</v>
      </c>
      <c r="AN820" s="1" t="b">
        <f>NOT(ISNA(VLOOKUP(Master_Reference[[#This Row],[Model Number]],ObsoleteModels[],1,FALSE)))</f>
        <v>1</v>
      </c>
      <c r="AO820" s="1" t="str">
        <f>IF(LEFT(Master_Reference[[#This Row],[Model Number]],1)="U",LEFT(Master_Reference[[#This Row],[Model Number]],4),LEFT(Master_Reference[[#This Row],[Model Number]],3))</f>
        <v>H3D</v>
      </c>
    </row>
    <row r="821" spans="1:41" x14ac:dyDescent="0.25">
      <c r="A821" s="2" t="s">
        <v>1122</v>
      </c>
      <c r="B821" s="1" t="b">
        <v>1</v>
      </c>
      <c r="C821" s="1" t="b">
        <v>1</v>
      </c>
      <c r="G821" s="1" t="str">
        <f>IF(OR(LEFT(RIGHT(Master_Reference[[#This Row],[Model Number]],3),1)="C",LEFT(RIGHT(Master_Reference[[#This Row],[Model Number]],4),1)="C"),TRUE,"")</f>
        <v/>
      </c>
      <c r="H821" s="1" t="str">
        <f>IF(LEFT(Master_Reference[[#This Row],[Model Number]],1)="U",TRUE,"")</f>
        <v/>
      </c>
      <c r="I821" s="1" t="b">
        <f>IF(Master_Reference[[#This Row],[Lamp Type]]="T4","",IF(Master_Reference[[#This Row],[Case Type]]="M","",TRUE))</f>
        <v>1</v>
      </c>
      <c r="J821" s="1" t="str">
        <f t="shared" si="12"/>
        <v>T8</v>
      </c>
      <c r="K821" s="1">
        <v>17</v>
      </c>
      <c r="L821" s="1" t="s">
        <v>112</v>
      </c>
      <c r="M821" s="1">
        <v>2</v>
      </c>
      <c r="N821" s="1" t="s">
        <v>149</v>
      </c>
      <c r="O821" s="1" t="s">
        <v>113</v>
      </c>
      <c r="R821" t="b">
        <f>IF(COUNTBLANK(Master_Reference[[#This Row],[C-Flex 3000K Eco Part Number]:[C-Flex 4000K Eco Part Number]])=3,FALSE,TRUE)</f>
        <v>1</v>
      </c>
      <c r="S821" t="b">
        <f>IF(COUNTBLANK(Master_Reference[[#This Row],[C-Flex 3000K 3W Part Number]:[C-Flex 4000K 3W Part Number]])=3,FALSE,TRUE)</f>
        <v>1</v>
      </c>
      <c r="T821" t="b">
        <f>IF(COUNTBLANK(Master_Reference[[#This Row],[Lutron 3000K Eco Part Number]:[Lutron 4000K Eco Part Number]])=3,FALSE,TRUE)</f>
        <v>1</v>
      </c>
      <c r="U821" t="b">
        <f>IF(COUNTBLANK(Master_Reference[[#This Row],[Lutron 3000K 3W Part Number]:[Lutron 4000K 3W Part Number]])=3,FALSE,TRUE)</f>
        <v>1</v>
      </c>
      <c r="V821" s="12" t="s">
        <v>466</v>
      </c>
      <c r="W821" s="12" t="s">
        <v>467</v>
      </c>
      <c r="X821" s="12" t="s">
        <v>468</v>
      </c>
      <c r="Y821" t="s">
        <v>1736</v>
      </c>
      <c r="Z821" s="12" t="s">
        <v>244</v>
      </c>
      <c r="AA821" s="12" t="s">
        <v>245</v>
      </c>
      <c r="AB821" s="12" t="s">
        <v>246</v>
      </c>
      <c r="AC821" t="s">
        <v>1824</v>
      </c>
      <c r="AD821" t="str">
        <f>SUBSTITUTE(Master_Reference[[#This Row],[C-Flex 4000K Eco Part Number]],"40-","xx-")</f>
        <v>RP-T8-2FT-2L-8xx-E1-M-G2</v>
      </c>
      <c r="AE821" t="str">
        <f>SUBSTITUTE(Master_Reference[[#This Row],[C-Flex 4000K 3W Part Number]],"40-","xx-")</f>
        <v>RP-T8-2FT-2L-8xx-3W-M-G2</v>
      </c>
      <c r="AF821" s="1" t="str">
        <f>_xlfn.IFNA(VLOOKUP(Master_Reference[[#This Row],[C-Flex 3000K Eco Part Number]],Lutron_CFlex_Lookup[],MATCH("Lutron Kit PN",Lutron_CFlex_Lookup[#Headers],0),FALSE),"")</f>
        <v>ELD2T8-2M30-q</v>
      </c>
      <c r="AG821" s="1" t="str">
        <f>_xlfn.IFNA(VLOOKUP(Master_Reference[[#This Row],[C-Flex 3500K Eco Part Number]],Lutron_CFlex_Lookup[],MATCH("Lutron Kit PN",Lutron_CFlex_Lookup[#Headers],0),FALSE),"")</f>
        <v>ELD2T8-2M35-q</v>
      </c>
      <c r="AH821" s="1" t="str">
        <f>_xlfn.IFNA(VLOOKUP(Master_Reference[[#This Row],[C-Flex 4000K Eco Part Number]],Lutron_CFlex_Lookup[],MATCH("Lutron Kit PN",Lutron_CFlex_Lookup[#Headers],0),FALSE),"")</f>
        <v>ELD2T8-2M40-q</v>
      </c>
      <c r="AI821" s="1" t="str">
        <f>_xlfn.IFNA(VLOOKUP(Master_Reference[[#This Row],[C-Flex 5000K Eco Part Number]],Lutron_CFlex_Lookup[],MATCH("Lutron Kit PN",Lutron_CFlex_Lookup[#Headers],0),FALSE),"")</f>
        <v>ELD2T8-2M50-q</v>
      </c>
      <c r="AJ821" s="1" t="str">
        <f>_xlfn.IFNA(VLOOKUP(Master_Reference[[#This Row],[C-Flex 3000K 3W Part Number]],Lutron_CFlex_Lookup[],MATCH("Lutron Kit PN",Lutron_CFlex_Lookup[#Headers],0),FALSE),"")</f>
        <v>3LD2T8-2M30-q</v>
      </c>
      <c r="AK821" s="1" t="str">
        <f>_xlfn.IFNA(VLOOKUP(Master_Reference[[#This Row],[C-Flex 3500K 3W Part Number]],Lutron_CFlex_Lookup[],MATCH("Lutron Kit PN",Lutron_CFlex_Lookup[#Headers],0),FALSE),"")</f>
        <v>3LD2T8-2M35-q</v>
      </c>
      <c r="AL821" s="1" t="str">
        <f>_xlfn.IFNA(VLOOKUP(Master_Reference[[#This Row],[C-Flex 4000K 3W Part Number]],Lutron_CFlex_Lookup[],MATCH("Lutron Kit PN",Lutron_CFlex_Lookup[#Headers],0),FALSE),"")</f>
        <v>3LD2T8-2M40-q</v>
      </c>
      <c r="AM821" s="1" t="str">
        <f>_xlfn.IFNA(VLOOKUP(Master_Reference[[#This Row],[C-Flex 5000K 3W Part Number]],Lutron_CFlex_Lookup[],MATCH("Lutron Kit PN",Lutron_CFlex_Lookup[#Headers],0),FALSE),"")</f>
        <v>3LD2T8-2M50-q</v>
      </c>
      <c r="AN821" s="1" t="b">
        <f>NOT(ISNA(VLOOKUP(Master_Reference[[#This Row],[Model Number]],ObsoleteModels[],1,FALSE)))</f>
        <v>1</v>
      </c>
      <c r="AO821" s="1" t="str">
        <f>IF(LEFT(Master_Reference[[#This Row],[Model Number]],1)="U",LEFT(Master_Reference[[#This Row],[Model Number]],4),LEFT(Master_Reference[[#This Row],[Model Number]],3))</f>
        <v>H3D</v>
      </c>
    </row>
    <row r="822" spans="1:41" x14ac:dyDescent="0.25">
      <c r="A822" s="2" t="s">
        <v>1123</v>
      </c>
      <c r="B822" s="1" t="b">
        <v>1</v>
      </c>
      <c r="C822" s="1" t="b">
        <v>1</v>
      </c>
      <c r="G822" s="1" t="str">
        <f>IF(OR(LEFT(RIGHT(Master_Reference[[#This Row],[Model Number]],3),1)="C",LEFT(RIGHT(Master_Reference[[#This Row],[Model Number]],4),1)="C"),TRUE,"")</f>
        <v/>
      </c>
      <c r="H822" s="1" t="str">
        <f>IF(LEFT(Master_Reference[[#This Row],[Model Number]],1)="U",TRUE,"")</f>
        <v/>
      </c>
      <c r="I822" s="1" t="b">
        <f>IF(Master_Reference[[#This Row],[Lamp Type]]="T4","",IF(Master_Reference[[#This Row],[Case Type]]="M","",TRUE))</f>
        <v>1</v>
      </c>
      <c r="J822" s="1" t="str">
        <f t="shared" si="12"/>
        <v>T8</v>
      </c>
      <c r="K822" s="1">
        <v>17</v>
      </c>
      <c r="L822" s="1" t="s">
        <v>112</v>
      </c>
      <c r="M822" s="1">
        <v>2</v>
      </c>
      <c r="N822" s="1" t="s">
        <v>149</v>
      </c>
      <c r="O822" s="1" t="s">
        <v>113</v>
      </c>
      <c r="Q822" s="1" t="s">
        <v>91</v>
      </c>
      <c r="R822" t="b">
        <f>IF(COUNTBLANK(Master_Reference[[#This Row],[C-Flex 3000K Eco Part Number]:[C-Flex 4000K Eco Part Number]])=3,FALSE,TRUE)</f>
        <v>0</v>
      </c>
      <c r="S822" t="b">
        <f>IF(COUNTBLANK(Master_Reference[[#This Row],[C-Flex 3000K 3W Part Number]:[C-Flex 4000K 3W Part Number]])=3,FALSE,TRUE)</f>
        <v>0</v>
      </c>
      <c r="T822" t="b">
        <f>IF(COUNTBLANK(Master_Reference[[#This Row],[Lutron 3000K Eco Part Number]:[Lutron 4000K Eco Part Number]])=3,FALSE,TRUE)</f>
        <v>0</v>
      </c>
      <c r="U822" t="b">
        <f>IF(COUNTBLANK(Master_Reference[[#This Row],[Lutron 3000K 3W Part Number]:[Lutron 4000K 3W Part Number]])=3,FALSE,TRUE)</f>
        <v>0</v>
      </c>
      <c r="V822" s="12"/>
      <c r="W822" s="12"/>
      <c r="X822" s="12"/>
      <c r="Y822" t="s">
        <v>2125</v>
      </c>
      <c r="Z822" s="12"/>
      <c r="AA822" s="12"/>
      <c r="AB822" s="12"/>
      <c r="AC822" t="s">
        <v>2125</v>
      </c>
      <c r="AD822" t="str">
        <f>SUBSTITUTE(Master_Reference[[#This Row],[C-Flex 4000K Eco Part Number]],"40-","xx-")</f>
        <v/>
      </c>
      <c r="AE822" t="str">
        <f>SUBSTITUTE(Master_Reference[[#This Row],[C-Flex 4000K 3W Part Number]],"40-","xx-")</f>
        <v/>
      </c>
      <c r="AF822" s="1" t="str">
        <f>_xlfn.IFNA(VLOOKUP(Master_Reference[[#This Row],[C-Flex 3000K Eco Part Number]],Lutron_CFlex_Lookup[],MATCH("Lutron Kit PN",Lutron_CFlex_Lookup[#Headers],0),FALSE),"")</f>
        <v/>
      </c>
      <c r="AG822" s="1" t="str">
        <f>_xlfn.IFNA(VLOOKUP(Master_Reference[[#This Row],[C-Flex 3500K Eco Part Number]],Lutron_CFlex_Lookup[],MATCH("Lutron Kit PN",Lutron_CFlex_Lookup[#Headers],0),FALSE),"")</f>
        <v/>
      </c>
      <c r="AH822" s="1" t="str">
        <f>_xlfn.IFNA(VLOOKUP(Master_Reference[[#This Row],[C-Flex 4000K Eco Part Number]],Lutron_CFlex_Lookup[],MATCH("Lutron Kit PN",Lutron_CFlex_Lookup[#Headers],0),FALSE),"")</f>
        <v/>
      </c>
      <c r="AI822" s="1" t="str">
        <f>_xlfn.IFNA(VLOOKUP(Master_Reference[[#This Row],[C-Flex 5000K Eco Part Number]],Lutron_CFlex_Lookup[],MATCH("Lutron Kit PN",Lutron_CFlex_Lookup[#Headers],0),FALSE),"")</f>
        <v/>
      </c>
      <c r="AJ822" s="1" t="str">
        <f>_xlfn.IFNA(VLOOKUP(Master_Reference[[#This Row],[C-Flex 3000K 3W Part Number]],Lutron_CFlex_Lookup[],MATCH("Lutron Kit PN",Lutron_CFlex_Lookup[#Headers],0),FALSE),"")</f>
        <v/>
      </c>
      <c r="AK822" s="1" t="str">
        <f>_xlfn.IFNA(VLOOKUP(Master_Reference[[#This Row],[C-Flex 3500K 3W Part Number]],Lutron_CFlex_Lookup[],MATCH("Lutron Kit PN",Lutron_CFlex_Lookup[#Headers],0),FALSE),"")</f>
        <v/>
      </c>
      <c r="AL822" s="1" t="str">
        <f>_xlfn.IFNA(VLOOKUP(Master_Reference[[#This Row],[C-Flex 4000K 3W Part Number]],Lutron_CFlex_Lookup[],MATCH("Lutron Kit PN",Lutron_CFlex_Lookup[#Headers],0),FALSE),"")</f>
        <v/>
      </c>
      <c r="AM822" s="1" t="str">
        <f>_xlfn.IFNA(VLOOKUP(Master_Reference[[#This Row],[C-Flex 5000K 3W Part Number]],Lutron_CFlex_Lookup[],MATCH("Lutron Kit PN",Lutron_CFlex_Lookup[#Headers],0),FALSE),"")</f>
        <v/>
      </c>
      <c r="AN822" s="1" t="b">
        <f>NOT(ISNA(VLOOKUP(Master_Reference[[#This Row],[Model Number]],ObsoleteModels[],1,FALSE)))</f>
        <v>1</v>
      </c>
      <c r="AO822" s="1" t="str">
        <f>IF(LEFT(Master_Reference[[#This Row],[Model Number]],1)="U",LEFT(Master_Reference[[#This Row],[Model Number]],4),LEFT(Master_Reference[[#This Row],[Model Number]],3))</f>
        <v>H3D</v>
      </c>
    </row>
    <row r="823" spans="1:41" x14ac:dyDescent="0.25">
      <c r="A823" s="2" t="s">
        <v>1124</v>
      </c>
      <c r="B823" s="1" t="b">
        <v>1</v>
      </c>
      <c r="C823" s="1" t="b">
        <v>1</v>
      </c>
      <c r="G823" s="1" t="b">
        <v>1</v>
      </c>
      <c r="H823" s="1" t="str">
        <f>IF(LEFT(Master_Reference[[#This Row],[Model Number]],1)="U",TRUE,"")</f>
        <v/>
      </c>
      <c r="I823" s="1" t="b">
        <f>IF(Master_Reference[[#This Row],[Lamp Type]]="T4","",IF(Master_Reference[[#This Row],[Case Type]]="M","",TRUE))</f>
        <v>1</v>
      </c>
      <c r="J823" s="1" t="str">
        <f t="shared" si="12"/>
        <v>T8</v>
      </c>
      <c r="K823" s="1">
        <v>17</v>
      </c>
      <c r="L823" s="1" t="s">
        <v>112</v>
      </c>
      <c r="M823" s="1">
        <v>2</v>
      </c>
      <c r="N823" s="1" t="s">
        <v>149</v>
      </c>
      <c r="O823" s="1" t="s">
        <v>113</v>
      </c>
      <c r="R823" t="b">
        <f>IF(COUNTBLANK(Master_Reference[[#This Row],[C-Flex 3000K Eco Part Number]:[C-Flex 4000K Eco Part Number]])=3,FALSE,TRUE)</f>
        <v>1</v>
      </c>
      <c r="S823" t="b">
        <f>IF(COUNTBLANK(Master_Reference[[#This Row],[C-Flex 3000K 3W Part Number]:[C-Flex 4000K 3W Part Number]])=3,FALSE,TRUE)</f>
        <v>1</v>
      </c>
      <c r="T823" t="b">
        <f>IF(COUNTBLANK(Master_Reference[[#This Row],[Lutron 3000K Eco Part Number]:[Lutron 4000K Eco Part Number]])=3,FALSE,TRUE)</f>
        <v>1</v>
      </c>
      <c r="U823" t="b">
        <f>IF(COUNTBLANK(Master_Reference[[#This Row],[Lutron 3000K 3W Part Number]:[Lutron 4000K 3W Part Number]])=3,FALSE,TRUE)</f>
        <v>1</v>
      </c>
      <c r="V823" s="12" t="s">
        <v>466</v>
      </c>
      <c r="W823" s="12" t="s">
        <v>467</v>
      </c>
      <c r="X823" s="12" t="s">
        <v>468</v>
      </c>
      <c r="Y823" t="s">
        <v>1736</v>
      </c>
      <c r="Z823" s="12" t="s">
        <v>244</v>
      </c>
      <c r="AA823" s="12" t="s">
        <v>245</v>
      </c>
      <c r="AB823" s="12" t="s">
        <v>246</v>
      </c>
      <c r="AC823" t="s">
        <v>1824</v>
      </c>
      <c r="AD823" t="str">
        <f>SUBSTITUTE(Master_Reference[[#This Row],[C-Flex 4000K Eco Part Number]],"40-","xx-")</f>
        <v>RP-T8-2FT-2L-8xx-E1-M-G2</v>
      </c>
      <c r="AE823" t="str">
        <f>SUBSTITUTE(Master_Reference[[#This Row],[C-Flex 4000K 3W Part Number]],"40-","xx-")</f>
        <v>RP-T8-2FT-2L-8xx-3W-M-G2</v>
      </c>
      <c r="AF823" s="1" t="str">
        <f>_xlfn.IFNA(VLOOKUP(Master_Reference[[#This Row],[C-Flex 3000K Eco Part Number]],Lutron_CFlex_Lookup[],MATCH("Lutron Kit PN",Lutron_CFlex_Lookup[#Headers],0),FALSE),"")</f>
        <v>ELD2T8-2M30-q</v>
      </c>
      <c r="AG823" s="1" t="str">
        <f>_xlfn.IFNA(VLOOKUP(Master_Reference[[#This Row],[C-Flex 3500K Eco Part Number]],Lutron_CFlex_Lookup[],MATCH("Lutron Kit PN",Lutron_CFlex_Lookup[#Headers],0),FALSE),"")</f>
        <v>ELD2T8-2M35-q</v>
      </c>
      <c r="AH823" s="1" t="str">
        <f>_xlfn.IFNA(VLOOKUP(Master_Reference[[#This Row],[C-Flex 4000K Eco Part Number]],Lutron_CFlex_Lookup[],MATCH("Lutron Kit PN",Lutron_CFlex_Lookup[#Headers],0),FALSE),"")</f>
        <v>ELD2T8-2M40-q</v>
      </c>
      <c r="AI823" s="1" t="str">
        <f>_xlfn.IFNA(VLOOKUP(Master_Reference[[#This Row],[C-Flex 5000K Eco Part Number]],Lutron_CFlex_Lookup[],MATCH("Lutron Kit PN",Lutron_CFlex_Lookup[#Headers],0),FALSE),"")</f>
        <v>ELD2T8-2M50-q</v>
      </c>
      <c r="AJ823" s="1" t="str">
        <f>_xlfn.IFNA(VLOOKUP(Master_Reference[[#This Row],[C-Flex 3000K 3W Part Number]],Lutron_CFlex_Lookup[],MATCH("Lutron Kit PN",Lutron_CFlex_Lookup[#Headers],0),FALSE),"")</f>
        <v>3LD2T8-2M30-q</v>
      </c>
      <c r="AK823" s="1" t="str">
        <f>_xlfn.IFNA(VLOOKUP(Master_Reference[[#This Row],[C-Flex 3500K 3W Part Number]],Lutron_CFlex_Lookup[],MATCH("Lutron Kit PN",Lutron_CFlex_Lookup[#Headers],0),FALSE),"")</f>
        <v>3LD2T8-2M35-q</v>
      </c>
      <c r="AL823" s="1" t="str">
        <f>_xlfn.IFNA(VLOOKUP(Master_Reference[[#This Row],[C-Flex 4000K 3W Part Number]],Lutron_CFlex_Lookup[],MATCH("Lutron Kit PN",Lutron_CFlex_Lookup[#Headers],0),FALSE),"")</f>
        <v>3LD2T8-2M40-q</v>
      </c>
      <c r="AM823" s="1" t="str">
        <f>_xlfn.IFNA(VLOOKUP(Master_Reference[[#This Row],[C-Flex 5000K 3W Part Number]],Lutron_CFlex_Lookup[],MATCH("Lutron Kit PN",Lutron_CFlex_Lookup[#Headers],0),FALSE),"")</f>
        <v>3LD2T8-2M50-q</v>
      </c>
      <c r="AN823" s="1" t="b">
        <f>NOT(ISNA(VLOOKUP(Master_Reference[[#This Row],[Model Number]],ObsoleteModels[],1,FALSE)))</f>
        <v>1</v>
      </c>
      <c r="AO823" s="1" t="str">
        <f>IF(LEFT(Master_Reference[[#This Row],[Model Number]],1)="U",LEFT(Master_Reference[[#This Row],[Model Number]],4),LEFT(Master_Reference[[#This Row],[Model Number]],3))</f>
        <v>H3D</v>
      </c>
    </row>
    <row r="824" spans="1:41" x14ac:dyDescent="0.25">
      <c r="A824" s="2" t="s">
        <v>1125</v>
      </c>
      <c r="B824" s="1" t="b">
        <v>1</v>
      </c>
      <c r="C824" s="1" t="b">
        <v>1</v>
      </c>
      <c r="G824" s="1" t="b">
        <f>IF(OR(LEFT(RIGHT(Master_Reference[[#This Row],[Model Number]],3),1)="C",LEFT(RIGHT(Master_Reference[[#This Row],[Model Number]],4),1)="C"),TRUE,"")</f>
        <v>1</v>
      </c>
      <c r="H824" s="1" t="str">
        <f>IF(LEFT(Master_Reference[[#This Row],[Model Number]],1)="U",TRUE,"")</f>
        <v/>
      </c>
      <c r="I824" s="1" t="b">
        <f>IF(Master_Reference[[#This Row],[Lamp Type]]="T4","",IF(Master_Reference[[#This Row],[Case Type]]="M","",TRUE))</f>
        <v>1</v>
      </c>
      <c r="J824" s="1" t="str">
        <f t="shared" si="12"/>
        <v>T8</v>
      </c>
      <c r="K824" s="1">
        <v>17</v>
      </c>
      <c r="L824" s="1" t="s">
        <v>112</v>
      </c>
      <c r="M824" s="1">
        <v>2</v>
      </c>
      <c r="N824" s="1" t="s">
        <v>149</v>
      </c>
      <c r="O824" s="1" t="s">
        <v>113</v>
      </c>
      <c r="R824" t="b">
        <f>IF(COUNTBLANK(Master_Reference[[#This Row],[C-Flex 3000K Eco Part Number]:[C-Flex 4000K Eco Part Number]])=3,FALSE,TRUE)</f>
        <v>1</v>
      </c>
      <c r="S824" t="b">
        <f>IF(COUNTBLANK(Master_Reference[[#This Row],[C-Flex 3000K 3W Part Number]:[C-Flex 4000K 3W Part Number]])=3,FALSE,TRUE)</f>
        <v>1</v>
      </c>
      <c r="T824" t="b">
        <f>IF(COUNTBLANK(Master_Reference[[#This Row],[Lutron 3000K Eco Part Number]:[Lutron 4000K Eco Part Number]])=3,FALSE,TRUE)</f>
        <v>1</v>
      </c>
      <c r="U824" t="b">
        <f>IF(COUNTBLANK(Master_Reference[[#This Row],[Lutron 3000K 3W Part Number]:[Lutron 4000K 3W Part Number]])=3,FALSE,TRUE)</f>
        <v>1</v>
      </c>
      <c r="V824" s="12" t="s">
        <v>466</v>
      </c>
      <c r="W824" s="12" t="s">
        <v>467</v>
      </c>
      <c r="X824" s="12" t="s">
        <v>468</v>
      </c>
      <c r="Y824" t="s">
        <v>1736</v>
      </c>
      <c r="Z824" s="12" t="s">
        <v>244</v>
      </c>
      <c r="AA824" s="12" t="s">
        <v>245</v>
      </c>
      <c r="AB824" s="12" t="s">
        <v>246</v>
      </c>
      <c r="AC824" t="s">
        <v>1824</v>
      </c>
      <c r="AD824" t="str">
        <f>SUBSTITUTE(Master_Reference[[#This Row],[C-Flex 4000K Eco Part Number]],"40-","xx-")</f>
        <v>RP-T8-2FT-2L-8xx-E1-M-G2</v>
      </c>
      <c r="AE824" t="str">
        <f>SUBSTITUTE(Master_Reference[[#This Row],[C-Flex 4000K 3W Part Number]],"40-","xx-")</f>
        <v>RP-T8-2FT-2L-8xx-3W-M-G2</v>
      </c>
      <c r="AF824" s="1" t="str">
        <f>_xlfn.IFNA(VLOOKUP(Master_Reference[[#This Row],[C-Flex 3000K Eco Part Number]],Lutron_CFlex_Lookup[],MATCH("Lutron Kit PN",Lutron_CFlex_Lookup[#Headers],0),FALSE),"")</f>
        <v>ELD2T8-2M30-q</v>
      </c>
      <c r="AG824" s="1" t="str">
        <f>_xlfn.IFNA(VLOOKUP(Master_Reference[[#This Row],[C-Flex 3500K Eco Part Number]],Lutron_CFlex_Lookup[],MATCH("Lutron Kit PN",Lutron_CFlex_Lookup[#Headers],0),FALSE),"")</f>
        <v>ELD2T8-2M35-q</v>
      </c>
      <c r="AH824" s="1" t="str">
        <f>_xlfn.IFNA(VLOOKUP(Master_Reference[[#This Row],[C-Flex 4000K Eco Part Number]],Lutron_CFlex_Lookup[],MATCH("Lutron Kit PN",Lutron_CFlex_Lookup[#Headers],0),FALSE),"")</f>
        <v>ELD2T8-2M40-q</v>
      </c>
      <c r="AI824" s="1" t="str">
        <f>_xlfn.IFNA(VLOOKUP(Master_Reference[[#This Row],[C-Flex 5000K Eco Part Number]],Lutron_CFlex_Lookup[],MATCH("Lutron Kit PN",Lutron_CFlex_Lookup[#Headers],0),FALSE),"")</f>
        <v>ELD2T8-2M50-q</v>
      </c>
      <c r="AJ824" s="1" t="str">
        <f>_xlfn.IFNA(VLOOKUP(Master_Reference[[#This Row],[C-Flex 3000K 3W Part Number]],Lutron_CFlex_Lookup[],MATCH("Lutron Kit PN",Lutron_CFlex_Lookup[#Headers],0),FALSE),"")</f>
        <v>3LD2T8-2M30-q</v>
      </c>
      <c r="AK824" s="1" t="str">
        <f>_xlfn.IFNA(VLOOKUP(Master_Reference[[#This Row],[C-Flex 3500K 3W Part Number]],Lutron_CFlex_Lookup[],MATCH("Lutron Kit PN",Lutron_CFlex_Lookup[#Headers],0),FALSE),"")</f>
        <v>3LD2T8-2M35-q</v>
      </c>
      <c r="AL824" s="1" t="str">
        <f>_xlfn.IFNA(VLOOKUP(Master_Reference[[#This Row],[C-Flex 4000K 3W Part Number]],Lutron_CFlex_Lookup[],MATCH("Lutron Kit PN",Lutron_CFlex_Lookup[#Headers],0),FALSE),"")</f>
        <v>3LD2T8-2M40-q</v>
      </c>
      <c r="AM824" s="1" t="str">
        <f>_xlfn.IFNA(VLOOKUP(Master_Reference[[#This Row],[C-Flex 5000K 3W Part Number]],Lutron_CFlex_Lookup[],MATCH("Lutron Kit PN",Lutron_CFlex_Lookup[#Headers],0),FALSE),"")</f>
        <v>3LD2T8-2M50-q</v>
      </c>
      <c r="AN824" s="1" t="b">
        <f>NOT(ISNA(VLOOKUP(Master_Reference[[#This Row],[Model Number]],ObsoleteModels[],1,FALSE)))</f>
        <v>1</v>
      </c>
      <c r="AO824" s="1" t="str">
        <f>IF(LEFT(Master_Reference[[#This Row],[Model Number]],1)="U",LEFT(Master_Reference[[#This Row],[Model Number]],4),LEFT(Master_Reference[[#This Row],[Model Number]],3))</f>
        <v>H3D</v>
      </c>
    </row>
    <row r="825" spans="1:41" x14ac:dyDescent="0.25">
      <c r="A825" s="2" t="s">
        <v>1126</v>
      </c>
      <c r="B825" s="1" t="b">
        <v>1</v>
      </c>
      <c r="C825" s="1" t="b">
        <v>1</v>
      </c>
      <c r="G825" s="1" t="str">
        <f>IF(OR(LEFT(RIGHT(Master_Reference[[#This Row],[Model Number]],3),1)="C",LEFT(RIGHT(Master_Reference[[#This Row],[Model Number]],4),1)="C"),TRUE,"")</f>
        <v/>
      </c>
      <c r="H825" s="1" t="str">
        <f>IF(LEFT(Master_Reference[[#This Row],[Model Number]],1)="U",TRUE,"")</f>
        <v/>
      </c>
      <c r="I825" s="1" t="b">
        <f>IF(Master_Reference[[#This Row],[Lamp Type]]="T4","",IF(Master_Reference[[#This Row],[Case Type]]="M","",TRUE))</f>
        <v>1</v>
      </c>
      <c r="J825" s="1" t="str">
        <f t="shared" si="12"/>
        <v>T8</v>
      </c>
      <c r="K825" s="1">
        <v>17</v>
      </c>
      <c r="L825" s="1" t="s">
        <v>112</v>
      </c>
      <c r="M825" s="1">
        <v>1</v>
      </c>
      <c r="N825" s="1" t="s">
        <v>149</v>
      </c>
      <c r="O825" s="1" t="s">
        <v>113</v>
      </c>
      <c r="R825" t="b">
        <f>IF(COUNTBLANK(Master_Reference[[#This Row],[C-Flex 3000K Eco Part Number]:[C-Flex 4000K Eco Part Number]])=3,FALSE,TRUE)</f>
        <v>1</v>
      </c>
      <c r="S825" t="b">
        <f>IF(COUNTBLANK(Master_Reference[[#This Row],[C-Flex 3000K 3W Part Number]:[C-Flex 4000K 3W Part Number]])=3,FALSE,TRUE)</f>
        <v>1</v>
      </c>
      <c r="T825" t="b">
        <f>IF(COUNTBLANK(Master_Reference[[#This Row],[Lutron 3000K Eco Part Number]:[Lutron 4000K Eco Part Number]])=3,FALSE,TRUE)</f>
        <v>1</v>
      </c>
      <c r="U825" t="b">
        <f>IF(COUNTBLANK(Master_Reference[[#This Row],[Lutron 3000K 3W Part Number]:[Lutron 4000K 3W Part Number]])=3,FALSE,TRUE)</f>
        <v>1</v>
      </c>
      <c r="V825" s="12" t="s">
        <v>462</v>
      </c>
      <c r="W825" s="12" t="s">
        <v>463</v>
      </c>
      <c r="X825" s="12" t="s">
        <v>464</v>
      </c>
      <c r="Y825" t="s">
        <v>1735</v>
      </c>
      <c r="Z825" s="12" t="s">
        <v>240</v>
      </c>
      <c r="AA825" s="12" t="s">
        <v>241</v>
      </c>
      <c r="AB825" s="12" t="s">
        <v>242</v>
      </c>
      <c r="AC825" t="s">
        <v>1823</v>
      </c>
      <c r="AD825" t="str">
        <f>SUBSTITUTE(Master_Reference[[#This Row],[C-Flex 4000K Eco Part Number]],"40-","xx-")</f>
        <v>RP-T8-2FT-1L-8xx-E1-M-G2</v>
      </c>
      <c r="AE825" t="str">
        <f>SUBSTITUTE(Master_Reference[[#This Row],[C-Flex 4000K 3W Part Number]],"40-","xx-")</f>
        <v>RP-T8-2FT-1L-8xx-3W-M-G2</v>
      </c>
      <c r="AF825" s="1" t="str">
        <f>_xlfn.IFNA(VLOOKUP(Master_Reference[[#This Row],[C-Flex 3000K Eco Part Number]],Lutron_CFlex_Lookup[],MATCH("Lutron Kit PN",Lutron_CFlex_Lookup[#Headers],0),FALSE),"")</f>
        <v>ELD2T8-1M30-q</v>
      </c>
      <c r="AG825" s="1" t="str">
        <f>_xlfn.IFNA(VLOOKUP(Master_Reference[[#This Row],[C-Flex 3500K Eco Part Number]],Lutron_CFlex_Lookup[],MATCH("Lutron Kit PN",Lutron_CFlex_Lookup[#Headers],0),FALSE),"")</f>
        <v>ELD2T8-1M35-q</v>
      </c>
      <c r="AH825" s="1" t="str">
        <f>_xlfn.IFNA(VLOOKUP(Master_Reference[[#This Row],[C-Flex 4000K Eco Part Number]],Lutron_CFlex_Lookup[],MATCH("Lutron Kit PN",Lutron_CFlex_Lookup[#Headers],0),FALSE),"")</f>
        <v>ELD2T8-1M40-q</v>
      </c>
      <c r="AI825" s="1" t="str">
        <f>_xlfn.IFNA(VLOOKUP(Master_Reference[[#This Row],[C-Flex 5000K Eco Part Number]],Lutron_CFlex_Lookup[],MATCH("Lutron Kit PN",Lutron_CFlex_Lookup[#Headers],0),FALSE),"")</f>
        <v>ELD2T8-1M50-q</v>
      </c>
      <c r="AJ825" s="1" t="str">
        <f>_xlfn.IFNA(VLOOKUP(Master_Reference[[#This Row],[C-Flex 3000K 3W Part Number]],Lutron_CFlex_Lookup[],MATCH("Lutron Kit PN",Lutron_CFlex_Lookup[#Headers],0),FALSE),"")</f>
        <v>3LD2T8-1M30-q</v>
      </c>
      <c r="AK825" s="1" t="str">
        <f>_xlfn.IFNA(VLOOKUP(Master_Reference[[#This Row],[C-Flex 3500K 3W Part Number]],Lutron_CFlex_Lookup[],MATCH("Lutron Kit PN",Lutron_CFlex_Lookup[#Headers],0),FALSE),"")</f>
        <v>3LD2T8-1M35-q</v>
      </c>
      <c r="AL825" s="1" t="str">
        <f>_xlfn.IFNA(VLOOKUP(Master_Reference[[#This Row],[C-Flex 4000K 3W Part Number]],Lutron_CFlex_Lookup[],MATCH("Lutron Kit PN",Lutron_CFlex_Lookup[#Headers],0),FALSE),"")</f>
        <v>3LD2T8-1M40-q</v>
      </c>
      <c r="AM825" s="1" t="str">
        <f>_xlfn.IFNA(VLOOKUP(Master_Reference[[#This Row],[C-Flex 5000K 3W Part Number]],Lutron_CFlex_Lookup[],MATCH("Lutron Kit PN",Lutron_CFlex_Lookup[#Headers],0),FALSE),"")</f>
        <v>3LD2T8-1M50-q</v>
      </c>
      <c r="AN825" s="1" t="b">
        <f>NOT(ISNA(VLOOKUP(Master_Reference[[#This Row],[Model Number]],ObsoleteModels[],1,FALSE)))</f>
        <v>1</v>
      </c>
      <c r="AO825" s="1" t="str">
        <f>IF(LEFT(Master_Reference[[#This Row],[Model Number]],1)="U",LEFT(Master_Reference[[#This Row],[Model Number]],4),LEFT(Master_Reference[[#This Row],[Model Number]],3))</f>
        <v>H3D</v>
      </c>
    </row>
    <row r="826" spans="1:41" x14ac:dyDescent="0.25">
      <c r="A826" s="2" t="s">
        <v>1127</v>
      </c>
      <c r="B826" s="1" t="b">
        <v>1</v>
      </c>
      <c r="C826" s="1" t="b">
        <v>1</v>
      </c>
      <c r="G826" s="1" t="b">
        <v>1</v>
      </c>
      <c r="H826" s="1" t="str">
        <f>IF(LEFT(Master_Reference[[#This Row],[Model Number]],1)="U",TRUE,"")</f>
        <v/>
      </c>
      <c r="I826" s="1" t="b">
        <f>IF(Master_Reference[[#This Row],[Lamp Type]]="T4","",IF(Master_Reference[[#This Row],[Case Type]]="M","",TRUE))</f>
        <v>1</v>
      </c>
      <c r="J826" s="1" t="str">
        <f t="shared" si="12"/>
        <v>T8</v>
      </c>
      <c r="K826" s="1">
        <v>17</v>
      </c>
      <c r="L826" s="1" t="s">
        <v>112</v>
      </c>
      <c r="M826" s="1">
        <v>1</v>
      </c>
      <c r="N826" s="1" t="s">
        <v>149</v>
      </c>
      <c r="O826" s="1" t="s">
        <v>113</v>
      </c>
      <c r="R826" t="b">
        <f>IF(COUNTBLANK(Master_Reference[[#This Row],[C-Flex 3000K Eco Part Number]:[C-Flex 4000K Eco Part Number]])=3,FALSE,TRUE)</f>
        <v>1</v>
      </c>
      <c r="S826" t="b">
        <f>IF(COUNTBLANK(Master_Reference[[#This Row],[C-Flex 3000K 3W Part Number]:[C-Flex 4000K 3W Part Number]])=3,FALSE,TRUE)</f>
        <v>1</v>
      </c>
      <c r="T826" t="b">
        <f>IF(COUNTBLANK(Master_Reference[[#This Row],[Lutron 3000K Eco Part Number]:[Lutron 4000K Eco Part Number]])=3,FALSE,TRUE)</f>
        <v>1</v>
      </c>
      <c r="U826" t="b">
        <f>IF(COUNTBLANK(Master_Reference[[#This Row],[Lutron 3000K 3W Part Number]:[Lutron 4000K 3W Part Number]])=3,FALSE,TRUE)</f>
        <v>1</v>
      </c>
      <c r="V826" s="12" t="s">
        <v>462</v>
      </c>
      <c r="W826" s="12" t="s">
        <v>463</v>
      </c>
      <c r="X826" s="12" t="s">
        <v>464</v>
      </c>
      <c r="Y826" t="s">
        <v>1735</v>
      </c>
      <c r="Z826" s="12" t="s">
        <v>240</v>
      </c>
      <c r="AA826" s="12" t="s">
        <v>241</v>
      </c>
      <c r="AB826" s="12" t="s">
        <v>242</v>
      </c>
      <c r="AC826" t="s">
        <v>1823</v>
      </c>
      <c r="AD826" t="str">
        <f>SUBSTITUTE(Master_Reference[[#This Row],[C-Flex 4000K Eco Part Number]],"40-","xx-")</f>
        <v>RP-T8-2FT-1L-8xx-E1-M-G2</v>
      </c>
      <c r="AE826" t="str">
        <f>SUBSTITUTE(Master_Reference[[#This Row],[C-Flex 4000K 3W Part Number]],"40-","xx-")</f>
        <v>RP-T8-2FT-1L-8xx-3W-M-G2</v>
      </c>
      <c r="AF826" s="1" t="str">
        <f>_xlfn.IFNA(VLOOKUP(Master_Reference[[#This Row],[C-Flex 3000K Eco Part Number]],Lutron_CFlex_Lookup[],MATCH("Lutron Kit PN",Lutron_CFlex_Lookup[#Headers],0),FALSE),"")</f>
        <v>ELD2T8-1M30-q</v>
      </c>
      <c r="AG826" s="1" t="str">
        <f>_xlfn.IFNA(VLOOKUP(Master_Reference[[#This Row],[C-Flex 3500K Eco Part Number]],Lutron_CFlex_Lookup[],MATCH("Lutron Kit PN",Lutron_CFlex_Lookup[#Headers],0),FALSE),"")</f>
        <v>ELD2T8-1M35-q</v>
      </c>
      <c r="AH826" s="1" t="str">
        <f>_xlfn.IFNA(VLOOKUP(Master_Reference[[#This Row],[C-Flex 4000K Eco Part Number]],Lutron_CFlex_Lookup[],MATCH("Lutron Kit PN",Lutron_CFlex_Lookup[#Headers],0),FALSE),"")</f>
        <v>ELD2T8-1M40-q</v>
      </c>
      <c r="AI826" s="1" t="str">
        <f>_xlfn.IFNA(VLOOKUP(Master_Reference[[#This Row],[C-Flex 5000K Eco Part Number]],Lutron_CFlex_Lookup[],MATCH("Lutron Kit PN",Lutron_CFlex_Lookup[#Headers],0),FALSE),"")</f>
        <v>ELD2T8-1M50-q</v>
      </c>
      <c r="AJ826" s="1" t="str">
        <f>_xlfn.IFNA(VLOOKUP(Master_Reference[[#This Row],[C-Flex 3000K 3W Part Number]],Lutron_CFlex_Lookup[],MATCH("Lutron Kit PN",Lutron_CFlex_Lookup[#Headers],0),FALSE),"")</f>
        <v>3LD2T8-1M30-q</v>
      </c>
      <c r="AK826" s="1" t="str">
        <f>_xlfn.IFNA(VLOOKUP(Master_Reference[[#This Row],[C-Flex 3500K 3W Part Number]],Lutron_CFlex_Lookup[],MATCH("Lutron Kit PN",Lutron_CFlex_Lookup[#Headers],0),FALSE),"")</f>
        <v>3LD2T8-1M35-q</v>
      </c>
      <c r="AL826" s="1" t="str">
        <f>_xlfn.IFNA(VLOOKUP(Master_Reference[[#This Row],[C-Flex 4000K 3W Part Number]],Lutron_CFlex_Lookup[],MATCH("Lutron Kit PN",Lutron_CFlex_Lookup[#Headers],0),FALSE),"")</f>
        <v>3LD2T8-1M40-q</v>
      </c>
      <c r="AM826" s="1" t="str">
        <f>_xlfn.IFNA(VLOOKUP(Master_Reference[[#This Row],[C-Flex 5000K 3W Part Number]],Lutron_CFlex_Lookup[],MATCH("Lutron Kit PN",Lutron_CFlex_Lookup[#Headers],0),FALSE),"")</f>
        <v>3LD2T8-1M50-q</v>
      </c>
      <c r="AN826" s="1" t="b">
        <f>NOT(ISNA(VLOOKUP(Master_Reference[[#This Row],[Model Number]],ObsoleteModels[],1,FALSE)))</f>
        <v>1</v>
      </c>
      <c r="AO826" s="1" t="str">
        <f>IF(LEFT(Master_Reference[[#This Row],[Model Number]],1)="U",LEFT(Master_Reference[[#This Row],[Model Number]],4),LEFT(Master_Reference[[#This Row],[Model Number]],3))</f>
        <v>H3D</v>
      </c>
    </row>
    <row r="827" spans="1:41" x14ac:dyDescent="0.25">
      <c r="A827" s="2" t="s">
        <v>1128</v>
      </c>
      <c r="B827" s="1" t="b">
        <v>1</v>
      </c>
      <c r="C827" s="1" t="b">
        <v>1</v>
      </c>
      <c r="G827" s="1" t="str">
        <f>IF(OR(LEFT(RIGHT(Master_Reference[[#This Row],[Model Number]],3),1)="C",LEFT(RIGHT(Master_Reference[[#This Row],[Model Number]],4),1)="C"),TRUE,"")</f>
        <v/>
      </c>
      <c r="H827" s="1" t="str">
        <f>IF(LEFT(Master_Reference[[#This Row],[Model Number]],1)="U",TRUE,"")</f>
        <v/>
      </c>
      <c r="I827" s="1" t="b">
        <f>IF(Master_Reference[[#This Row],[Lamp Type]]="T4","",IF(Master_Reference[[#This Row],[Case Type]]="M","",TRUE))</f>
        <v>1</v>
      </c>
      <c r="J827" s="1" t="str">
        <f t="shared" si="12"/>
        <v>T8</v>
      </c>
      <c r="K827" s="1">
        <v>17</v>
      </c>
      <c r="L827" s="1" t="s">
        <v>112</v>
      </c>
      <c r="M827" s="1">
        <v>2</v>
      </c>
      <c r="N827" s="1" t="s">
        <v>149</v>
      </c>
      <c r="O827" s="1" t="s">
        <v>113</v>
      </c>
      <c r="R827" t="b">
        <f>IF(COUNTBLANK(Master_Reference[[#This Row],[C-Flex 3000K Eco Part Number]:[C-Flex 4000K Eco Part Number]])=3,FALSE,TRUE)</f>
        <v>1</v>
      </c>
      <c r="S827" t="b">
        <f>IF(COUNTBLANK(Master_Reference[[#This Row],[C-Flex 3000K 3W Part Number]:[C-Flex 4000K 3W Part Number]])=3,FALSE,TRUE)</f>
        <v>1</v>
      </c>
      <c r="T827" t="b">
        <f>IF(COUNTBLANK(Master_Reference[[#This Row],[Lutron 3000K Eco Part Number]:[Lutron 4000K Eco Part Number]])=3,FALSE,TRUE)</f>
        <v>1</v>
      </c>
      <c r="U827" t="b">
        <f>IF(COUNTBLANK(Master_Reference[[#This Row],[Lutron 3000K 3W Part Number]:[Lutron 4000K 3W Part Number]])=3,FALSE,TRUE)</f>
        <v>1</v>
      </c>
      <c r="V827" s="12" t="s">
        <v>466</v>
      </c>
      <c r="W827" s="12" t="s">
        <v>467</v>
      </c>
      <c r="X827" s="12" t="s">
        <v>468</v>
      </c>
      <c r="Y827" t="s">
        <v>1736</v>
      </c>
      <c r="Z827" s="12" t="s">
        <v>244</v>
      </c>
      <c r="AA827" s="12" t="s">
        <v>245</v>
      </c>
      <c r="AB827" s="12" t="s">
        <v>246</v>
      </c>
      <c r="AC827" t="s">
        <v>1824</v>
      </c>
      <c r="AD827" t="str">
        <f>SUBSTITUTE(Master_Reference[[#This Row],[C-Flex 4000K Eco Part Number]],"40-","xx-")</f>
        <v>RP-T8-2FT-2L-8xx-E1-M-G2</v>
      </c>
      <c r="AE827" t="str">
        <f>SUBSTITUTE(Master_Reference[[#This Row],[C-Flex 4000K 3W Part Number]],"40-","xx-")</f>
        <v>RP-T8-2FT-2L-8xx-3W-M-G2</v>
      </c>
      <c r="AF827" s="1" t="str">
        <f>_xlfn.IFNA(VLOOKUP(Master_Reference[[#This Row],[C-Flex 3000K Eco Part Number]],Lutron_CFlex_Lookup[],MATCH("Lutron Kit PN",Lutron_CFlex_Lookup[#Headers],0),FALSE),"")</f>
        <v>ELD2T8-2M30-q</v>
      </c>
      <c r="AG827" s="1" t="str">
        <f>_xlfn.IFNA(VLOOKUP(Master_Reference[[#This Row],[C-Flex 3500K Eco Part Number]],Lutron_CFlex_Lookup[],MATCH("Lutron Kit PN",Lutron_CFlex_Lookup[#Headers],0),FALSE),"")</f>
        <v>ELD2T8-2M35-q</v>
      </c>
      <c r="AH827" s="1" t="str">
        <f>_xlfn.IFNA(VLOOKUP(Master_Reference[[#This Row],[C-Flex 4000K Eco Part Number]],Lutron_CFlex_Lookup[],MATCH("Lutron Kit PN",Lutron_CFlex_Lookup[#Headers],0),FALSE),"")</f>
        <v>ELD2T8-2M40-q</v>
      </c>
      <c r="AI827" s="1" t="str">
        <f>_xlfn.IFNA(VLOOKUP(Master_Reference[[#This Row],[C-Flex 5000K Eco Part Number]],Lutron_CFlex_Lookup[],MATCH("Lutron Kit PN",Lutron_CFlex_Lookup[#Headers],0),FALSE),"")</f>
        <v>ELD2T8-2M50-q</v>
      </c>
      <c r="AJ827" s="1" t="str">
        <f>_xlfn.IFNA(VLOOKUP(Master_Reference[[#This Row],[C-Flex 3000K 3W Part Number]],Lutron_CFlex_Lookup[],MATCH("Lutron Kit PN",Lutron_CFlex_Lookup[#Headers],0),FALSE),"")</f>
        <v>3LD2T8-2M30-q</v>
      </c>
      <c r="AK827" s="1" t="str">
        <f>_xlfn.IFNA(VLOOKUP(Master_Reference[[#This Row],[C-Flex 3500K 3W Part Number]],Lutron_CFlex_Lookup[],MATCH("Lutron Kit PN",Lutron_CFlex_Lookup[#Headers],0),FALSE),"")</f>
        <v>3LD2T8-2M35-q</v>
      </c>
      <c r="AL827" s="1" t="str">
        <f>_xlfn.IFNA(VLOOKUP(Master_Reference[[#This Row],[C-Flex 4000K 3W Part Number]],Lutron_CFlex_Lookup[],MATCH("Lutron Kit PN",Lutron_CFlex_Lookup[#Headers],0),FALSE),"")</f>
        <v>3LD2T8-2M40-q</v>
      </c>
      <c r="AM827" s="1" t="str">
        <f>_xlfn.IFNA(VLOOKUP(Master_Reference[[#This Row],[C-Flex 5000K 3W Part Number]],Lutron_CFlex_Lookup[],MATCH("Lutron Kit PN",Lutron_CFlex_Lookup[#Headers],0),FALSE),"")</f>
        <v>3LD2T8-2M50-q</v>
      </c>
      <c r="AN827" s="1" t="b">
        <f>NOT(ISNA(VLOOKUP(Master_Reference[[#This Row],[Model Number]],ObsoleteModels[],1,FALSE)))</f>
        <v>1</v>
      </c>
      <c r="AO827" s="1" t="str">
        <f>IF(LEFT(Master_Reference[[#This Row],[Model Number]],1)="U",LEFT(Master_Reference[[#This Row],[Model Number]],4),LEFT(Master_Reference[[#This Row],[Model Number]],3))</f>
        <v>H3D</v>
      </c>
    </row>
    <row r="828" spans="1:41" x14ac:dyDescent="0.25">
      <c r="A828" s="2" t="s">
        <v>1129</v>
      </c>
      <c r="B828" s="1" t="b">
        <v>1</v>
      </c>
      <c r="C828" s="1" t="b">
        <v>1</v>
      </c>
      <c r="G828" s="1" t="b">
        <v>1</v>
      </c>
      <c r="H828" s="1" t="str">
        <f>IF(LEFT(Master_Reference[[#This Row],[Model Number]],1)="U",TRUE,"")</f>
        <v/>
      </c>
      <c r="I828" s="1" t="b">
        <f>IF(Master_Reference[[#This Row],[Lamp Type]]="T4","",IF(Master_Reference[[#This Row],[Case Type]]="M","",TRUE))</f>
        <v>1</v>
      </c>
      <c r="J828" s="1" t="str">
        <f t="shared" si="12"/>
        <v>T8</v>
      </c>
      <c r="K828" s="1">
        <v>17</v>
      </c>
      <c r="L828" s="1" t="s">
        <v>112</v>
      </c>
      <c r="M828" s="1">
        <v>2</v>
      </c>
      <c r="N828" s="1" t="s">
        <v>149</v>
      </c>
      <c r="O828" s="1" t="s">
        <v>113</v>
      </c>
      <c r="R828" t="b">
        <f>IF(COUNTBLANK(Master_Reference[[#This Row],[C-Flex 3000K Eco Part Number]:[C-Flex 4000K Eco Part Number]])=3,FALSE,TRUE)</f>
        <v>1</v>
      </c>
      <c r="S828" t="b">
        <f>IF(COUNTBLANK(Master_Reference[[#This Row],[C-Flex 3000K 3W Part Number]:[C-Flex 4000K 3W Part Number]])=3,FALSE,TRUE)</f>
        <v>1</v>
      </c>
      <c r="T828" t="b">
        <f>IF(COUNTBLANK(Master_Reference[[#This Row],[Lutron 3000K Eco Part Number]:[Lutron 4000K Eco Part Number]])=3,FALSE,TRUE)</f>
        <v>1</v>
      </c>
      <c r="U828" t="b">
        <f>IF(COUNTBLANK(Master_Reference[[#This Row],[Lutron 3000K 3W Part Number]:[Lutron 4000K 3W Part Number]])=3,FALSE,TRUE)</f>
        <v>1</v>
      </c>
      <c r="V828" s="12" t="s">
        <v>466</v>
      </c>
      <c r="W828" s="12" t="s">
        <v>467</v>
      </c>
      <c r="X828" s="12" t="s">
        <v>468</v>
      </c>
      <c r="Y828" t="s">
        <v>1736</v>
      </c>
      <c r="Z828" s="12" t="s">
        <v>244</v>
      </c>
      <c r="AA828" s="12" t="s">
        <v>245</v>
      </c>
      <c r="AB828" s="12" t="s">
        <v>246</v>
      </c>
      <c r="AC828" t="s">
        <v>1824</v>
      </c>
      <c r="AD828" t="str">
        <f>SUBSTITUTE(Master_Reference[[#This Row],[C-Flex 4000K Eco Part Number]],"40-","xx-")</f>
        <v>RP-T8-2FT-2L-8xx-E1-M-G2</v>
      </c>
      <c r="AE828" t="str">
        <f>SUBSTITUTE(Master_Reference[[#This Row],[C-Flex 4000K 3W Part Number]],"40-","xx-")</f>
        <v>RP-T8-2FT-2L-8xx-3W-M-G2</v>
      </c>
      <c r="AF828" s="1" t="str">
        <f>_xlfn.IFNA(VLOOKUP(Master_Reference[[#This Row],[C-Flex 3000K Eco Part Number]],Lutron_CFlex_Lookup[],MATCH("Lutron Kit PN",Lutron_CFlex_Lookup[#Headers],0),FALSE),"")</f>
        <v>ELD2T8-2M30-q</v>
      </c>
      <c r="AG828" s="1" t="str">
        <f>_xlfn.IFNA(VLOOKUP(Master_Reference[[#This Row],[C-Flex 3500K Eco Part Number]],Lutron_CFlex_Lookup[],MATCH("Lutron Kit PN",Lutron_CFlex_Lookup[#Headers],0),FALSE),"")</f>
        <v>ELD2T8-2M35-q</v>
      </c>
      <c r="AH828" s="1" t="str">
        <f>_xlfn.IFNA(VLOOKUP(Master_Reference[[#This Row],[C-Flex 4000K Eco Part Number]],Lutron_CFlex_Lookup[],MATCH("Lutron Kit PN",Lutron_CFlex_Lookup[#Headers],0),FALSE),"")</f>
        <v>ELD2T8-2M40-q</v>
      </c>
      <c r="AI828" s="1" t="str">
        <f>_xlfn.IFNA(VLOOKUP(Master_Reference[[#This Row],[C-Flex 5000K Eco Part Number]],Lutron_CFlex_Lookup[],MATCH("Lutron Kit PN",Lutron_CFlex_Lookup[#Headers],0),FALSE),"")</f>
        <v>ELD2T8-2M50-q</v>
      </c>
      <c r="AJ828" s="1" t="str">
        <f>_xlfn.IFNA(VLOOKUP(Master_Reference[[#This Row],[C-Flex 3000K 3W Part Number]],Lutron_CFlex_Lookup[],MATCH("Lutron Kit PN",Lutron_CFlex_Lookup[#Headers],0),FALSE),"")</f>
        <v>3LD2T8-2M30-q</v>
      </c>
      <c r="AK828" s="1" t="str">
        <f>_xlfn.IFNA(VLOOKUP(Master_Reference[[#This Row],[C-Flex 3500K 3W Part Number]],Lutron_CFlex_Lookup[],MATCH("Lutron Kit PN",Lutron_CFlex_Lookup[#Headers],0),FALSE),"")</f>
        <v>3LD2T8-2M35-q</v>
      </c>
      <c r="AL828" s="1" t="str">
        <f>_xlfn.IFNA(VLOOKUP(Master_Reference[[#This Row],[C-Flex 4000K 3W Part Number]],Lutron_CFlex_Lookup[],MATCH("Lutron Kit PN",Lutron_CFlex_Lookup[#Headers],0),FALSE),"")</f>
        <v>3LD2T8-2M40-q</v>
      </c>
      <c r="AM828" s="1" t="str">
        <f>_xlfn.IFNA(VLOOKUP(Master_Reference[[#This Row],[C-Flex 5000K 3W Part Number]],Lutron_CFlex_Lookup[],MATCH("Lutron Kit PN",Lutron_CFlex_Lookup[#Headers],0),FALSE),"")</f>
        <v>3LD2T8-2M50-q</v>
      </c>
      <c r="AN828" s="1" t="b">
        <f>NOT(ISNA(VLOOKUP(Master_Reference[[#This Row],[Model Number]],ObsoleteModels[],1,FALSE)))</f>
        <v>1</v>
      </c>
      <c r="AO828" s="1" t="str">
        <f>IF(LEFT(Master_Reference[[#This Row],[Model Number]],1)="U",LEFT(Master_Reference[[#This Row],[Model Number]],4),LEFT(Master_Reference[[#This Row],[Model Number]],3))</f>
        <v>H3D</v>
      </c>
    </row>
    <row r="829" spans="1:41" x14ac:dyDescent="0.25">
      <c r="A829" s="2" t="s">
        <v>1130</v>
      </c>
      <c r="B829" s="1" t="b">
        <v>1</v>
      </c>
      <c r="C829" s="1" t="b">
        <v>1</v>
      </c>
      <c r="G829" s="1" t="str">
        <f>IF(OR(LEFT(RIGHT(Master_Reference[[#This Row],[Model Number]],3),1)="C",LEFT(RIGHT(Master_Reference[[#This Row],[Model Number]],4),1)="C"),TRUE,"")</f>
        <v/>
      </c>
      <c r="H829" s="1" t="str">
        <f>IF(LEFT(Master_Reference[[#This Row],[Model Number]],1)="U",TRUE,"")</f>
        <v/>
      </c>
      <c r="I829" s="1" t="b">
        <f>IF(Master_Reference[[#This Row],[Lamp Type]]="T4","",IF(Master_Reference[[#This Row],[Case Type]]="M","",TRUE))</f>
        <v>1</v>
      </c>
      <c r="J829" s="1" t="str">
        <f t="shared" si="12"/>
        <v>T8</v>
      </c>
      <c r="K829" s="1">
        <v>17</v>
      </c>
      <c r="L829" s="1" t="s">
        <v>112</v>
      </c>
      <c r="M829" s="1">
        <v>1</v>
      </c>
      <c r="N829" s="1" t="s">
        <v>149</v>
      </c>
      <c r="O829" s="1" t="s">
        <v>217</v>
      </c>
      <c r="R829" t="b">
        <f>IF(COUNTBLANK(Master_Reference[[#This Row],[C-Flex 3000K Eco Part Number]:[C-Flex 4000K Eco Part Number]])=3,FALSE,TRUE)</f>
        <v>1</v>
      </c>
      <c r="S829" t="b">
        <f>IF(COUNTBLANK(Master_Reference[[#This Row],[C-Flex 3000K 3W Part Number]:[C-Flex 4000K 3W Part Number]])=3,FALSE,TRUE)</f>
        <v>1</v>
      </c>
      <c r="T829" t="b">
        <f>IF(COUNTBLANK(Master_Reference[[#This Row],[Lutron 3000K Eco Part Number]:[Lutron 4000K Eco Part Number]])=3,FALSE,TRUE)</f>
        <v>1</v>
      </c>
      <c r="U829" t="b">
        <f>IF(COUNTBLANK(Master_Reference[[#This Row],[Lutron 3000K 3W Part Number]:[Lutron 4000K 3W Part Number]])=3,FALSE,TRUE)</f>
        <v>1</v>
      </c>
      <c r="V829" s="12" t="s">
        <v>462</v>
      </c>
      <c r="W829" s="12" t="s">
        <v>463</v>
      </c>
      <c r="X829" s="12" t="s">
        <v>464</v>
      </c>
      <c r="Y829" t="s">
        <v>1735</v>
      </c>
      <c r="Z829" s="12" t="s">
        <v>240</v>
      </c>
      <c r="AA829" s="12" t="s">
        <v>241</v>
      </c>
      <c r="AB829" s="12" t="s">
        <v>242</v>
      </c>
      <c r="AC829" t="s">
        <v>1823</v>
      </c>
      <c r="AD829" t="str">
        <f>SUBSTITUTE(Master_Reference[[#This Row],[C-Flex 4000K Eco Part Number]],"40-","xx-")</f>
        <v>RP-T8-2FT-1L-8xx-E1-M-G2</v>
      </c>
      <c r="AE829" t="str">
        <f>SUBSTITUTE(Master_Reference[[#This Row],[C-Flex 4000K 3W Part Number]],"40-","xx-")</f>
        <v>RP-T8-2FT-1L-8xx-3W-M-G2</v>
      </c>
      <c r="AF829" s="1" t="str">
        <f>_xlfn.IFNA(VLOOKUP(Master_Reference[[#This Row],[C-Flex 3000K Eco Part Number]],Lutron_CFlex_Lookup[],MATCH("Lutron Kit PN",Lutron_CFlex_Lookup[#Headers],0),FALSE),"")</f>
        <v>ELD2T8-1M30-q</v>
      </c>
      <c r="AG829" s="1" t="str">
        <f>_xlfn.IFNA(VLOOKUP(Master_Reference[[#This Row],[C-Flex 3500K Eco Part Number]],Lutron_CFlex_Lookup[],MATCH("Lutron Kit PN",Lutron_CFlex_Lookup[#Headers],0),FALSE),"")</f>
        <v>ELD2T8-1M35-q</v>
      </c>
      <c r="AH829" s="1" t="str">
        <f>_xlfn.IFNA(VLOOKUP(Master_Reference[[#This Row],[C-Flex 4000K Eco Part Number]],Lutron_CFlex_Lookup[],MATCH("Lutron Kit PN",Lutron_CFlex_Lookup[#Headers],0),FALSE),"")</f>
        <v>ELD2T8-1M40-q</v>
      </c>
      <c r="AI829" s="1" t="str">
        <f>_xlfn.IFNA(VLOOKUP(Master_Reference[[#This Row],[C-Flex 5000K Eco Part Number]],Lutron_CFlex_Lookup[],MATCH("Lutron Kit PN",Lutron_CFlex_Lookup[#Headers],0),FALSE),"")</f>
        <v>ELD2T8-1M50-q</v>
      </c>
      <c r="AJ829" s="1" t="str">
        <f>_xlfn.IFNA(VLOOKUP(Master_Reference[[#This Row],[C-Flex 3000K 3W Part Number]],Lutron_CFlex_Lookup[],MATCH("Lutron Kit PN",Lutron_CFlex_Lookup[#Headers],0),FALSE),"")</f>
        <v>3LD2T8-1M30-q</v>
      </c>
      <c r="AK829" s="1" t="str">
        <f>_xlfn.IFNA(VLOOKUP(Master_Reference[[#This Row],[C-Flex 3500K 3W Part Number]],Lutron_CFlex_Lookup[],MATCH("Lutron Kit PN",Lutron_CFlex_Lookup[#Headers],0),FALSE),"")</f>
        <v>3LD2T8-1M35-q</v>
      </c>
      <c r="AL829" s="1" t="str">
        <f>_xlfn.IFNA(VLOOKUP(Master_Reference[[#This Row],[C-Flex 4000K 3W Part Number]],Lutron_CFlex_Lookup[],MATCH("Lutron Kit PN",Lutron_CFlex_Lookup[#Headers],0),FALSE),"")</f>
        <v>3LD2T8-1M40-q</v>
      </c>
      <c r="AM829" s="1" t="str">
        <f>_xlfn.IFNA(VLOOKUP(Master_Reference[[#This Row],[C-Flex 5000K 3W Part Number]],Lutron_CFlex_Lookup[],MATCH("Lutron Kit PN",Lutron_CFlex_Lookup[#Headers],0),FALSE),"")</f>
        <v>3LD2T8-1M50-q</v>
      </c>
      <c r="AN829" s="1" t="b">
        <f>NOT(ISNA(VLOOKUP(Master_Reference[[#This Row],[Model Number]],ObsoleteModels[],1,FALSE)))</f>
        <v>1</v>
      </c>
      <c r="AO829" s="1" t="str">
        <f>IF(LEFT(Master_Reference[[#This Row],[Model Number]],1)="U",LEFT(Master_Reference[[#This Row],[Model Number]],4),LEFT(Master_Reference[[#This Row],[Model Number]],3))</f>
        <v>H3D</v>
      </c>
    </row>
    <row r="830" spans="1:41" x14ac:dyDescent="0.25">
      <c r="A830" s="2" t="s">
        <v>1131</v>
      </c>
      <c r="B830" s="1" t="b">
        <v>1</v>
      </c>
      <c r="C830" s="1" t="b">
        <v>1</v>
      </c>
      <c r="G830" s="1" t="str">
        <f>IF(OR(LEFT(RIGHT(Master_Reference[[#This Row],[Model Number]],3),1)="C",LEFT(RIGHT(Master_Reference[[#This Row],[Model Number]],4),1)="C"),TRUE,"")</f>
        <v/>
      </c>
      <c r="H830" s="1" t="str">
        <f>IF(LEFT(Master_Reference[[#This Row],[Model Number]],1)="U",TRUE,"")</f>
        <v/>
      </c>
      <c r="I830" s="1" t="b">
        <f>IF(Master_Reference[[#This Row],[Lamp Type]]="T4","",IF(Master_Reference[[#This Row],[Case Type]]="M","",TRUE))</f>
        <v>1</v>
      </c>
      <c r="J830" s="1" t="str">
        <f t="shared" si="12"/>
        <v>T8</v>
      </c>
      <c r="K830" s="1">
        <v>17</v>
      </c>
      <c r="L830" s="1" t="s">
        <v>112</v>
      </c>
      <c r="M830" s="1">
        <v>1</v>
      </c>
      <c r="N830" s="1" t="s">
        <v>149</v>
      </c>
      <c r="O830" s="1" t="s">
        <v>217</v>
      </c>
      <c r="Q830" s="1" t="s">
        <v>91</v>
      </c>
      <c r="R830" t="b">
        <f>IF(COUNTBLANK(Master_Reference[[#This Row],[C-Flex 3000K Eco Part Number]:[C-Flex 4000K Eco Part Number]])=3,FALSE,TRUE)</f>
        <v>1</v>
      </c>
      <c r="S830" t="b">
        <f>IF(COUNTBLANK(Master_Reference[[#This Row],[C-Flex 3000K 3W Part Number]:[C-Flex 4000K 3W Part Number]])=3,FALSE,TRUE)</f>
        <v>1</v>
      </c>
      <c r="T830" t="b">
        <f>IF(COUNTBLANK(Master_Reference[[#This Row],[Lutron 3000K Eco Part Number]:[Lutron 4000K Eco Part Number]])=3,FALSE,TRUE)</f>
        <v>1</v>
      </c>
      <c r="U830" t="b">
        <f>IF(COUNTBLANK(Master_Reference[[#This Row],[Lutron 3000K 3W Part Number]:[Lutron 4000K 3W Part Number]])=3,FALSE,TRUE)</f>
        <v>1</v>
      </c>
      <c r="V830" s="12" t="s">
        <v>462</v>
      </c>
      <c r="W830" s="12" t="s">
        <v>463</v>
      </c>
      <c r="X830" s="12" t="s">
        <v>464</v>
      </c>
      <c r="Y830" t="s">
        <v>1735</v>
      </c>
      <c r="Z830" s="12" t="s">
        <v>240</v>
      </c>
      <c r="AA830" s="12" t="s">
        <v>241</v>
      </c>
      <c r="AB830" s="12" t="s">
        <v>242</v>
      </c>
      <c r="AC830" t="s">
        <v>1823</v>
      </c>
      <c r="AD830" t="str">
        <f>SUBSTITUTE(Master_Reference[[#This Row],[C-Flex 4000K Eco Part Number]],"40-","xx-")</f>
        <v>RP-T8-2FT-1L-8xx-E1-M-G2</v>
      </c>
      <c r="AE830" t="str">
        <f>SUBSTITUTE(Master_Reference[[#This Row],[C-Flex 4000K 3W Part Number]],"40-","xx-")</f>
        <v>RP-T8-2FT-1L-8xx-3W-M-G2</v>
      </c>
      <c r="AF830" s="1" t="str">
        <f>_xlfn.IFNA(VLOOKUP(Master_Reference[[#This Row],[C-Flex 3000K Eco Part Number]],Lutron_CFlex_Lookup[],MATCH("Lutron Kit PN",Lutron_CFlex_Lookup[#Headers],0),FALSE),"")</f>
        <v>ELD2T8-1M30-q</v>
      </c>
      <c r="AG830" s="1" t="str">
        <f>_xlfn.IFNA(VLOOKUP(Master_Reference[[#This Row],[C-Flex 3500K Eco Part Number]],Lutron_CFlex_Lookup[],MATCH("Lutron Kit PN",Lutron_CFlex_Lookup[#Headers],0),FALSE),"")</f>
        <v>ELD2T8-1M35-q</v>
      </c>
      <c r="AH830" s="1" t="str">
        <f>_xlfn.IFNA(VLOOKUP(Master_Reference[[#This Row],[C-Flex 4000K Eco Part Number]],Lutron_CFlex_Lookup[],MATCH("Lutron Kit PN",Lutron_CFlex_Lookup[#Headers],0),FALSE),"")</f>
        <v>ELD2T8-1M40-q</v>
      </c>
      <c r="AI830" s="1" t="str">
        <f>_xlfn.IFNA(VLOOKUP(Master_Reference[[#This Row],[C-Flex 5000K Eco Part Number]],Lutron_CFlex_Lookup[],MATCH("Lutron Kit PN",Lutron_CFlex_Lookup[#Headers],0),FALSE),"")</f>
        <v>ELD2T8-1M50-q</v>
      </c>
      <c r="AJ830" s="1" t="str">
        <f>_xlfn.IFNA(VLOOKUP(Master_Reference[[#This Row],[C-Flex 3000K 3W Part Number]],Lutron_CFlex_Lookup[],MATCH("Lutron Kit PN",Lutron_CFlex_Lookup[#Headers],0),FALSE),"")</f>
        <v>3LD2T8-1M30-q</v>
      </c>
      <c r="AK830" s="1" t="str">
        <f>_xlfn.IFNA(VLOOKUP(Master_Reference[[#This Row],[C-Flex 3500K 3W Part Number]],Lutron_CFlex_Lookup[],MATCH("Lutron Kit PN",Lutron_CFlex_Lookup[#Headers],0),FALSE),"")</f>
        <v>3LD2T8-1M35-q</v>
      </c>
      <c r="AL830" s="1" t="str">
        <f>_xlfn.IFNA(VLOOKUP(Master_Reference[[#This Row],[C-Flex 4000K 3W Part Number]],Lutron_CFlex_Lookup[],MATCH("Lutron Kit PN",Lutron_CFlex_Lookup[#Headers],0),FALSE),"")</f>
        <v>3LD2T8-1M40-q</v>
      </c>
      <c r="AM830" s="1" t="str">
        <f>_xlfn.IFNA(VLOOKUP(Master_Reference[[#This Row],[C-Flex 5000K 3W Part Number]],Lutron_CFlex_Lookup[],MATCH("Lutron Kit PN",Lutron_CFlex_Lookup[#Headers],0),FALSE),"")</f>
        <v>3LD2T8-1M50-q</v>
      </c>
      <c r="AN830" s="1" t="b">
        <f>NOT(ISNA(VLOOKUP(Master_Reference[[#This Row],[Model Number]],ObsoleteModels[],1,FALSE)))</f>
        <v>1</v>
      </c>
      <c r="AO830" s="1" t="str">
        <f>IF(LEFT(Master_Reference[[#This Row],[Model Number]],1)="U",LEFT(Master_Reference[[#This Row],[Model Number]],4),LEFT(Master_Reference[[#This Row],[Model Number]],3))</f>
        <v>H3D</v>
      </c>
    </row>
    <row r="831" spans="1:41" x14ac:dyDescent="0.25">
      <c r="A831" s="2" t="s">
        <v>1132</v>
      </c>
      <c r="B831" s="1" t="b">
        <v>1</v>
      </c>
      <c r="C831" s="1" t="b">
        <v>1</v>
      </c>
      <c r="G831" s="1" t="b">
        <v>1</v>
      </c>
      <c r="H831" s="1" t="str">
        <f>IF(LEFT(Master_Reference[[#This Row],[Model Number]],1)="U",TRUE,"")</f>
        <v/>
      </c>
      <c r="I831" s="1" t="b">
        <f>IF(Master_Reference[[#This Row],[Lamp Type]]="T4","",IF(Master_Reference[[#This Row],[Case Type]]="M","",TRUE))</f>
        <v>1</v>
      </c>
      <c r="J831" s="1" t="str">
        <f t="shared" si="12"/>
        <v>T8</v>
      </c>
      <c r="K831" s="1">
        <v>17</v>
      </c>
      <c r="L831" s="1" t="s">
        <v>112</v>
      </c>
      <c r="M831" s="1">
        <v>1</v>
      </c>
      <c r="N831" s="1" t="s">
        <v>149</v>
      </c>
      <c r="O831" s="1" t="s">
        <v>217</v>
      </c>
      <c r="R831" t="b">
        <f>IF(COUNTBLANK(Master_Reference[[#This Row],[C-Flex 3000K Eco Part Number]:[C-Flex 4000K Eco Part Number]])=3,FALSE,TRUE)</f>
        <v>1</v>
      </c>
      <c r="S831" t="b">
        <f>IF(COUNTBLANK(Master_Reference[[#This Row],[C-Flex 3000K 3W Part Number]:[C-Flex 4000K 3W Part Number]])=3,FALSE,TRUE)</f>
        <v>1</v>
      </c>
      <c r="T831" t="b">
        <f>IF(COUNTBLANK(Master_Reference[[#This Row],[Lutron 3000K Eco Part Number]:[Lutron 4000K Eco Part Number]])=3,FALSE,TRUE)</f>
        <v>1</v>
      </c>
      <c r="U831" t="b">
        <f>IF(COUNTBLANK(Master_Reference[[#This Row],[Lutron 3000K 3W Part Number]:[Lutron 4000K 3W Part Number]])=3,FALSE,TRUE)</f>
        <v>1</v>
      </c>
      <c r="V831" s="12" t="s">
        <v>462</v>
      </c>
      <c r="W831" s="12" t="s">
        <v>463</v>
      </c>
      <c r="X831" s="12" t="s">
        <v>464</v>
      </c>
      <c r="Y831" t="s">
        <v>1735</v>
      </c>
      <c r="Z831" s="12" t="s">
        <v>240</v>
      </c>
      <c r="AA831" s="12" t="s">
        <v>241</v>
      </c>
      <c r="AB831" s="12" t="s">
        <v>242</v>
      </c>
      <c r="AC831" t="s">
        <v>1823</v>
      </c>
      <c r="AD831" t="str">
        <f>SUBSTITUTE(Master_Reference[[#This Row],[C-Flex 4000K Eco Part Number]],"40-","xx-")</f>
        <v>RP-T8-2FT-1L-8xx-E1-M-G2</v>
      </c>
      <c r="AE831" t="str">
        <f>SUBSTITUTE(Master_Reference[[#This Row],[C-Flex 4000K 3W Part Number]],"40-","xx-")</f>
        <v>RP-T8-2FT-1L-8xx-3W-M-G2</v>
      </c>
      <c r="AF831" s="1" t="str">
        <f>_xlfn.IFNA(VLOOKUP(Master_Reference[[#This Row],[C-Flex 3000K Eco Part Number]],Lutron_CFlex_Lookup[],MATCH("Lutron Kit PN",Lutron_CFlex_Lookup[#Headers],0),FALSE),"")</f>
        <v>ELD2T8-1M30-q</v>
      </c>
      <c r="AG831" s="1" t="str">
        <f>_xlfn.IFNA(VLOOKUP(Master_Reference[[#This Row],[C-Flex 3500K Eco Part Number]],Lutron_CFlex_Lookup[],MATCH("Lutron Kit PN",Lutron_CFlex_Lookup[#Headers],0),FALSE),"")</f>
        <v>ELD2T8-1M35-q</v>
      </c>
      <c r="AH831" s="1" t="str">
        <f>_xlfn.IFNA(VLOOKUP(Master_Reference[[#This Row],[C-Flex 4000K Eco Part Number]],Lutron_CFlex_Lookup[],MATCH("Lutron Kit PN",Lutron_CFlex_Lookup[#Headers],0),FALSE),"")</f>
        <v>ELD2T8-1M40-q</v>
      </c>
      <c r="AI831" s="1" t="str">
        <f>_xlfn.IFNA(VLOOKUP(Master_Reference[[#This Row],[C-Flex 5000K Eco Part Number]],Lutron_CFlex_Lookup[],MATCH("Lutron Kit PN",Lutron_CFlex_Lookup[#Headers],0),FALSE),"")</f>
        <v>ELD2T8-1M50-q</v>
      </c>
      <c r="AJ831" s="1" t="str">
        <f>_xlfn.IFNA(VLOOKUP(Master_Reference[[#This Row],[C-Flex 3000K 3W Part Number]],Lutron_CFlex_Lookup[],MATCH("Lutron Kit PN",Lutron_CFlex_Lookup[#Headers],0),FALSE),"")</f>
        <v>3LD2T8-1M30-q</v>
      </c>
      <c r="AK831" s="1" t="str">
        <f>_xlfn.IFNA(VLOOKUP(Master_Reference[[#This Row],[C-Flex 3500K 3W Part Number]],Lutron_CFlex_Lookup[],MATCH("Lutron Kit PN",Lutron_CFlex_Lookup[#Headers],0),FALSE),"")</f>
        <v>3LD2T8-1M35-q</v>
      </c>
      <c r="AL831" s="1" t="str">
        <f>_xlfn.IFNA(VLOOKUP(Master_Reference[[#This Row],[C-Flex 4000K 3W Part Number]],Lutron_CFlex_Lookup[],MATCH("Lutron Kit PN",Lutron_CFlex_Lookup[#Headers],0),FALSE),"")</f>
        <v>3LD2T8-1M40-q</v>
      </c>
      <c r="AM831" s="1" t="str">
        <f>_xlfn.IFNA(VLOOKUP(Master_Reference[[#This Row],[C-Flex 5000K 3W Part Number]],Lutron_CFlex_Lookup[],MATCH("Lutron Kit PN",Lutron_CFlex_Lookup[#Headers],0),FALSE),"")</f>
        <v>3LD2T8-1M50-q</v>
      </c>
      <c r="AN831" s="1" t="b">
        <f>NOT(ISNA(VLOOKUP(Master_Reference[[#This Row],[Model Number]],ObsoleteModels[],1,FALSE)))</f>
        <v>1</v>
      </c>
      <c r="AO831" s="1" t="str">
        <f>IF(LEFT(Master_Reference[[#This Row],[Model Number]],1)="U",LEFT(Master_Reference[[#This Row],[Model Number]],4),LEFT(Master_Reference[[#This Row],[Model Number]],3))</f>
        <v>H3D</v>
      </c>
    </row>
    <row r="832" spans="1:41" x14ac:dyDescent="0.25">
      <c r="A832" s="2" t="s">
        <v>1133</v>
      </c>
      <c r="B832" s="1" t="b">
        <v>1</v>
      </c>
      <c r="C832" s="1" t="b">
        <v>1</v>
      </c>
      <c r="G832" s="1" t="str">
        <f>IF(OR(LEFT(RIGHT(Master_Reference[[#This Row],[Model Number]],3),1)="C",LEFT(RIGHT(Master_Reference[[#This Row],[Model Number]],4),1)="C"),TRUE,"")</f>
        <v/>
      </c>
      <c r="H832" s="1" t="str">
        <f>IF(LEFT(Master_Reference[[#This Row],[Model Number]],1)="U",TRUE,"")</f>
        <v/>
      </c>
      <c r="I832" s="1" t="b">
        <f>IF(Master_Reference[[#This Row],[Lamp Type]]="T4","",IF(Master_Reference[[#This Row],[Case Type]]="M","",TRUE))</f>
        <v>1</v>
      </c>
      <c r="J832" s="1" t="str">
        <f t="shared" si="12"/>
        <v>T8</v>
      </c>
      <c r="K832" s="1">
        <v>17</v>
      </c>
      <c r="L832" s="1" t="s">
        <v>112</v>
      </c>
      <c r="M832" s="1">
        <v>2</v>
      </c>
      <c r="N832" s="1" t="s">
        <v>149</v>
      </c>
      <c r="O832" s="1" t="s">
        <v>217</v>
      </c>
      <c r="R832" t="b">
        <f>IF(COUNTBLANK(Master_Reference[[#This Row],[C-Flex 3000K Eco Part Number]:[C-Flex 4000K Eco Part Number]])=3,FALSE,TRUE)</f>
        <v>1</v>
      </c>
      <c r="S832" t="b">
        <f>IF(COUNTBLANK(Master_Reference[[#This Row],[C-Flex 3000K 3W Part Number]:[C-Flex 4000K 3W Part Number]])=3,FALSE,TRUE)</f>
        <v>1</v>
      </c>
      <c r="T832" t="b">
        <f>IF(COUNTBLANK(Master_Reference[[#This Row],[Lutron 3000K Eco Part Number]:[Lutron 4000K Eco Part Number]])=3,FALSE,TRUE)</f>
        <v>1</v>
      </c>
      <c r="U832" t="b">
        <f>IF(COUNTBLANK(Master_Reference[[#This Row],[Lutron 3000K 3W Part Number]:[Lutron 4000K 3W Part Number]])=3,FALSE,TRUE)</f>
        <v>1</v>
      </c>
      <c r="V832" s="12" t="s">
        <v>466</v>
      </c>
      <c r="W832" s="12" t="s">
        <v>467</v>
      </c>
      <c r="X832" s="12" t="s">
        <v>468</v>
      </c>
      <c r="Y832" t="s">
        <v>1736</v>
      </c>
      <c r="Z832" s="12" t="s">
        <v>244</v>
      </c>
      <c r="AA832" s="12" t="s">
        <v>245</v>
      </c>
      <c r="AB832" s="12" t="s">
        <v>246</v>
      </c>
      <c r="AC832" t="s">
        <v>1824</v>
      </c>
      <c r="AD832" t="str">
        <f>SUBSTITUTE(Master_Reference[[#This Row],[C-Flex 4000K Eco Part Number]],"40-","xx-")</f>
        <v>RP-T8-2FT-2L-8xx-E1-M-G2</v>
      </c>
      <c r="AE832" t="str">
        <f>SUBSTITUTE(Master_Reference[[#This Row],[C-Flex 4000K 3W Part Number]],"40-","xx-")</f>
        <v>RP-T8-2FT-2L-8xx-3W-M-G2</v>
      </c>
      <c r="AF832" s="1" t="str">
        <f>_xlfn.IFNA(VLOOKUP(Master_Reference[[#This Row],[C-Flex 3000K Eco Part Number]],Lutron_CFlex_Lookup[],MATCH("Lutron Kit PN",Lutron_CFlex_Lookup[#Headers],0),FALSE),"")</f>
        <v>ELD2T8-2M30-q</v>
      </c>
      <c r="AG832" s="1" t="str">
        <f>_xlfn.IFNA(VLOOKUP(Master_Reference[[#This Row],[C-Flex 3500K Eco Part Number]],Lutron_CFlex_Lookup[],MATCH("Lutron Kit PN",Lutron_CFlex_Lookup[#Headers],0),FALSE),"")</f>
        <v>ELD2T8-2M35-q</v>
      </c>
      <c r="AH832" s="1" t="str">
        <f>_xlfn.IFNA(VLOOKUP(Master_Reference[[#This Row],[C-Flex 4000K Eco Part Number]],Lutron_CFlex_Lookup[],MATCH("Lutron Kit PN",Lutron_CFlex_Lookup[#Headers],0),FALSE),"")</f>
        <v>ELD2T8-2M40-q</v>
      </c>
      <c r="AI832" s="1" t="str">
        <f>_xlfn.IFNA(VLOOKUP(Master_Reference[[#This Row],[C-Flex 5000K Eco Part Number]],Lutron_CFlex_Lookup[],MATCH("Lutron Kit PN",Lutron_CFlex_Lookup[#Headers],0),FALSE),"")</f>
        <v>ELD2T8-2M50-q</v>
      </c>
      <c r="AJ832" s="1" t="str">
        <f>_xlfn.IFNA(VLOOKUP(Master_Reference[[#This Row],[C-Flex 3000K 3W Part Number]],Lutron_CFlex_Lookup[],MATCH("Lutron Kit PN",Lutron_CFlex_Lookup[#Headers],0),FALSE),"")</f>
        <v>3LD2T8-2M30-q</v>
      </c>
      <c r="AK832" s="1" t="str">
        <f>_xlfn.IFNA(VLOOKUP(Master_Reference[[#This Row],[C-Flex 3500K 3W Part Number]],Lutron_CFlex_Lookup[],MATCH("Lutron Kit PN",Lutron_CFlex_Lookup[#Headers],0),FALSE),"")</f>
        <v>3LD2T8-2M35-q</v>
      </c>
      <c r="AL832" s="1" t="str">
        <f>_xlfn.IFNA(VLOOKUP(Master_Reference[[#This Row],[C-Flex 4000K 3W Part Number]],Lutron_CFlex_Lookup[],MATCH("Lutron Kit PN",Lutron_CFlex_Lookup[#Headers],0),FALSE),"")</f>
        <v>3LD2T8-2M40-q</v>
      </c>
      <c r="AM832" s="1" t="str">
        <f>_xlfn.IFNA(VLOOKUP(Master_Reference[[#This Row],[C-Flex 5000K 3W Part Number]],Lutron_CFlex_Lookup[],MATCH("Lutron Kit PN",Lutron_CFlex_Lookup[#Headers],0),FALSE),"")</f>
        <v>3LD2T8-2M50-q</v>
      </c>
      <c r="AN832" s="1" t="b">
        <f>NOT(ISNA(VLOOKUP(Master_Reference[[#This Row],[Model Number]],ObsoleteModels[],1,FALSE)))</f>
        <v>1</v>
      </c>
      <c r="AO832" s="1" t="str">
        <f>IF(LEFT(Master_Reference[[#This Row],[Model Number]],1)="U",LEFT(Master_Reference[[#This Row],[Model Number]],4),LEFT(Master_Reference[[#This Row],[Model Number]],3))</f>
        <v>H3D</v>
      </c>
    </row>
    <row r="833" spans="1:41" x14ac:dyDescent="0.25">
      <c r="A833" s="2" t="s">
        <v>1134</v>
      </c>
      <c r="B833" s="1" t="b">
        <v>1</v>
      </c>
      <c r="C833" s="1" t="b">
        <v>1</v>
      </c>
      <c r="G833" s="1" t="str">
        <f>IF(OR(LEFT(RIGHT(Master_Reference[[#This Row],[Model Number]],3),1)="C",LEFT(RIGHT(Master_Reference[[#This Row],[Model Number]],4),1)="C"),TRUE,"")</f>
        <v/>
      </c>
      <c r="H833" s="1" t="str">
        <f>IF(LEFT(Master_Reference[[#This Row],[Model Number]],1)="U",TRUE,"")</f>
        <v/>
      </c>
      <c r="I833" s="1" t="b">
        <f>IF(Master_Reference[[#This Row],[Lamp Type]]="T4","",IF(Master_Reference[[#This Row],[Case Type]]="M","",TRUE))</f>
        <v>1</v>
      </c>
      <c r="J833" s="1" t="str">
        <f t="shared" si="12"/>
        <v>T8</v>
      </c>
      <c r="K833" s="1">
        <v>17</v>
      </c>
      <c r="L833" s="1" t="s">
        <v>112</v>
      </c>
      <c r="M833" s="1">
        <v>2</v>
      </c>
      <c r="N833" s="1" t="s">
        <v>149</v>
      </c>
      <c r="O833" s="1" t="s">
        <v>217</v>
      </c>
      <c r="Q833" s="1" t="s">
        <v>91</v>
      </c>
      <c r="R833" t="b">
        <f>IF(COUNTBLANK(Master_Reference[[#This Row],[C-Flex 3000K Eco Part Number]:[C-Flex 4000K Eco Part Number]])=3,FALSE,TRUE)</f>
        <v>0</v>
      </c>
      <c r="S833" t="b">
        <f>IF(COUNTBLANK(Master_Reference[[#This Row],[C-Flex 3000K 3W Part Number]:[C-Flex 4000K 3W Part Number]])=3,FALSE,TRUE)</f>
        <v>0</v>
      </c>
      <c r="T833" t="b">
        <f>IF(COUNTBLANK(Master_Reference[[#This Row],[Lutron 3000K Eco Part Number]:[Lutron 4000K Eco Part Number]])=3,FALSE,TRUE)</f>
        <v>0</v>
      </c>
      <c r="U833" t="b">
        <f>IF(COUNTBLANK(Master_Reference[[#This Row],[Lutron 3000K 3W Part Number]:[Lutron 4000K 3W Part Number]])=3,FALSE,TRUE)</f>
        <v>0</v>
      </c>
      <c r="V833" s="12"/>
      <c r="W833" s="12"/>
      <c r="X833" s="12"/>
      <c r="Y833" t="s">
        <v>2125</v>
      </c>
      <c r="Z833" s="12"/>
      <c r="AA833" s="12"/>
      <c r="AB833" s="12"/>
      <c r="AC833" t="s">
        <v>2125</v>
      </c>
      <c r="AD833" t="str">
        <f>SUBSTITUTE(Master_Reference[[#This Row],[C-Flex 4000K Eco Part Number]],"40-","xx-")</f>
        <v/>
      </c>
      <c r="AE833" t="str">
        <f>SUBSTITUTE(Master_Reference[[#This Row],[C-Flex 4000K 3W Part Number]],"40-","xx-")</f>
        <v/>
      </c>
      <c r="AF833" s="1" t="str">
        <f>_xlfn.IFNA(VLOOKUP(Master_Reference[[#This Row],[C-Flex 3000K Eco Part Number]],Lutron_CFlex_Lookup[],MATCH("Lutron Kit PN",Lutron_CFlex_Lookup[#Headers],0),FALSE),"")</f>
        <v/>
      </c>
      <c r="AG833" s="1" t="str">
        <f>_xlfn.IFNA(VLOOKUP(Master_Reference[[#This Row],[C-Flex 3500K Eco Part Number]],Lutron_CFlex_Lookup[],MATCH("Lutron Kit PN",Lutron_CFlex_Lookup[#Headers],0),FALSE),"")</f>
        <v/>
      </c>
      <c r="AH833" s="1" t="str">
        <f>_xlfn.IFNA(VLOOKUP(Master_Reference[[#This Row],[C-Flex 4000K Eco Part Number]],Lutron_CFlex_Lookup[],MATCH("Lutron Kit PN",Lutron_CFlex_Lookup[#Headers],0),FALSE),"")</f>
        <v/>
      </c>
      <c r="AI833" s="1" t="str">
        <f>_xlfn.IFNA(VLOOKUP(Master_Reference[[#This Row],[C-Flex 5000K Eco Part Number]],Lutron_CFlex_Lookup[],MATCH("Lutron Kit PN",Lutron_CFlex_Lookup[#Headers],0),FALSE),"")</f>
        <v/>
      </c>
      <c r="AJ833" s="1" t="str">
        <f>_xlfn.IFNA(VLOOKUP(Master_Reference[[#This Row],[C-Flex 3000K 3W Part Number]],Lutron_CFlex_Lookup[],MATCH("Lutron Kit PN",Lutron_CFlex_Lookup[#Headers],0),FALSE),"")</f>
        <v/>
      </c>
      <c r="AK833" s="1" t="str">
        <f>_xlfn.IFNA(VLOOKUP(Master_Reference[[#This Row],[C-Flex 3500K 3W Part Number]],Lutron_CFlex_Lookup[],MATCH("Lutron Kit PN",Lutron_CFlex_Lookup[#Headers],0),FALSE),"")</f>
        <v/>
      </c>
      <c r="AL833" s="1" t="str">
        <f>_xlfn.IFNA(VLOOKUP(Master_Reference[[#This Row],[C-Flex 4000K 3W Part Number]],Lutron_CFlex_Lookup[],MATCH("Lutron Kit PN",Lutron_CFlex_Lookup[#Headers],0),FALSE),"")</f>
        <v/>
      </c>
      <c r="AM833" s="1" t="str">
        <f>_xlfn.IFNA(VLOOKUP(Master_Reference[[#This Row],[C-Flex 5000K 3W Part Number]],Lutron_CFlex_Lookup[],MATCH("Lutron Kit PN",Lutron_CFlex_Lookup[#Headers],0),FALSE),"")</f>
        <v/>
      </c>
      <c r="AN833" s="1" t="b">
        <f>NOT(ISNA(VLOOKUP(Master_Reference[[#This Row],[Model Number]],ObsoleteModels[],1,FALSE)))</f>
        <v>1</v>
      </c>
      <c r="AO833" s="1" t="str">
        <f>IF(LEFT(Master_Reference[[#This Row],[Model Number]],1)="U",LEFT(Master_Reference[[#This Row],[Model Number]],4),LEFT(Master_Reference[[#This Row],[Model Number]],3))</f>
        <v>H3D</v>
      </c>
    </row>
    <row r="834" spans="1:41" x14ac:dyDescent="0.25">
      <c r="A834" s="2" t="s">
        <v>1135</v>
      </c>
      <c r="B834" s="1" t="b">
        <v>1</v>
      </c>
      <c r="C834" s="1" t="b">
        <v>1</v>
      </c>
      <c r="G834" s="1" t="b">
        <v>1</v>
      </c>
      <c r="H834" s="1" t="str">
        <f>IF(LEFT(Master_Reference[[#This Row],[Model Number]],1)="U",TRUE,"")</f>
        <v/>
      </c>
      <c r="I834" s="1" t="b">
        <f>IF(Master_Reference[[#This Row],[Lamp Type]]="T4","",IF(Master_Reference[[#This Row],[Case Type]]="M","",TRUE))</f>
        <v>1</v>
      </c>
      <c r="J834" s="1" t="str">
        <f t="shared" si="12"/>
        <v>T8</v>
      </c>
      <c r="K834" s="1">
        <v>17</v>
      </c>
      <c r="L834" s="1" t="s">
        <v>112</v>
      </c>
      <c r="M834" s="1">
        <v>2</v>
      </c>
      <c r="N834" s="1" t="s">
        <v>149</v>
      </c>
      <c r="O834" s="1" t="s">
        <v>217</v>
      </c>
      <c r="R834" t="b">
        <f>IF(COUNTBLANK(Master_Reference[[#This Row],[C-Flex 3000K Eco Part Number]:[C-Flex 4000K Eco Part Number]])=3,FALSE,TRUE)</f>
        <v>1</v>
      </c>
      <c r="S834" t="b">
        <f>IF(COUNTBLANK(Master_Reference[[#This Row],[C-Flex 3000K 3W Part Number]:[C-Flex 4000K 3W Part Number]])=3,FALSE,TRUE)</f>
        <v>1</v>
      </c>
      <c r="T834" t="b">
        <f>IF(COUNTBLANK(Master_Reference[[#This Row],[Lutron 3000K Eco Part Number]:[Lutron 4000K Eco Part Number]])=3,FALSE,TRUE)</f>
        <v>1</v>
      </c>
      <c r="U834" t="b">
        <f>IF(COUNTBLANK(Master_Reference[[#This Row],[Lutron 3000K 3W Part Number]:[Lutron 4000K 3W Part Number]])=3,FALSE,TRUE)</f>
        <v>1</v>
      </c>
      <c r="V834" s="12" t="s">
        <v>466</v>
      </c>
      <c r="W834" s="12" t="s">
        <v>467</v>
      </c>
      <c r="X834" s="12" t="s">
        <v>468</v>
      </c>
      <c r="Y834" t="s">
        <v>1736</v>
      </c>
      <c r="Z834" s="12" t="s">
        <v>244</v>
      </c>
      <c r="AA834" s="12" t="s">
        <v>245</v>
      </c>
      <c r="AB834" s="12" t="s">
        <v>246</v>
      </c>
      <c r="AC834" t="s">
        <v>1824</v>
      </c>
      <c r="AD834" t="str">
        <f>SUBSTITUTE(Master_Reference[[#This Row],[C-Flex 4000K Eco Part Number]],"40-","xx-")</f>
        <v>RP-T8-2FT-2L-8xx-E1-M-G2</v>
      </c>
      <c r="AE834" t="str">
        <f>SUBSTITUTE(Master_Reference[[#This Row],[C-Flex 4000K 3W Part Number]],"40-","xx-")</f>
        <v>RP-T8-2FT-2L-8xx-3W-M-G2</v>
      </c>
      <c r="AF834" s="1" t="str">
        <f>_xlfn.IFNA(VLOOKUP(Master_Reference[[#This Row],[C-Flex 3000K Eco Part Number]],Lutron_CFlex_Lookup[],MATCH("Lutron Kit PN",Lutron_CFlex_Lookup[#Headers],0),FALSE),"")</f>
        <v>ELD2T8-2M30-q</v>
      </c>
      <c r="AG834" s="1" t="str">
        <f>_xlfn.IFNA(VLOOKUP(Master_Reference[[#This Row],[C-Flex 3500K Eco Part Number]],Lutron_CFlex_Lookup[],MATCH("Lutron Kit PN",Lutron_CFlex_Lookup[#Headers],0),FALSE),"")</f>
        <v>ELD2T8-2M35-q</v>
      </c>
      <c r="AH834" s="1" t="str">
        <f>_xlfn.IFNA(VLOOKUP(Master_Reference[[#This Row],[C-Flex 4000K Eco Part Number]],Lutron_CFlex_Lookup[],MATCH("Lutron Kit PN",Lutron_CFlex_Lookup[#Headers],0),FALSE),"")</f>
        <v>ELD2T8-2M40-q</v>
      </c>
      <c r="AI834" s="1" t="str">
        <f>_xlfn.IFNA(VLOOKUP(Master_Reference[[#This Row],[C-Flex 5000K Eco Part Number]],Lutron_CFlex_Lookup[],MATCH("Lutron Kit PN",Lutron_CFlex_Lookup[#Headers],0),FALSE),"")</f>
        <v>ELD2T8-2M50-q</v>
      </c>
      <c r="AJ834" s="1" t="str">
        <f>_xlfn.IFNA(VLOOKUP(Master_Reference[[#This Row],[C-Flex 3000K 3W Part Number]],Lutron_CFlex_Lookup[],MATCH("Lutron Kit PN",Lutron_CFlex_Lookup[#Headers],0),FALSE),"")</f>
        <v>3LD2T8-2M30-q</v>
      </c>
      <c r="AK834" s="1" t="str">
        <f>_xlfn.IFNA(VLOOKUP(Master_Reference[[#This Row],[C-Flex 3500K 3W Part Number]],Lutron_CFlex_Lookup[],MATCH("Lutron Kit PN",Lutron_CFlex_Lookup[#Headers],0),FALSE),"")</f>
        <v>3LD2T8-2M35-q</v>
      </c>
      <c r="AL834" s="1" t="str">
        <f>_xlfn.IFNA(VLOOKUP(Master_Reference[[#This Row],[C-Flex 4000K 3W Part Number]],Lutron_CFlex_Lookup[],MATCH("Lutron Kit PN",Lutron_CFlex_Lookup[#Headers],0),FALSE),"")</f>
        <v>3LD2T8-2M40-q</v>
      </c>
      <c r="AM834" s="1" t="str">
        <f>_xlfn.IFNA(VLOOKUP(Master_Reference[[#This Row],[C-Flex 5000K 3W Part Number]],Lutron_CFlex_Lookup[],MATCH("Lutron Kit PN",Lutron_CFlex_Lookup[#Headers],0),FALSE),"")</f>
        <v>3LD2T8-2M50-q</v>
      </c>
      <c r="AN834" s="1" t="b">
        <f>NOT(ISNA(VLOOKUP(Master_Reference[[#This Row],[Model Number]],ObsoleteModels[],1,FALSE)))</f>
        <v>1</v>
      </c>
      <c r="AO834" s="1" t="str">
        <f>IF(LEFT(Master_Reference[[#This Row],[Model Number]],1)="U",LEFT(Master_Reference[[#This Row],[Model Number]],4),LEFT(Master_Reference[[#This Row],[Model Number]],3))</f>
        <v>H3D</v>
      </c>
    </row>
    <row r="835" spans="1:41" x14ac:dyDescent="0.25">
      <c r="A835" s="2" t="s">
        <v>1136</v>
      </c>
      <c r="B835" s="1" t="b">
        <v>1</v>
      </c>
      <c r="C835" s="1" t="b">
        <v>1</v>
      </c>
      <c r="G835" s="1" t="str">
        <f>IF(OR(LEFT(RIGHT(Master_Reference[[#This Row],[Model Number]],3),1)="C",LEFT(RIGHT(Master_Reference[[#This Row],[Model Number]],4),1)="C"),TRUE,"")</f>
        <v/>
      </c>
      <c r="H835" s="1" t="str">
        <f>IF(LEFT(Master_Reference[[#This Row],[Model Number]],1)="U",TRUE,"")</f>
        <v/>
      </c>
      <c r="I835" s="1" t="b">
        <f>IF(Master_Reference[[#This Row],[Lamp Type]]="T4","",IF(Master_Reference[[#This Row],[Case Type]]="M","",TRUE))</f>
        <v>1</v>
      </c>
      <c r="J835" s="1" t="str">
        <f t="shared" si="12"/>
        <v>T8</v>
      </c>
      <c r="K835" s="1">
        <v>17</v>
      </c>
      <c r="L835" s="1" t="s">
        <v>112</v>
      </c>
      <c r="M835" s="1">
        <v>3</v>
      </c>
      <c r="N835" s="1" t="s">
        <v>149</v>
      </c>
      <c r="O835" s="1" t="s">
        <v>217</v>
      </c>
      <c r="R835" t="b">
        <f>IF(COUNTBLANK(Master_Reference[[#This Row],[C-Flex 3000K Eco Part Number]:[C-Flex 4000K Eco Part Number]])=3,FALSE,TRUE)</f>
        <v>1</v>
      </c>
      <c r="S835" t="b">
        <f>IF(COUNTBLANK(Master_Reference[[#This Row],[C-Flex 3000K 3W Part Number]:[C-Flex 4000K 3W Part Number]])=3,FALSE,TRUE)</f>
        <v>1</v>
      </c>
      <c r="T835" t="b">
        <f>IF(COUNTBLANK(Master_Reference[[#This Row],[Lutron 3000K Eco Part Number]:[Lutron 4000K Eco Part Number]])=3,FALSE,TRUE)</f>
        <v>1</v>
      </c>
      <c r="U835" t="b">
        <f>IF(COUNTBLANK(Master_Reference[[#This Row],[Lutron 3000K 3W Part Number]:[Lutron 4000K 3W Part Number]])=3,FALSE,TRUE)</f>
        <v>1</v>
      </c>
      <c r="V835" s="12" t="s">
        <v>1137</v>
      </c>
      <c r="W835" s="12" t="s">
        <v>1138</v>
      </c>
      <c r="X835" s="12" t="s">
        <v>1139</v>
      </c>
      <c r="Y835" t="s">
        <v>1737</v>
      </c>
      <c r="Z835" s="12" t="s">
        <v>251</v>
      </c>
      <c r="AA835" s="12" t="s">
        <v>252</v>
      </c>
      <c r="AB835" s="12" t="s">
        <v>253</v>
      </c>
      <c r="AC835" t="s">
        <v>1825</v>
      </c>
      <c r="AD835" t="str">
        <f>SUBSTITUTE(Master_Reference[[#This Row],[C-Flex 4000K Eco Part Number]],"40-","xx-")</f>
        <v>RP-T8-2FT-3L-8xx-E1-M-G2</v>
      </c>
      <c r="AE835" t="str">
        <f>SUBSTITUTE(Master_Reference[[#This Row],[C-Flex 4000K 3W Part Number]],"40-","xx-")</f>
        <v>RP-T8-2FT-3L-8xx-3W-M-G2</v>
      </c>
      <c r="AF835" s="1" t="str">
        <f>_xlfn.IFNA(VLOOKUP(Master_Reference[[#This Row],[C-Flex 3000K Eco Part Number]],Lutron_CFlex_Lookup[],MATCH("Lutron Kit PN",Lutron_CFlex_Lookup[#Headers],0),FALSE),"")</f>
        <v>ELD2T8-3M30-q</v>
      </c>
      <c r="AG835" s="1" t="str">
        <f>_xlfn.IFNA(VLOOKUP(Master_Reference[[#This Row],[C-Flex 3500K Eco Part Number]],Lutron_CFlex_Lookup[],MATCH("Lutron Kit PN",Lutron_CFlex_Lookup[#Headers],0),FALSE),"")</f>
        <v>ELD2T8-3M35-q</v>
      </c>
      <c r="AH835" s="1" t="str">
        <f>_xlfn.IFNA(VLOOKUP(Master_Reference[[#This Row],[C-Flex 4000K Eco Part Number]],Lutron_CFlex_Lookup[],MATCH("Lutron Kit PN",Lutron_CFlex_Lookup[#Headers],0),FALSE),"")</f>
        <v>ELD2T8-3M40-q</v>
      </c>
      <c r="AI835" s="1" t="str">
        <f>_xlfn.IFNA(VLOOKUP(Master_Reference[[#This Row],[C-Flex 5000K Eco Part Number]],Lutron_CFlex_Lookup[],MATCH("Lutron Kit PN",Lutron_CFlex_Lookup[#Headers],0),FALSE),"")</f>
        <v>ELD2T8-3M50-q</v>
      </c>
      <c r="AJ835" s="1" t="str">
        <f>_xlfn.IFNA(VLOOKUP(Master_Reference[[#This Row],[C-Flex 3000K 3W Part Number]],Lutron_CFlex_Lookup[],MATCH("Lutron Kit PN",Lutron_CFlex_Lookup[#Headers],0),FALSE),"")</f>
        <v>3LD2T8-3M30-q</v>
      </c>
      <c r="AK835" s="1" t="str">
        <f>_xlfn.IFNA(VLOOKUP(Master_Reference[[#This Row],[C-Flex 3500K 3W Part Number]],Lutron_CFlex_Lookup[],MATCH("Lutron Kit PN",Lutron_CFlex_Lookup[#Headers],0),FALSE),"")</f>
        <v>3LD2T8-3M35-q</v>
      </c>
      <c r="AL835" s="1" t="str">
        <f>_xlfn.IFNA(VLOOKUP(Master_Reference[[#This Row],[C-Flex 4000K 3W Part Number]],Lutron_CFlex_Lookup[],MATCH("Lutron Kit PN",Lutron_CFlex_Lookup[#Headers],0),FALSE),"")</f>
        <v>3LD2T8-3M40-q</v>
      </c>
      <c r="AM835" s="1" t="str">
        <f>_xlfn.IFNA(VLOOKUP(Master_Reference[[#This Row],[C-Flex 5000K 3W Part Number]],Lutron_CFlex_Lookup[],MATCH("Lutron Kit PN",Lutron_CFlex_Lookup[#Headers],0),FALSE),"")</f>
        <v>3LD2T8-3M50-q</v>
      </c>
      <c r="AN835" s="1" t="b">
        <f>NOT(ISNA(VLOOKUP(Master_Reference[[#This Row],[Model Number]],ObsoleteModels[],1,FALSE)))</f>
        <v>1</v>
      </c>
      <c r="AO835" s="1" t="str">
        <f>IF(LEFT(Master_Reference[[#This Row],[Model Number]],1)="U",LEFT(Master_Reference[[#This Row],[Model Number]],4),LEFT(Master_Reference[[#This Row],[Model Number]],3))</f>
        <v>H3D</v>
      </c>
    </row>
    <row r="836" spans="1:41" x14ac:dyDescent="0.25">
      <c r="A836" s="2" t="s">
        <v>1140</v>
      </c>
      <c r="B836" s="1" t="b">
        <v>1</v>
      </c>
      <c r="C836" s="1" t="b">
        <v>1</v>
      </c>
      <c r="G836" s="1" t="b">
        <v>1</v>
      </c>
      <c r="H836" s="1" t="str">
        <f>IF(LEFT(Master_Reference[[#This Row],[Model Number]],1)="U",TRUE,"")</f>
        <v/>
      </c>
      <c r="I836" s="1" t="b">
        <f>IF(Master_Reference[[#This Row],[Lamp Type]]="T4","",IF(Master_Reference[[#This Row],[Case Type]]="M","",TRUE))</f>
        <v>1</v>
      </c>
      <c r="J836" s="1" t="str">
        <f t="shared" si="12"/>
        <v>T8</v>
      </c>
      <c r="K836" s="1">
        <v>17</v>
      </c>
      <c r="L836" s="1" t="s">
        <v>112</v>
      </c>
      <c r="M836" s="1">
        <v>3</v>
      </c>
      <c r="N836" s="1" t="s">
        <v>149</v>
      </c>
      <c r="O836" s="1" t="s">
        <v>217</v>
      </c>
      <c r="R836" t="b">
        <f>IF(COUNTBLANK(Master_Reference[[#This Row],[C-Flex 3000K Eco Part Number]:[C-Flex 4000K Eco Part Number]])=3,FALSE,TRUE)</f>
        <v>1</v>
      </c>
      <c r="S836" t="b">
        <f>IF(COUNTBLANK(Master_Reference[[#This Row],[C-Flex 3000K 3W Part Number]:[C-Flex 4000K 3W Part Number]])=3,FALSE,TRUE)</f>
        <v>1</v>
      </c>
      <c r="T836" t="b">
        <f>IF(COUNTBLANK(Master_Reference[[#This Row],[Lutron 3000K Eco Part Number]:[Lutron 4000K Eco Part Number]])=3,FALSE,TRUE)</f>
        <v>1</v>
      </c>
      <c r="U836" t="b">
        <f>IF(COUNTBLANK(Master_Reference[[#This Row],[Lutron 3000K 3W Part Number]:[Lutron 4000K 3W Part Number]])=3,FALSE,TRUE)</f>
        <v>1</v>
      </c>
      <c r="V836" s="12" t="s">
        <v>1137</v>
      </c>
      <c r="W836" s="12" t="s">
        <v>1138</v>
      </c>
      <c r="X836" s="12" t="s">
        <v>1139</v>
      </c>
      <c r="Y836" t="s">
        <v>1737</v>
      </c>
      <c r="Z836" s="12" t="s">
        <v>251</v>
      </c>
      <c r="AA836" s="12" t="s">
        <v>252</v>
      </c>
      <c r="AB836" s="12" t="s">
        <v>253</v>
      </c>
      <c r="AC836" t="s">
        <v>1825</v>
      </c>
      <c r="AD836" t="str">
        <f>SUBSTITUTE(Master_Reference[[#This Row],[C-Flex 4000K Eco Part Number]],"40-","xx-")</f>
        <v>RP-T8-2FT-3L-8xx-E1-M-G2</v>
      </c>
      <c r="AE836" t="str">
        <f>SUBSTITUTE(Master_Reference[[#This Row],[C-Flex 4000K 3W Part Number]],"40-","xx-")</f>
        <v>RP-T8-2FT-3L-8xx-3W-M-G2</v>
      </c>
      <c r="AF836" s="1" t="str">
        <f>_xlfn.IFNA(VLOOKUP(Master_Reference[[#This Row],[C-Flex 3000K Eco Part Number]],Lutron_CFlex_Lookup[],MATCH("Lutron Kit PN",Lutron_CFlex_Lookup[#Headers],0),FALSE),"")</f>
        <v>ELD2T8-3M30-q</v>
      </c>
      <c r="AG836" s="1" t="str">
        <f>_xlfn.IFNA(VLOOKUP(Master_Reference[[#This Row],[C-Flex 3500K Eco Part Number]],Lutron_CFlex_Lookup[],MATCH("Lutron Kit PN",Lutron_CFlex_Lookup[#Headers],0),FALSE),"")</f>
        <v>ELD2T8-3M35-q</v>
      </c>
      <c r="AH836" s="1" t="str">
        <f>_xlfn.IFNA(VLOOKUP(Master_Reference[[#This Row],[C-Flex 4000K Eco Part Number]],Lutron_CFlex_Lookup[],MATCH("Lutron Kit PN",Lutron_CFlex_Lookup[#Headers],0),FALSE),"")</f>
        <v>ELD2T8-3M40-q</v>
      </c>
      <c r="AI836" s="1" t="str">
        <f>_xlfn.IFNA(VLOOKUP(Master_Reference[[#This Row],[C-Flex 5000K Eco Part Number]],Lutron_CFlex_Lookup[],MATCH("Lutron Kit PN",Lutron_CFlex_Lookup[#Headers],0),FALSE),"")</f>
        <v>ELD2T8-3M50-q</v>
      </c>
      <c r="AJ836" s="1" t="str">
        <f>_xlfn.IFNA(VLOOKUP(Master_Reference[[#This Row],[C-Flex 3000K 3W Part Number]],Lutron_CFlex_Lookup[],MATCH("Lutron Kit PN",Lutron_CFlex_Lookup[#Headers],0),FALSE),"")</f>
        <v>3LD2T8-3M30-q</v>
      </c>
      <c r="AK836" s="1" t="str">
        <f>_xlfn.IFNA(VLOOKUP(Master_Reference[[#This Row],[C-Flex 3500K 3W Part Number]],Lutron_CFlex_Lookup[],MATCH("Lutron Kit PN",Lutron_CFlex_Lookup[#Headers],0),FALSE),"")</f>
        <v>3LD2T8-3M35-q</v>
      </c>
      <c r="AL836" s="1" t="str">
        <f>_xlfn.IFNA(VLOOKUP(Master_Reference[[#This Row],[C-Flex 4000K 3W Part Number]],Lutron_CFlex_Lookup[],MATCH("Lutron Kit PN",Lutron_CFlex_Lookup[#Headers],0),FALSE),"")</f>
        <v>3LD2T8-3M40-q</v>
      </c>
      <c r="AM836" s="1" t="str">
        <f>_xlfn.IFNA(VLOOKUP(Master_Reference[[#This Row],[C-Flex 5000K 3W Part Number]],Lutron_CFlex_Lookup[],MATCH("Lutron Kit PN",Lutron_CFlex_Lookup[#Headers],0),FALSE),"")</f>
        <v>3LD2T8-3M50-q</v>
      </c>
      <c r="AN836" s="1" t="b">
        <f>NOT(ISNA(VLOOKUP(Master_Reference[[#This Row],[Model Number]],ObsoleteModels[],1,FALSE)))</f>
        <v>1</v>
      </c>
      <c r="AO836" s="1" t="str">
        <f>IF(LEFT(Master_Reference[[#This Row],[Model Number]],1)="U",LEFT(Master_Reference[[#This Row],[Model Number]],4),LEFT(Master_Reference[[#This Row],[Model Number]],3))</f>
        <v>H3D</v>
      </c>
    </row>
    <row r="837" spans="1:41" x14ac:dyDescent="0.25">
      <c r="A837" s="2" t="s">
        <v>1141</v>
      </c>
      <c r="B837" s="1" t="b">
        <v>1</v>
      </c>
      <c r="C837" s="1" t="b">
        <v>1</v>
      </c>
      <c r="G837" s="1" t="str">
        <f>IF(OR(LEFT(RIGHT(Master_Reference[[#This Row],[Model Number]],3),1)="C",LEFT(RIGHT(Master_Reference[[#This Row],[Model Number]],4),1)="C"),TRUE,"")</f>
        <v/>
      </c>
      <c r="H837" s="1" t="str">
        <f>IF(LEFT(Master_Reference[[#This Row],[Model Number]],1)="U",TRUE,"")</f>
        <v/>
      </c>
      <c r="I837" s="1" t="b">
        <f>IF(Master_Reference[[#This Row],[Lamp Type]]="T4","",IF(Master_Reference[[#This Row],[Case Type]]="M","",TRUE))</f>
        <v>1</v>
      </c>
      <c r="J837" s="1" t="str">
        <f t="shared" si="12"/>
        <v>T8</v>
      </c>
      <c r="K837" s="1">
        <v>25</v>
      </c>
      <c r="L837" s="1" t="s">
        <v>115</v>
      </c>
      <c r="M837" s="1">
        <v>1</v>
      </c>
      <c r="N837" s="1" t="s">
        <v>149</v>
      </c>
      <c r="O837" s="1" t="s">
        <v>113</v>
      </c>
      <c r="R837" t="b">
        <f>IF(COUNTBLANK(Master_Reference[[#This Row],[C-Flex 3000K Eco Part Number]:[C-Flex 4000K Eco Part Number]])=3,FALSE,TRUE)</f>
        <v>1</v>
      </c>
      <c r="S837" t="b">
        <f>IF(COUNTBLANK(Master_Reference[[#This Row],[C-Flex 3000K 3W Part Number]:[C-Flex 4000K 3W Part Number]])=3,FALSE,TRUE)</f>
        <v>1</v>
      </c>
      <c r="T837" t="b">
        <f>IF(COUNTBLANK(Master_Reference[[#This Row],[Lutron 3000K Eco Part Number]:[Lutron 4000K Eco Part Number]])=3,FALSE,TRUE)</f>
        <v>1</v>
      </c>
      <c r="U837" t="b">
        <f>IF(COUNTBLANK(Master_Reference[[#This Row],[Lutron 3000K 3W Part Number]:[Lutron 4000K 3W Part Number]])=3,FALSE,TRUE)</f>
        <v>1</v>
      </c>
      <c r="V837" s="12" t="s">
        <v>478</v>
      </c>
      <c r="W837" s="12" t="s">
        <v>479</v>
      </c>
      <c r="X837" s="12" t="s">
        <v>480</v>
      </c>
      <c r="Y837" t="s">
        <v>1738</v>
      </c>
      <c r="Z837" s="12" t="s">
        <v>255</v>
      </c>
      <c r="AA837" s="12" t="s">
        <v>256</v>
      </c>
      <c r="AB837" s="12" t="s">
        <v>257</v>
      </c>
      <c r="AC837" t="s">
        <v>1826</v>
      </c>
      <c r="AD837" t="str">
        <f>SUBSTITUTE(Master_Reference[[#This Row],[C-Flex 4000K Eco Part Number]],"40-","xx-")</f>
        <v>RP-T8-3FT-1L-8xx-E1-M-G2</v>
      </c>
      <c r="AE837" t="str">
        <f>SUBSTITUTE(Master_Reference[[#This Row],[C-Flex 4000K 3W Part Number]],"40-","xx-")</f>
        <v>RP-T8-3FT-1L-8xx-3W-M-G2</v>
      </c>
      <c r="AF837" s="1" t="str">
        <f>_xlfn.IFNA(VLOOKUP(Master_Reference[[#This Row],[C-Flex 3000K Eco Part Number]],Lutron_CFlex_Lookup[],MATCH("Lutron Kit PN",Lutron_CFlex_Lookup[#Headers],0),FALSE),"")</f>
        <v>ELD3T8-1M30-q</v>
      </c>
      <c r="AG837" s="1" t="str">
        <f>_xlfn.IFNA(VLOOKUP(Master_Reference[[#This Row],[C-Flex 3500K Eco Part Number]],Lutron_CFlex_Lookup[],MATCH("Lutron Kit PN",Lutron_CFlex_Lookup[#Headers],0),FALSE),"")</f>
        <v>ELD3T8-1M35-q</v>
      </c>
      <c r="AH837" s="1" t="str">
        <f>_xlfn.IFNA(VLOOKUP(Master_Reference[[#This Row],[C-Flex 4000K Eco Part Number]],Lutron_CFlex_Lookup[],MATCH("Lutron Kit PN",Lutron_CFlex_Lookup[#Headers],0),FALSE),"")</f>
        <v>ELD3T8-1M40-q</v>
      </c>
      <c r="AI837" s="1" t="str">
        <f>_xlfn.IFNA(VLOOKUP(Master_Reference[[#This Row],[C-Flex 5000K Eco Part Number]],Lutron_CFlex_Lookup[],MATCH("Lutron Kit PN",Lutron_CFlex_Lookup[#Headers],0),FALSE),"")</f>
        <v>ELD3T8-1M50-q</v>
      </c>
      <c r="AJ837" s="1" t="str">
        <f>_xlfn.IFNA(VLOOKUP(Master_Reference[[#This Row],[C-Flex 3000K 3W Part Number]],Lutron_CFlex_Lookup[],MATCH("Lutron Kit PN",Lutron_CFlex_Lookup[#Headers],0),FALSE),"")</f>
        <v>3LD3T8-1M30-q</v>
      </c>
      <c r="AK837" s="1" t="str">
        <f>_xlfn.IFNA(VLOOKUP(Master_Reference[[#This Row],[C-Flex 3500K 3W Part Number]],Lutron_CFlex_Lookup[],MATCH("Lutron Kit PN",Lutron_CFlex_Lookup[#Headers],0),FALSE),"")</f>
        <v>3LD3T8-1M35-q</v>
      </c>
      <c r="AL837" s="1" t="str">
        <f>_xlfn.IFNA(VLOOKUP(Master_Reference[[#This Row],[C-Flex 4000K 3W Part Number]],Lutron_CFlex_Lookup[],MATCH("Lutron Kit PN",Lutron_CFlex_Lookup[#Headers],0),FALSE),"")</f>
        <v>3LD3T8-1M40-q</v>
      </c>
      <c r="AM837" s="1" t="str">
        <f>_xlfn.IFNA(VLOOKUP(Master_Reference[[#This Row],[C-Flex 5000K 3W Part Number]],Lutron_CFlex_Lookup[],MATCH("Lutron Kit PN",Lutron_CFlex_Lookup[#Headers],0),FALSE),"")</f>
        <v>3LD3T8-1M50-q</v>
      </c>
      <c r="AN837" s="1" t="b">
        <f>NOT(ISNA(VLOOKUP(Master_Reference[[#This Row],[Model Number]],ObsoleteModels[],1,FALSE)))</f>
        <v>1</v>
      </c>
      <c r="AO837" s="1" t="str">
        <f>IF(LEFT(Master_Reference[[#This Row],[Model Number]],1)="U",LEFT(Master_Reference[[#This Row],[Model Number]],4),LEFT(Master_Reference[[#This Row],[Model Number]],3))</f>
        <v>H3D</v>
      </c>
    </row>
    <row r="838" spans="1:41" x14ac:dyDescent="0.25">
      <c r="A838" s="2" t="s">
        <v>1142</v>
      </c>
      <c r="B838" s="1" t="b">
        <v>1</v>
      </c>
      <c r="C838" s="1" t="b">
        <v>1</v>
      </c>
      <c r="G838" s="1" t="b">
        <v>1</v>
      </c>
      <c r="H838" s="1" t="str">
        <f>IF(LEFT(Master_Reference[[#This Row],[Model Number]],1)="U",TRUE,"")</f>
        <v/>
      </c>
      <c r="I838" s="1" t="b">
        <f>IF(Master_Reference[[#This Row],[Lamp Type]]="T4","",IF(Master_Reference[[#This Row],[Case Type]]="M","",TRUE))</f>
        <v>1</v>
      </c>
      <c r="J838" s="1" t="str">
        <f t="shared" si="12"/>
        <v>T8</v>
      </c>
      <c r="K838" s="1">
        <v>25</v>
      </c>
      <c r="L838" s="1" t="s">
        <v>115</v>
      </c>
      <c r="M838" s="1">
        <v>1</v>
      </c>
      <c r="N838" s="1" t="s">
        <v>149</v>
      </c>
      <c r="O838" s="1" t="s">
        <v>113</v>
      </c>
      <c r="R838" t="b">
        <f>IF(COUNTBLANK(Master_Reference[[#This Row],[C-Flex 3000K Eco Part Number]:[C-Flex 4000K Eco Part Number]])=3,FALSE,TRUE)</f>
        <v>1</v>
      </c>
      <c r="S838" t="b">
        <f>IF(COUNTBLANK(Master_Reference[[#This Row],[C-Flex 3000K 3W Part Number]:[C-Flex 4000K 3W Part Number]])=3,FALSE,TRUE)</f>
        <v>1</v>
      </c>
      <c r="T838" t="b">
        <f>IF(COUNTBLANK(Master_Reference[[#This Row],[Lutron 3000K Eco Part Number]:[Lutron 4000K Eco Part Number]])=3,FALSE,TRUE)</f>
        <v>1</v>
      </c>
      <c r="U838" t="b">
        <f>IF(COUNTBLANK(Master_Reference[[#This Row],[Lutron 3000K 3W Part Number]:[Lutron 4000K 3W Part Number]])=3,FALSE,TRUE)</f>
        <v>1</v>
      </c>
      <c r="V838" s="12" t="s">
        <v>478</v>
      </c>
      <c r="W838" s="12" t="s">
        <v>479</v>
      </c>
      <c r="X838" s="12" t="s">
        <v>480</v>
      </c>
      <c r="Y838" t="s">
        <v>1738</v>
      </c>
      <c r="Z838" s="12" t="s">
        <v>255</v>
      </c>
      <c r="AA838" s="12" t="s">
        <v>256</v>
      </c>
      <c r="AB838" s="12" t="s">
        <v>257</v>
      </c>
      <c r="AC838" t="s">
        <v>1826</v>
      </c>
      <c r="AD838" t="str">
        <f>SUBSTITUTE(Master_Reference[[#This Row],[C-Flex 4000K Eco Part Number]],"40-","xx-")</f>
        <v>RP-T8-3FT-1L-8xx-E1-M-G2</v>
      </c>
      <c r="AE838" t="str">
        <f>SUBSTITUTE(Master_Reference[[#This Row],[C-Flex 4000K 3W Part Number]],"40-","xx-")</f>
        <v>RP-T8-3FT-1L-8xx-3W-M-G2</v>
      </c>
      <c r="AF838" s="1" t="str">
        <f>_xlfn.IFNA(VLOOKUP(Master_Reference[[#This Row],[C-Flex 3000K Eco Part Number]],Lutron_CFlex_Lookup[],MATCH("Lutron Kit PN",Lutron_CFlex_Lookup[#Headers],0),FALSE),"")</f>
        <v>ELD3T8-1M30-q</v>
      </c>
      <c r="AG838" s="1" t="str">
        <f>_xlfn.IFNA(VLOOKUP(Master_Reference[[#This Row],[C-Flex 3500K Eco Part Number]],Lutron_CFlex_Lookup[],MATCH("Lutron Kit PN",Lutron_CFlex_Lookup[#Headers],0),FALSE),"")</f>
        <v>ELD3T8-1M35-q</v>
      </c>
      <c r="AH838" s="1" t="str">
        <f>_xlfn.IFNA(VLOOKUP(Master_Reference[[#This Row],[C-Flex 4000K Eco Part Number]],Lutron_CFlex_Lookup[],MATCH("Lutron Kit PN",Lutron_CFlex_Lookup[#Headers],0),FALSE),"")</f>
        <v>ELD3T8-1M40-q</v>
      </c>
      <c r="AI838" s="1" t="str">
        <f>_xlfn.IFNA(VLOOKUP(Master_Reference[[#This Row],[C-Flex 5000K Eco Part Number]],Lutron_CFlex_Lookup[],MATCH("Lutron Kit PN",Lutron_CFlex_Lookup[#Headers],0),FALSE),"")</f>
        <v>ELD3T8-1M50-q</v>
      </c>
      <c r="AJ838" s="1" t="str">
        <f>_xlfn.IFNA(VLOOKUP(Master_Reference[[#This Row],[C-Flex 3000K 3W Part Number]],Lutron_CFlex_Lookup[],MATCH("Lutron Kit PN",Lutron_CFlex_Lookup[#Headers],0),FALSE),"")</f>
        <v>3LD3T8-1M30-q</v>
      </c>
      <c r="AK838" s="1" t="str">
        <f>_xlfn.IFNA(VLOOKUP(Master_Reference[[#This Row],[C-Flex 3500K 3W Part Number]],Lutron_CFlex_Lookup[],MATCH("Lutron Kit PN",Lutron_CFlex_Lookup[#Headers],0),FALSE),"")</f>
        <v>3LD3T8-1M35-q</v>
      </c>
      <c r="AL838" s="1" t="str">
        <f>_xlfn.IFNA(VLOOKUP(Master_Reference[[#This Row],[C-Flex 4000K 3W Part Number]],Lutron_CFlex_Lookup[],MATCH("Lutron Kit PN",Lutron_CFlex_Lookup[#Headers],0),FALSE),"")</f>
        <v>3LD3T8-1M40-q</v>
      </c>
      <c r="AM838" s="1" t="str">
        <f>_xlfn.IFNA(VLOOKUP(Master_Reference[[#This Row],[C-Flex 5000K 3W Part Number]],Lutron_CFlex_Lookup[],MATCH("Lutron Kit PN",Lutron_CFlex_Lookup[#Headers],0),FALSE),"")</f>
        <v>3LD3T8-1M50-q</v>
      </c>
      <c r="AN838" s="1" t="b">
        <f>NOT(ISNA(VLOOKUP(Master_Reference[[#This Row],[Model Number]],ObsoleteModels[],1,FALSE)))</f>
        <v>1</v>
      </c>
      <c r="AO838" s="1" t="str">
        <f>IF(LEFT(Master_Reference[[#This Row],[Model Number]],1)="U",LEFT(Master_Reference[[#This Row],[Model Number]],4),LEFT(Master_Reference[[#This Row],[Model Number]],3))</f>
        <v>H3D</v>
      </c>
    </row>
    <row r="839" spans="1:41" x14ac:dyDescent="0.25">
      <c r="A839" s="2" t="s">
        <v>1143</v>
      </c>
      <c r="B839" s="1" t="b">
        <v>1</v>
      </c>
      <c r="C839" s="1" t="b">
        <v>1</v>
      </c>
      <c r="G839" s="1" t="b">
        <f>IF(OR(LEFT(RIGHT(Master_Reference[[#This Row],[Model Number]],3),1)="C",LEFT(RIGHT(Master_Reference[[#This Row],[Model Number]],4),1)="C"),TRUE,"")</f>
        <v>1</v>
      </c>
      <c r="H839" s="1" t="str">
        <f>IF(LEFT(Master_Reference[[#This Row],[Model Number]],1)="U",TRUE,"")</f>
        <v/>
      </c>
      <c r="I839" s="1" t="b">
        <f>IF(Master_Reference[[#This Row],[Lamp Type]]="T4","",IF(Master_Reference[[#This Row],[Case Type]]="M","",TRUE))</f>
        <v>1</v>
      </c>
      <c r="J839" s="1" t="str">
        <f t="shared" si="12"/>
        <v>T8</v>
      </c>
      <c r="K839" s="1">
        <v>25</v>
      </c>
      <c r="L839" s="1" t="s">
        <v>115</v>
      </c>
      <c r="M839" s="1">
        <v>1</v>
      </c>
      <c r="N839" s="1" t="s">
        <v>149</v>
      </c>
      <c r="O839" s="1" t="s">
        <v>113</v>
      </c>
      <c r="R839" t="b">
        <f>IF(COUNTBLANK(Master_Reference[[#This Row],[C-Flex 3000K Eco Part Number]:[C-Flex 4000K Eco Part Number]])=3,FALSE,TRUE)</f>
        <v>1</v>
      </c>
      <c r="S839" t="b">
        <f>IF(COUNTBLANK(Master_Reference[[#This Row],[C-Flex 3000K 3W Part Number]:[C-Flex 4000K 3W Part Number]])=3,FALSE,TRUE)</f>
        <v>1</v>
      </c>
      <c r="T839" t="b">
        <f>IF(COUNTBLANK(Master_Reference[[#This Row],[Lutron 3000K Eco Part Number]:[Lutron 4000K Eco Part Number]])=3,FALSE,TRUE)</f>
        <v>1</v>
      </c>
      <c r="U839" t="b">
        <f>IF(COUNTBLANK(Master_Reference[[#This Row],[Lutron 3000K 3W Part Number]:[Lutron 4000K 3W Part Number]])=3,FALSE,TRUE)</f>
        <v>1</v>
      </c>
      <c r="V839" s="12" t="s">
        <v>478</v>
      </c>
      <c r="W839" s="12" t="s">
        <v>479</v>
      </c>
      <c r="X839" s="12" t="s">
        <v>480</v>
      </c>
      <c r="Y839" t="s">
        <v>1738</v>
      </c>
      <c r="Z839" s="12" t="s">
        <v>255</v>
      </c>
      <c r="AA839" s="12" t="s">
        <v>256</v>
      </c>
      <c r="AB839" s="12" t="s">
        <v>257</v>
      </c>
      <c r="AC839" t="s">
        <v>1826</v>
      </c>
      <c r="AD839" t="str">
        <f>SUBSTITUTE(Master_Reference[[#This Row],[C-Flex 4000K Eco Part Number]],"40-","xx-")</f>
        <v>RP-T8-3FT-1L-8xx-E1-M-G2</v>
      </c>
      <c r="AE839" t="str">
        <f>SUBSTITUTE(Master_Reference[[#This Row],[C-Flex 4000K 3W Part Number]],"40-","xx-")</f>
        <v>RP-T8-3FT-1L-8xx-3W-M-G2</v>
      </c>
      <c r="AF839" s="1" t="str">
        <f>_xlfn.IFNA(VLOOKUP(Master_Reference[[#This Row],[C-Flex 3000K Eco Part Number]],Lutron_CFlex_Lookup[],MATCH("Lutron Kit PN",Lutron_CFlex_Lookup[#Headers],0),FALSE),"")</f>
        <v>ELD3T8-1M30-q</v>
      </c>
      <c r="AG839" s="1" t="str">
        <f>_xlfn.IFNA(VLOOKUP(Master_Reference[[#This Row],[C-Flex 3500K Eco Part Number]],Lutron_CFlex_Lookup[],MATCH("Lutron Kit PN",Lutron_CFlex_Lookup[#Headers],0),FALSE),"")</f>
        <v>ELD3T8-1M35-q</v>
      </c>
      <c r="AH839" s="1" t="str">
        <f>_xlfn.IFNA(VLOOKUP(Master_Reference[[#This Row],[C-Flex 4000K Eco Part Number]],Lutron_CFlex_Lookup[],MATCH("Lutron Kit PN",Lutron_CFlex_Lookup[#Headers],0),FALSE),"")</f>
        <v>ELD3T8-1M40-q</v>
      </c>
      <c r="AI839" s="1" t="str">
        <f>_xlfn.IFNA(VLOOKUP(Master_Reference[[#This Row],[C-Flex 5000K Eco Part Number]],Lutron_CFlex_Lookup[],MATCH("Lutron Kit PN",Lutron_CFlex_Lookup[#Headers],0),FALSE),"")</f>
        <v>ELD3T8-1M50-q</v>
      </c>
      <c r="AJ839" s="1" t="str">
        <f>_xlfn.IFNA(VLOOKUP(Master_Reference[[#This Row],[C-Flex 3000K 3W Part Number]],Lutron_CFlex_Lookup[],MATCH("Lutron Kit PN",Lutron_CFlex_Lookup[#Headers],0),FALSE),"")</f>
        <v>3LD3T8-1M30-q</v>
      </c>
      <c r="AK839" s="1" t="str">
        <f>_xlfn.IFNA(VLOOKUP(Master_Reference[[#This Row],[C-Flex 3500K 3W Part Number]],Lutron_CFlex_Lookup[],MATCH("Lutron Kit PN",Lutron_CFlex_Lookup[#Headers],0),FALSE),"")</f>
        <v>3LD3T8-1M35-q</v>
      </c>
      <c r="AL839" s="1" t="str">
        <f>_xlfn.IFNA(VLOOKUP(Master_Reference[[#This Row],[C-Flex 4000K 3W Part Number]],Lutron_CFlex_Lookup[],MATCH("Lutron Kit PN",Lutron_CFlex_Lookup[#Headers],0),FALSE),"")</f>
        <v>3LD3T8-1M40-q</v>
      </c>
      <c r="AM839" s="1" t="str">
        <f>_xlfn.IFNA(VLOOKUP(Master_Reference[[#This Row],[C-Flex 5000K 3W Part Number]],Lutron_CFlex_Lookup[],MATCH("Lutron Kit PN",Lutron_CFlex_Lookup[#Headers],0),FALSE),"")</f>
        <v>3LD3T8-1M50-q</v>
      </c>
      <c r="AN839" s="1" t="b">
        <f>NOT(ISNA(VLOOKUP(Master_Reference[[#This Row],[Model Number]],ObsoleteModels[],1,FALSE)))</f>
        <v>1</v>
      </c>
      <c r="AO839" s="1" t="str">
        <f>IF(LEFT(Master_Reference[[#This Row],[Model Number]],1)="U",LEFT(Master_Reference[[#This Row],[Model Number]],4),LEFT(Master_Reference[[#This Row],[Model Number]],3))</f>
        <v>H3D</v>
      </c>
    </row>
    <row r="840" spans="1:41" x14ac:dyDescent="0.25">
      <c r="A840" s="2" t="s">
        <v>1144</v>
      </c>
      <c r="B840" s="1" t="b">
        <v>1</v>
      </c>
      <c r="C840" s="1" t="b">
        <v>1</v>
      </c>
      <c r="G840" s="1" t="b">
        <f>IF(OR(LEFT(RIGHT(Master_Reference[[#This Row],[Model Number]],3),1)="C",LEFT(RIGHT(Master_Reference[[#This Row],[Model Number]],4),1)="C"),TRUE,"")</f>
        <v>1</v>
      </c>
      <c r="H840" s="1" t="str">
        <f>IF(LEFT(Master_Reference[[#This Row],[Model Number]],1)="U",TRUE,"")</f>
        <v/>
      </c>
      <c r="I840" s="1" t="b">
        <f>IF(Master_Reference[[#This Row],[Lamp Type]]="T4","",IF(Master_Reference[[#This Row],[Case Type]]="M","",TRUE))</f>
        <v>1</v>
      </c>
      <c r="J840" s="1" t="str">
        <f t="shared" si="12"/>
        <v>T8</v>
      </c>
      <c r="K840" s="1">
        <v>25</v>
      </c>
      <c r="L840" s="1" t="s">
        <v>115</v>
      </c>
      <c r="M840" s="1">
        <v>1</v>
      </c>
      <c r="N840" s="1" t="s">
        <v>149</v>
      </c>
      <c r="O840" s="1" t="s">
        <v>113</v>
      </c>
      <c r="R840" t="b">
        <f>IF(COUNTBLANK(Master_Reference[[#This Row],[C-Flex 3000K Eco Part Number]:[C-Flex 4000K Eco Part Number]])=3,FALSE,TRUE)</f>
        <v>1</v>
      </c>
      <c r="S840" t="b">
        <f>IF(COUNTBLANK(Master_Reference[[#This Row],[C-Flex 3000K 3W Part Number]:[C-Flex 4000K 3W Part Number]])=3,FALSE,TRUE)</f>
        <v>1</v>
      </c>
      <c r="T840" t="b">
        <f>IF(COUNTBLANK(Master_Reference[[#This Row],[Lutron 3000K Eco Part Number]:[Lutron 4000K Eco Part Number]])=3,FALSE,TRUE)</f>
        <v>1</v>
      </c>
      <c r="U840" t="b">
        <f>IF(COUNTBLANK(Master_Reference[[#This Row],[Lutron 3000K 3W Part Number]:[Lutron 4000K 3W Part Number]])=3,FALSE,TRUE)</f>
        <v>1</v>
      </c>
      <c r="V840" s="12" t="s">
        <v>478</v>
      </c>
      <c r="W840" s="12" t="s">
        <v>479</v>
      </c>
      <c r="X840" s="12" t="s">
        <v>480</v>
      </c>
      <c r="Y840" t="s">
        <v>1738</v>
      </c>
      <c r="Z840" s="12" t="s">
        <v>255</v>
      </c>
      <c r="AA840" s="12" t="s">
        <v>256</v>
      </c>
      <c r="AB840" s="12" t="s">
        <v>257</v>
      </c>
      <c r="AC840" t="s">
        <v>1826</v>
      </c>
      <c r="AD840" t="str">
        <f>SUBSTITUTE(Master_Reference[[#This Row],[C-Flex 4000K Eco Part Number]],"40-","xx-")</f>
        <v>RP-T8-3FT-1L-8xx-E1-M-G2</v>
      </c>
      <c r="AE840" t="str">
        <f>SUBSTITUTE(Master_Reference[[#This Row],[C-Flex 4000K 3W Part Number]],"40-","xx-")</f>
        <v>RP-T8-3FT-1L-8xx-3W-M-G2</v>
      </c>
      <c r="AF840" s="1" t="str">
        <f>_xlfn.IFNA(VLOOKUP(Master_Reference[[#This Row],[C-Flex 3000K Eco Part Number]],Lutron_CFlex_Lookup[],MATCH("Lutron Kit PN",Lutron_CFlex_Lookup[#Headers],0),FALSE),"")</f>
        <v>ELD3T8-1M30-q</v>
      </c>
      <c r="AG840" s="1" t="str">
        <f>_xlfn.IFNA(VLOOKUP(Master_Reference[[#This Row],[C-Flex 3500K Eco Part Number]],Lutron_CFlex_Lookup[],MATCH("Lutron Kit PN",Lutron_CFlex_Lookup[#Headers],0),FALSE),"")</f>
        <v>ELD3T8-1M35-q</v>
      </c>
      <c r="AH840" s="1" t="str">
        <f>_xlfn.IFNA(VLOOKUP(Master_Reference[[#This Row],[C-Flex 4000K Eco Part Number]],Lutron_CFlex_Lookup[],MATCH("Lutron Kit PN",Lutron_CFlex_Lookup[#Headers],0),FALSE),"")</f>
        <v>ELD3T8-1M40-q</v>
      </c>
      <c r="AI840" s="1" t="str">
        <f>_xlfn.IFNA(VLOOKUP(Master_Reference[[#This Row],[C-Flex 5000K Eco Part Number]],Lutron_CFlex_Lookup[],MATCH("Lutron Kit PN",Lutron_CFlex_Lookup[#Headers],0),FALSE),"")</f>
        <v>ELD3T8-1M50-q</v>
      </c>
      <c r="AJ840" s="1" t="str">
        <f>_xlfn.IFNA(VLOOKUP(Master_Reference[[#This Row],[C-Flex 3000K 3W Part Number]],Lutron_CFlex_Lookup[],MATCH("Lutron Kit PN",Lutron_CFlex_Lookup[#Headers],0),FALSE),"")</f>
        <v>3LD3T8-1M30-q</v>
      </c>
      <c r="AK840" s="1" t="str">
        <f>_xlfn.IFNA(VLOOKUP(Master_Reference[[#This Row],[C-Flex 3500K 3W Part Number]],Lutron_CFlex_Lookup[],MATCH("Lutron Kit PN",Lutron_CFlex_Lookup[#Headers],0),FALSE),"")</f>
        <v>3LD3T8-1M35-q</v>
      </c>
      <c r="AL840" s="1" t="str">
        <f>_xlfn.IFNA(VLOOKUP(Master_Reference[[#This Row],[C-Flex 4000K 3W Part Number]],Lutron_CFlex_Lookup[],MATCH("Lutron Kit PN",Lutron_CFlex_Lookup[#Headers],0),FALSE),"")</f>
        <v>3LD3T8-1M40-q</v>
      </c>
      <c r="AM840" s="1" t="str">
        <f>_xlfn.IFNA(VLOOKUP(Master_Reference[[#This Row],[C-Flex 5000K 3W Part Number]],Lutron_CFlex_Lookup[],MATCH("Lutron Kit PN",Lutron_CFlex_Lookup[#Headers],0),FALSE),"")</f>
        <v>3LD3T8-1M50-q</v>
      </c>
      <c r="AN840" s="1" t="b">
        <f>NOT(ISNA(VLOOKUP(Master_Reference[[#This Row],[Model Number]],ObsoleteModels[],1,FALSE)))</f>
        <v>1</v>
      </c>
      <c r="AO840" s="1" t="str">
        <f>IF(LEFT(Master_Reference[[#This Row],[Model Number]],1)="U",LEFT(Master_Reference[[#This Row],[Model Number]],4),LEFT(Master_Reference[[#This Row],[Model Number]],3))</f>
        <v>H3D</v>
      </c>
    </row>
    <row r="841" spans="1:41" x14ac:dyDescent="0.25">
      <c r="A841" s="2" t="s">
        <v>1145</v>
      </c>
      <c r="B841" s="1" t="b">
        <v>1</v>
      </c>
      <c r="C841" s="1" t="b">
        <v>1</v>
      </c>
      <c r="G841" s="1" t="b">
        <f>IF(OR(LEFT(RIGHT(Master_Reference[[#This Row],[Model Number]],3),1)="C",LEFT(RIGHT(Master_Reference[[#This Row],[Model Number]],4),1)="C"),TRUE,"")</f>
        <v>1</v>
      </c>
      <c r="H841" s="1" t="str">
        <f>IF(LEFT(Master_Reference[[#This Row],[Model Number]],1)="U",TRUE,"")</f>
        <v/>
      </c>
      <c r="I841" s="1" t="b">
        <f>IF(Master_Reference[[#This Row],[Lamp Type]]="T4","",IF(Master_Reference[[#This Row],[Case Type]]="M","",TRUE))</f>
        <v>1</v>
      </c>
      <c r="J841" s="1" t="str">
        <f t="shared" si="12"/>
        <v>T8</v>
      </c>
      <c r="K841" s="1">
        <v>25</v>
      </c>
      <c r="L841" s="1" t="s">
        <v>115</v>
      </c>
      <c r="M841" s="1">
        <v>1</v>
      </c>
      <c r="N841" s="1" t="s">
        <v>149</v>
      </c>
      <c r="O841" s="1" t="s">
        <v>113</v>
      </c>
      <c r="R841" t="b">
        <f>IF(COUNTBLANK(Master_Reference[[#This Row],[C-Flex 3000K Eco Part Number]:[C-Flex 4000K Eco Part Number]])=3,FALSE,TRUE)</f>
        <v>1</v>
      </c>
      <c r="S841" t="b">
        <f>IF(COUNTBLANK(Master_Reference[[#This Row],[C-Flex 3000K 3W Part Number]:[C-Flex 4000K 3W Part Number]])=3,FALSE,TRUE)</f>
        <v>1</v>
      </c>
      <c r="T841" t="b">
        <f>IF(COUNTBLANK(Master_Reference[[#This Row],[Lutron 3000K Eco Part Number]:[Lutron 4000K Eco Part Number]])=3,FALSE,TRUE)</f>
        <v>1</v>
      </c>
      <c r="U841" t="b">
        <f>IF(COUNTBLANK(Master_Reference[[#This Row],[Lutron 3000K 3W Part Number]:[Lutron 4000K 3W Part Number]])=3,FALSE,TRUE)</f>
        <v>1</v>
      </c>
      <c r="V841" s="12" t="s">
        <v>478</v>
      </c>
      <c r="W841" s="12" t="s">
        <v>479</v>
      </c>
      <c r="X841" s="12" t="s">
        <v>480</v>
      </c>
      <c r="Y841" t="s">
        <v>1738</v>
      </c>
      <c r="Z841" s="12" t="s">
        <v>255</v>
      </c>
      <c r="AA841" s="12" t="s">
        <v>256</v>
      </c>
      <c r="AB841" s="12" t="s">
        <v>257</v>
      </c>
      <c r="AC841" t="s">
        <v>1826</v>
      </c>
      <c r="AD841" t="str">
        <f>SUBSTITUTE(Master_Reference[[#This Row],[C-Flex 4000K Eco Part Number]],"40-","xx-")</f>
        <v>RP-T8-3FT-1L-8xx-E1-M-G2</v>
      </c>
      <c r="AE841" t="str">
        <f>SUBSTITUTE(Master_Reference[[#This Row],[C-Flex 4000K 3W Part Number]],"40-","xx-")</f>
        <v>RP-T8-3FT-1L-8xx-3W-M-G2</v>
      </c>
      <c r="AF841" s="1" t="str">
        <f>_xlfn.IFNA(VLOOKUP(Master_Reference[[#This Row],[C-Flex 3000K Eco Part Number]],Lutron_CFlex_Lookup[],MATCH("Lutron Kit PN",Lutron_CFlex_Lookup[#Headers],0),FALSE),"")</f>
        <v>ELD3T8-1M30-q</v>
      </c>
      <c r="AG841" s="1" t="str">
        <f>_xlfn.IFNA(VLOOKUP(Master_Reference[[#This Row],[C-Flex 3500K Eco Part Number]],Lutron_CFlex_Lookup[],MATCH("Lutron Kit PN",Lutron_CFlex_Lookup[#Headers],0),FALSE),"")</f>
        <v>ELD3T8-1M35-q</v>
      </c>
      <c r="AH841" s="1" t="str">
        <f>_xlfn.IFNA(VLOOKUP(Master_Reference[[#This Row],[C-Flex 4000K Eco Part Number]],Lutron_CFlex_Lookup[],MATCH("Lutron Kit PN",Lutron_CFlex_Lookup[#Headers],0),FALSE),"")</f>
        <v>ELD3T8-1M40-q</v>
      </c>
      <c r="AI841" s="1" t="str">
        <f>_xlfn.IFNA(VLOOKUP(Master_Reference[[#This Row],[C-Flex 5000K Eco Part Number]],Lutron_CFlex_Lookup[],MATCH("Lutron Kit PN",Lutron_CFlex_Lookup[#Headers],0),FALSE),"")</f>
        <v>ELD3T8-1M50-q</v>
      </c>
      <c r="AJ841" s="1" t="str">
        <f>_xlfn.IFNA(VLOOKUP(Master_Reference[[#This Row],[C-Flex 3000K 3W Part Number]],Lutron_CFlex_Lookup[],MATCH("Lutron Kit PN",Lutron_CFlex_Lookup[#Headers],0),FALSE),"")</f>
        <v>3LD3T8-1M30-q</v>
      </c>
      <c r="AK841" s="1" t="str">
        <f>_xlfn.IFNA(VLOOKUP(Master_Reference[[#This Row],[C-Flex 3500K 3W Part Number]],Lutron_CFlex_Lookup[],MATCH("Lutron Kit PN",Lutron_CFlex_Lookup[#Headers],0),FALSE),"")</f>
        <v>3LD3T8-1M35-q</v>
      </c>
      <c r="AL841" s="1" t="str">
        <f>_xlfn.IFNA(VLOOKUP(Master_Reference[[#This Row],[C-Flex 4000K 3W Part Number]],Lutron_CFlex_Lookup[],MATCH("Lutron Kit PN",Lutron_CFlex_Lookup[#Headers],0),FALSE),"")</f>
        <v>3LD3T8-1M40-q</v>
      </c>
      <c r="AM841" s="1" t="str">
        <f>_xlfn.IFNA(VLOOKUP(Master_Reference[[#This Row],[C-Flex 5000K 3W Part Number]],Lutron_CFlex_Lookup[],MATCH("Lutron Kit PN",Lutron_CFlex_Lookup[#Headers],0),FALSE),"")</f>
        <v>3LD3T8-1M50-q</v>
      </c>
      <c r="AN841" s="1" t="b">
        <f>NOT(ISNA(VLOOKUP(Master_Reference[[#This Row],[Model Number]],ObsoleteModels[],1,FALSE)))</f>
        <v>1</v>
      </c>
      <c r="AO841" s="1" t="str">
        <f>IF(LEFT(Master_Reference[[#This Row],[Model Number]],1)="U",LEFT(Master_Reference[[#This Row],[Model Number]],4),LEFT(Master_Reference[[#This Row],[Model Number]],3))</f>
        <v>H3D</v>
      </c>
    </row>
    <row r="842" spans="1:41" x14ac:dyDescent="0.25">
      <c r="A842" s="2" t="s">
        <v>1146</v>
      </c>
      <c r="B842" s="1" t="b">
        <v>1</v>
      </c>
      <c r="C842" s="1" t="b">
        <v>1</v>
      </c>
      <c r="G842" s="1" t="str">
        <f>IF(OR(LEFT(RIGHT(Master_Reference[[#This Row],[Model Number]],3),1)="C",LEFT(RIGHT(Master_Reference[[#This Row],[Model Number]],4),1)="C"),TRUE,"")</f>
        <v/>
      </c>
      <c r="H842" s="1" t="str">
        <f>IF(LEFT(Master_Reference[[#This Row],[Model Number]],1)="U",TRUE,"")</f>
        <v/>
      </c>
      <c r="I842" s="1" t="b">
        <f>IF(Master_Reference[[#This Row],[Lamp Type]]="T4","",IF(Master_Reference[[#This Row],[Case Type]]="M","",TRUE))</f>
        <v>1</v>
      </c>
      <c r="J842" s="1" t="str">
        <f t="shared" si="12"/>
        <v>T8</v>
      </c>
      <c r="K842" s="1">
        <v>25</v>
      </c>
      <c r="L842" s="1" t="s">
        <v>115</v>
      </c>
      <c r="M842" s="1">
        <v>2</v>
      </c>
      <c r="N842" s="1" t="s">
        <v>149</v>
      </c>
      <c r="O842" s="1" t="s">
        <v>113</v>
      </c>
      <c r="R842" t="b">
        <f>IF(COUNTBLANK(Master_Reference[[#This Row],[C-Flex 3000K Eco Part Number]:[C-Flex 4000K Eco Part Number]])=3,FALSE,TRUE)</f>
        <v>1</v>
      </c>
      <c r="S842" t="b">
        <f>IF(COUNTBLANK(Master_Reference[[#This Row],[C-Flex 3000K 3W Part Number]:[C-Flex 4000K 3W Part Number]])=3,FALSE,TRUE)</f>
        <v>1</v>
      </c>
      <c r="T842" t="b">
        <f>IF(COUNTBLANK(Master_Reference[[#This Row],[Lutron 3000K Eco Part Number]:[Lutron 4000K Eco Part Number]])=3,FALSE,TRUE)</f>
        <v>1</v>
      </c>
      <c r="U842" t="b">
        <f>IF(COUNTBLANK(Master_Reference[[#This Row],[Lutron 3000K 3W Part Number]:[Lutron 4000K 3W Part Number]])=3,FALSE,TRUE)</f>
        <v>1</v>
      </c>
      <c r="V842" s="12" t="s">
        <v>482</v>
      </c>
      <c r="W842" s="12" t="s">
        <v>483</v>
      </c>
      <c r="X842" s="12" t="s">
        <v>484</v>
      </c>
      <c r="Y842" t="s">
        <v>1739</v>
      </c>
      <c r="Z842" s="12" t="s">
        <v>259</v>
      </c>
      <c r="AA842" s="12" t="s">
        <v>260</v>
      </c>
      <c r="AB842" s="12" t="s">
        <v>261</v>
      </c>
      <c r="AC842" t="s">
        <v>1827</v>
      </c>
      <c r="AD842" t="str">
        <f>SUBSTITUTE(Master_Reference[[#This Row],[C-Flex 4000K Eco Part Number]],"40-","xx-")</f>
        <v>RP-T8-3FT-2L-8xx-E1-M-G2</v>
      </c>
      <c r="AE842" t="str">
        <f>SUBSTITUTE(Master_Reference[[#This Row],[C-Flex 4000K 3W Part Number]],"40-","xx-")</f>
        <v>RP-T8-3FT-2L-8xx-3W-M-G2</v>
      </c>
      <c r="AF842" s="1" t="str">
        <f>_xlfn.IFNA(VLOOKUP(Master_Reference[[#This Row],[C-Flex 3000K Eco Part Number]],Lutron_CFlex_Lookup[],MATCH("Lutron Kit PN",Lutron_CFlex_Lookup[#Headers],0),FALSE),"")</f>
        <v>ELD3T8-2M30-q</v>
      </c>
      <c r="AG842" s="1" t="str">
        <f>_xlfn.IFNA(VLOOKUP(Master_Reference[[#This Row],[C-Flex 3500K Eco Part Number]],Lutron_CFlex_Lookup[],MATCH("Lutron Kit PN",Lutron_CFlex_Lookup[#Headers],0),FALSE),"")</f>
        <v>ELD3T8-2M35-q</v>
      </c>
      <c r="AH842" s="1" t="str">
        <f>_xlfn.IFNA(VLOOKUP(Master_Reference[[#This Row],[C-Flex 4000K Eco Part Number]],Lutron_CFlex_Lookup[],MATCH("Lutron Kit PN",Lutron_CFlex_Lookup[#Headers],0),FALSE),"")</f>
        <v>ELD3T8-2M40-q</v>
      </c>
      <c r="AI842" s="1" t="str">
        <f>_xlfn.IFNA(VLOOKUP(Master_Reference[[#This Row],[C-Flex 5000K Eco Part Number]],Lutron_CFlex_Lookup[],MATCH("Lutron Kit PN",Lutron_CFlex_Lookup[#Headers],0),FALSE),"")</f>
        <v>ELD3T8-2M50-q</v>
      </c>
      <c r="AJ842" s="1" t="str">
        <f>_xlfn.IFNA(VLOOKUP(Master_Reference[[#This Row],[C-Flex 3000K 3W Part Number]],Lutron_CFlex_Lookup[],MATCH("Lutron Kit PN",Lutron_CFlex_Lookup[#Headers],0),FALSE),"")</f>
        <v>3LD3T8-2M30-q</v>
      </c>
      <c r="AK842" s="1" t="str">
        <f>_xlfn.IFNA(VLOOKUP(Master_Reference[[#This Row],[C-Flex 3500K 3W Part Number]],Lutron_CFlex_Lookup[],MATCH("Lutron Kit PN",Lutron_CFlex_Lookup[#Headers],0),FALSE),"")</f>
        <v>3LD3T8-2M35-q</v>
      </c>
      <c r="AL842" s="1" t="str">
        <f>_xlfn.IFNA(VLOOKUP(Master_Reference[[#This Row],[C-Flex 4000K 3W Part Number]],Lutron_CFlex_Lookup[],MATCH("Lutron Kit PN",Lutron_CFlex_Lookup[#Headers],0),FALSE),"")</f>
        <v>3LD3T8-2M40-q</v>
      </c>
      <c r="AM842" s="1" t="str">
        <f>_xlfn.IFNA(VLOOKUP(Master_Reference[[#This Row],[C-Flex 5000K 3W Part Number]],Lutron_CFlex_Lookup[],MATCH("Lutron Kit PN",Lutron_CFlex_Lookup[#Headers],0),FALSE),"")</f>
        <v>3LD3T8-2M50-q</v>
      </c>
      <c r="AN842" s="1" t="b">
        <f>NOT(ISNA(VLOOKUP(Master_Reference[[#This Row],[Model Number]],ObsoleteModels[],1,FALSE)))</f>
        <v>1</v>
      </c>
      <c r="AO842" s="1" t="str">
        <f>IF(LEFT(Master_Reference[[#This Row],[Model Number]],1)="U",LEFT(Master_Reference[[#This Row],[Model Number]],4),LEFT(Master_Reference[[#This Row],[Model Number]],3))</f>
        <v>H3D</v>
      </c>
    </row>
    <row r="843" spans="1:41" x14ac:dyDescent="0.25">
      <c r="A843" s="2" t="s">
        <v>1147</v>
      </c>
      <c r="B843" s="1" t="b">
        <v>1</v>
      </c>
      <c r="C843" s="1" t="b">
        <v>1</v>
      </c>
      <c r="G843" s="1" t="str">
        <f>IF(OR(LEFT(RIGHT(Master_Reference[[#This Row],[Model Number]],3),1)="C",LEFT(RIGHT(Master_Reference[[#This Row],[Model Number]],4),1)="C"),TRUE,"")</f>
        <v/>
      </c>
      <c r="H843" s="1" t="str">
        <f>IF(LEFT(Master_Reference[[#This Row],[Model Number]],1)="U",TRUE,"")</f>
        <v/>
      </c>
      <c r="I843" s="1" t="b">
        <f>IF(Master_Reference[[#This Row],[Lamp Type]]="T4","",IF(Master_Reference[[#This Row],[Case Type]]="M","",TRUE))</f>
        <v>1</v>
      </c>
      <c r="J843" s="1" t="str">
        <f t="shared" si="12"/>
        <v>T8</v>
      </c>
      <c r="K843" s="1">
        <v>25</v>
      </c>
      <c r="L843" s="1" t="s">
        <v>115</v>
      </c>
      <c r="M843" s="1">
        <v>2</v>
      </c>
      <c r="N843" s="1" t="s">
        <v>149</v>
      </c>
      <c r="O843" s="1" t="s">
        <v>113</v>
      </c>
      <c r="Q843" s="1" t="s">
        <v>91</v>
      </c>
      <c r="R843" t="b">
        <f>IF(COUNTBLANK(Master_Reference[[#This Row],[C-Flex 3000K Eco Part Number]:[C-Flex 4000K Eco Part Number]])=3,FALSE,TRUE)</f>
        <v>0</v>
      </c>
      <c r="S843" t="b">
        <f>IF(COUNTBLANK(Master_Reference[[#This Row],[C-Flex 3000K 3W Part Number]:[C-Flex 4000K 3W Part Number]])=3,FALSE,TRUE)</f>
        <v>0</v>
      </c>
      <c r="T843" t="b">
        <f>IF(COUNTBLANK(Master_Reference[[#This Row],[Lutron 3000K Eco Part Number]:[Lutron 4000K Eco Part Number]])=3,FALSE,TRUE)</f>
        <v>0</v>
      </c>
      <c r="U843" t="b">
        <f>IF(COUNTBLANK(Master_Reference[[#This Row],[Lutron 3000K 3W Part Number]:[Lutron 4000K 3W Part Number]])=3,FALSE,TRUE)</f>
        <v>0</v>
      </c>
      <c r="V843" s="12"/>
      <c r="W843" s="12"/>
      <c r="X843" s="12"/>
      <c r="Y843" t="s">
        <v>2125</v>
      </c>
      <c r="Z843" s="12"/>
      <c r="AA843" s="12"/>
      <c r="AB843" s="12"/>
      <c r="AC843" t="s">
        <v>2125</v>
      </c>
      <c r="AD843" t="str">
        <f>SUBSTITUTE(Master_Reference[[#This Row],[C-Flex 4000K Eco Part Number]],"40-","xx-")</f>
        <v/>
      </c>
      <c r="AE843" t="str">
        <f>SUBSTITUTE(Master_Reference[[#This Row],[C-Flex 4000K 3W Part Number]],"40-","xx-")</f>
        <v/>
      </c>
      <c r="AF843" s="1" t="str">
        <f>_xlfn.IFNA(VLOOKUP(Master_Reference[[#This Row],[C-Flex 3000K Eco Part Number]],Lutron_CFlex_Lookup[],MATCH("Lutron Kit PN",Lutron_CFlex_Lookup[#Headers],0),FALSE),"")</f>
        <v/>
      </c>
      <c r="AG843" s="1" t="str">
        <f>_xlfn.IFNA(VLOOKUP(Master_Reference[[#This Row],[C-Flex 3500K Eco Part Number]],Lutron_CFlex_Lookup[],MATCH("Lutron Kit PN",Lutron_CFlex_Lookup[#Headers],0),FALSE),"")</f>
        <v/>
      </c>
      <c r="AH843" s="1" t="str">
        <f>_xlfn.IFNA(VLOOKUP(Master_Reference[[#This Row],[C-Flex 4000K Eco Part Number]],Lutron_CFlex_Lookup[],MATCH("Lutron Kit PN",Lutron_CFlex_Lookup[#Headers],0),FALSE),"")</f>
        <v/>
      </c>
      <c r="AI843" s="1" t="str">
        <f>_xlfn.IFNA(VLOOKUP(Master_Reference[[#This Row],[C-Flex 5000K Eco Part Number]],Lutron_CFlex_Lookup[],MATCH("Lutron Kit PN",Lutron_CFlex_Lookup[#Headers],0),FALSE),"")</f>
        <v/>
      </c>
      <c r="AJ843" s="1" t="str">
        <f>_xlfn.IFNA(VLOOKUP(Master_Reference[[#This Row],[C-Flex 3000K 3W Part Number]],Lutron_CFlex_Lookup[],MATCH("Lutron Kit PN",Lutron_CFlex_Lookup[#Headers],0),FALSE),"")</f>
        <v/>
      </c>
      <c r="AK843" s="1" t="str">
        <f>_xlfn.IFNA(VLOOKUP(Master_Reference[[#This Row],[C-Flex 3500K 3W Part Number]],Lutron_CFlex_Lookup[],MATCH("Lutron Kit PN",Lutron_CFlex_Lookup[#Headers],0),FALSE),"")</f>
        <v/>
      </c>
      <c r="AL843" s="1" t="str">
        <f>_xlfn.IFNA(VLOOKUP(Master_Reference[[#This Row],[C-Flex 4000K 3W Part Number]],Lutron_CFlex_Lookup[],MATCH("Lutron Kit PN",Lutron_CFlex_Lookup[#Headers],0),FALSE),"")</f>
        <v/>
      </c>
      <c r="AM843" s="1" t="str">
        <f>_xlfn.IFNA(VLOOKUP(Master_Reference[[#This Row],[C-Flex 5000K 3W Part Number]],Lutron_CFlex_Lookup[],MATCH("Lutron Kit PN",Lutron_CFlex_Lookup[#Headers],0),FALSE),"")</f>
        <v/>
      </c>
      <c r="AN843" s="1" t="b">
        <f>NOT(ISNA(VLOOKUP(Master_Reference[[#This Row],[Model Number]],ObsoleteModels[],1,FALSE)))</f>
        <v>1</v>
      </c>
      <c r="AO843" s="1" t="str">
        <f>IF(LEFT(Master_Reference[[#This Row],[Model Number]],1)="U",LEFT(Master_Reference[[#This Row],[Model Number]],4),LEFT(Master_Reference[[#This Row],[Model Number]],3))</f>
        <v>H3D</v>
      </c>
    </row>
    <row r="844" spans="1:41" x14ac:dyDescent="0.25">
      <c r="A844" s="2" t="s">
        <v>1148</v>
      </c>
      <c r="B844" s="1" t="b">
        <v>1</v>
      </c>
      <c r="C844" s="1" t="b">
        <v>1</v>
      </c>
      <c r="G844" s="1" t="b">
        <v>1</v>
      </c>
      <c r="H844" s="1" t="str">
        <f>IF(LEFT(Master_Reference[[#This Row],[Model Number]],1)="U",TRUE,"")</f>
        <v/>
      </c>
      <c r="I844" s="1" t="b">
        <f>IF(Master_Reference[[#This Row],[Lamp Type]]="T4","",IF(Master_Reference[[#This Row],[Case Type]]="M","",TRUE))</f>
        <v>1</v>
      </c>
      <c r="J844" s="1" t="str">
        <f t="shared" si="12"/>
        <v>T8</v>
      </c>
      <c r="K844" s="1">
        <v>25</v>
      </c>
      <c r="L844" s="1" t="s">
        <v>115</v>
      </c>
      <c r="M844" s="1">
        <v>2</v>
      </c>
      <c r="N844" s="1" t="s">
        <v>149</v>
      </c>
      <c r="O844" s="1" t="s">
        <v>113</v>
      </c>
      <c r="R844" t="b">
        <f>IF(COUNTBLANK(Master_Reference[[#This Row],[C-Flex 3000K Eco Part Number]:[C-Flex 4000K Eco Part Number]])=3,FALSE,TRUE)</f>
        <v>1</v>
      </c>
      <c r="S844" t="b">
        <f>IF(COUNTBLANK(Master_Reference[[#This Row],[C-Flex 3000K 3W Part Number]:[C-Flex 4000K 3W Part Number]])=3,FALSE,TRUE)</f>
        <v>1</v>
      </c>
      <c r="T844" t="b">
        <f>IF(COUNTBLANK(Master_Reference[[#This Row],[Lutron 3000K Eco Part Number]:[Lutron 4000K Eco Part Number]])=3,FALSE,TRUE)</f>
        <v>1</v>
      </c>
      <c r="U844" t="b">
        <f>IF(COUNTBLANK(Master_Reference[[#This Row],[Lutron 3000K 3W Part Number]:[Lutron 4000K 3W Part Number]])=3,FALSE,TRUE)</f>
        <v>1</v>
      </c>
      <c r="V844" s="12" t="s">
        <v>482</v>
      </c>
      <c r="W844" s="12" t="s">
        <v>483</v>
      </c>
      <c r="X844" s="12" t="s">
        <v>484</v>
      </c>
      <c r="Y844" t="s">
        <v>1739</v>
      </c>
      <c r="Z844" s="12" t="s">
        <v>259</v>
      </c>
      <c r="AA844" s="12" t="s">
        <v>260</v>
      </c>
      <c r="AB844" s="12" t="s">
        <v>261</v>
      </c>
      <c r="AC844" t="s">
        <v>1827</v>
      </c>
      <c r="AD844" t="str">
        <f>SUBSTITUTE(Master_Reference[[#This Row],[C-Flex 4000K Eco Part Number]],"40-","xx-")</f>
        <v>RP-T8-3FT-2L-8xx-E1-M-G2</v>
      </c>
      <c r="AE844" t="str">
        <f>SUBSTITUTE(Master_Reference[[#This Row],[C-Flex 4000K 3W Part Number]],"40-","xx-")</f>
        <v>RP-T8-3FT-2L-8xx-3W-M-G2</v>
      </c>
      <c r="AF844" s="1" t="str">
        <f>_xlfn.IFNA(VLOOKUP(Master_Reference[[#This Row],[C-Flex 3000K Eco Part Number]],Lutron_CFlex_Lookup[],MATCH("Lutron Kit PN",Lutron_CFlex_Lookup[#Headers],0),FALSE),"")</f>
        <v>ELD3T8-2M30-q</v>
      </c>
      <c r="AG844" s="1" t="str">
        <f>_xlfn.IFNA(VLOOKUP(Master_Reference[[#This Row],[C-Flex 3500K Eco Part Number]],Lutron_CFlex_Lookup[],MATCH("Lutron Kit PN",Lutron_CFlex_Lookup[#Headers],0),FALSE),"")</f>
        <v>ELD3T8-2M35-q</v>
      </c>
      <c r="AH844" s="1" t="str">
        <f>_xlfn.IFNA(VLOOKUP(Master_Reference[[#This Row],[C-Flex 4000K Eco Part Number]],Lutron_CFlex_Lookup[],MATCH("Lutron Kit PN",Lutron_CFlex_Lookup[#Headers],0),FALSE),"")</f>
        <v>ELD3T8-2M40-q</v>
      </c>
      <c r="AI844" s="1" t="str">
        <f>_xlfn.IFNA(VLOOKUP(Master_Reference[[#This Row],[C-Flex 5000K Eco Part Number]],Lutron_CFlex_Lookup[],MATCH("Lutron Kit PN",Lutron_CFlex_Lookup[#Headers],0),FALSE),"")</f>
        <v>ELD3T8-2M50-q</v>
      </c>
      <c r="AJ844" s="1" t="str">
        <f>_xlfn.IFNA(VLOOKUP(Master_Reference[[#This Row],[C-Flex 3000K 3W Part Number]],Lutron_CFlex_Lookup[],MATCH("Lutron Kit PN",Lutron_CFlex_Lookup[#Headers],0),FALSE),"")</f>
        <v>3LD3T8-2M30-q</v>
      </c>
      <c r="AK844" s="1" t="str">
        <f>_xlfn.IFNA(VLOOKUP(Master_Reference[[#This Row],[C-Flex 3500K 3W Part Number]],Lutron_CFlex_Lookup[],MATCH("Lutron Kit PN",Lutron_CFlex_Lookup[#Headers],0),FALSE),"")</f>
        <v>3LD3T8-2M35-q</v>
      </c>
      <c r="AL844" s="1" t="str">
        <f>_xlfn.IFNA(VLOOKUP(Master_Reference[[#This Row],[C-Flex 4000K 3W Part Number]],Lutron_CFlex_Lookup[],MATCH("Lutron Kit PN",Lutron_CFlex_Lookup[#Headers],0),FALSE),"")</f>
        <v>3LD3T8-2M40-q</v>
      </c>
      <c r="AM844" s="1" t="str">
        <f>_xlfn.IFNA(VLOOKUP(Master_Reference[[#This Row],[C-Flex 5000K 3W Part Number]],Lutron_CFlex_Lookup[],MATCH("Lutron Kit PN",Lutron_CFlex_Lookup[#Headers],0),FALSE),"")</f>
        <v>3LD3T8-2M50-q</v>
      </c>
      <c r="AN844" s="1" t="b">
        <f>NOT(ISNA(VLOOKUP(Master_Reference[[#This Row],[Model Number]],ObsoleteModels[],1,FALSE)))</f>
        <v>1</v>
      </c>
      <c r="AO844" s="1" t="str">
        <f>IF(LEFT(Master_Reference[[#This Row],[Model Number]],1)="U",LEFT(Master_Reference[[#This Row],[Model Number]],4),LEFT(Master_Reference[[#This Row],[Model Number]],3))</f>
        <v>H3D</v>
      </c>
    </row>
    <row r="845" spans="1:41" x14ac:dyDescent="0.25">
      <c r="A845" s="2" t="s">
        <v>1149</v>
      </c>
      <c r="B845" s="1" t="b">
        <v>1</v>
      </c>
      <c r="C845" s="1" t="b">
        <v>1</v>
      </c>
      <c r="G845" s="1" t="b">
        <f>IF(OR(LEFT(RIGHT(Master_Reference[[#This Row],[Model Number]],3),1)="C",LEFT(RIGHT(Master_Reference[[#This Row],[Model Number]],4),1)="C"),TRUE,"")</f>
        <v>1</v>
      </c>
      <c r="H845" s="1" t="str">
        <f>IF(LEFT(Master_Reference[[#This Row],[Model Number]],1)="U",TRUE,"")</f>
        <v/>
      </c>
      <c r="I845" s="1" t="b">
        <f>IF(Master_Reference[[#This Row],[Lamp Type]]="T4","",IF(Master_Reference[[#This Row],[Case Type]]="M","",TRUE))</f>
        <v>1</v>
      </c>
      <c r="J845" s="1" t="str">
        <f t="shared" si="12"/>
        <v>T8</v>
      </c>
      <c r="K845" s="1">
        <v>25</v>
      </c>
      <c r="L845" s="1" t="s">
        <v>115</v>
      </c>
      <c r="M845" s="1">
        <v>2</v>
      </c>
      <c r="N845" s="1" t="s">
        <v>149</v>
      </c>
      <c r="O845" s="1" t="s">
        <v>113</v>
      </c>
      <c r="R845" t="b">
        <f>IF(COUNTBLANK(Master_Reference[[#This Row],[C-Flex 3000K Eco Part Number]:[C-Flex 4000K Eco Part Number]])=3,FALSE,TRUE)</f>
        <v>1</v>
      </c>
      <c r="S845" t="b">
        <f>IF(COUNTBLANK(Master_Reference[[#This Row],[C-Flex 3000K 3W Part Number]:[C-Flex 4000K 3W Part Number]])=3,FALSE,TRUE)</f>
        <v>1</v>
      </c>
      <c r="T845" t="b">
        <f>IF(COUNTBLANK(Master_Reference[[#This Row],[Lutron 3000K Eco Part Number]:[Lutron 4000K Eco Part Number]])=3,FALSE,TRUE)</f>
        <v>1</v>
      </c>
      <c r="U845" t="b">
        <f>IF(COUNTBLANK(Master_Reference[[#This Row],[Lutron 3000K 3W Part Number]:[Lutron 4000K 3W Part Number]])=3,FALSE,TRUE)</f>
        <v>1</v>
      </c>
      <c r="V845" s="12" t="s">
        <v>482</v>
      </c>
      <c r="W845" s="12" t="s">
        <v>483</v>
      </c>
      <c r="X845" s="12" t="s">
        <v>484</v>
      </c>
      <c r="Y845" t="s">
        <v>1739</v>
      </c>
      <c r="Z845" s="12" t="s">
        <v>259</v>
      </c>
      <c r="AA845" s="12" t="s">
        <v>260</v>
      </c>
      <c r="AB845" s="12" t="s">
        <v>261</v>
      </c>
      <c r="AC845" t="s">
        <v>1827</v>
      </c>
      <c r="AD845" t="str">
        <f>SUBSTITUTE(Master_Reference[[#This Row],[C-Flex 4000K Eco Part Number]],"40-","xx-")</f>
        <v>RP-T8-3FT-2L-8xx-E1-M-G2</v>
      </c>
      <c r="AE845" t="str">
        <f>SUBSTITUTE(Master_Reference[[#This Row],[C-Flex 4000K 3W Part Number]],"40-","xx-")</f>
        <v>RP-T8-3FT-2L-8xx-3W-M-G2</v>
      </c>
      <c r="AF845" s="1" t="str">
        <f>_xlfn.IFNA(VLOOKUP(Master_Reference[[#This Row],[C-Flex 3000K Eco Part Number]],Lutron_CFlex_Lookup[],MATCH("Lutron Kit PN",Lutron_CFlex_Lookup[#Headers],0),FALSE),"")</f>
        <v>ELD3T8-2M30-q</v>
      </c>
      <c r="AG845" s="1" t="str">
        <f>_xlfn.IFNA(VLOOKUP(Master_Reference[[#This Row],[C-Flex 3500K Eco Part Number]],Lutron_CFlex_Lookup[],MATCH("Lutron Kit PN",Lutron_CFlex_Lookup[#Headers],0),FALSE),"")</f>
        <v>ELD3T8-2M35-q</v>
      </c>
      <c r="AH845" s="1" t="str">
        <f>_xlfn.IFNA(VLOOKUP(Master_Reference[[#This Row],[C-Flex 4000K Eco Part Number]],Lutron_CFlex_Lookup[],MATCH("Lutron Kit PN",Lutron_CFlex_Lookup[#Headers],0),FALSE),"")</f>
        <v>ELD3T8-2M40-q</v>
      </c>
      <c r="AI845" s="1" t="str">
        <f>_xlfn.IFNA(VLOOKUP(Master_Reference[[#This Row],[C-Flex 5000K Eco Part Number]],Lutron_CFlex_Lookup[],MATCH("Lutron Kit PN",Lutron_CFlex_Lookup[#Headers],0),FALSE),"")</f>
        <v>ELD3T8-2M50-q</v>
      </c>
      <c r="AJ845" s="1" t="str">
        <f>_xlfn.IFNA(VLOOKUP(Master_Reference[[#This Row],[C-Flex 3000K 3W Part Number]],Lutron_CFlex_Lookup[],MATCH("Lutron Kit PN",Lutron_CFlex_Lookup[#Headers],0),FALSE),"")</f>
        <v>3LD3T8-2M30-q</v>
      </c>
      <c r="AK845" s="1" t="str">
        <f>_xlfn.IFNA(VLOOKUP(Master_Reference[[#This Row],[C-Flex 3500K 3W Part Number]],Lutron_CFlex_Lookup[],MATCH("Lutron Kit PN",Lutron_CFlex_Lookup[#Headers],0),FALSE),"")</f>
        <v>3LD3T8-2M35-q</v>
      </c>
      <c r="AL845" s="1" t="str">
        <f>_xlfn.IFNA(VLOOKUP(Master_Reference[[#This Row],[C-Flex 4000K 3W Part Number]],Lutron_CFlex_Lookup[],MATCH("Lutron Kit PN",Lutron_CFlex_Lookup[#Headers],0),FALSE),"")</f>
        <v>3LD3T8-2M40-q</v>
      </c>
      <c r="AM845" s="1" t="str">
        <f>_xlfn.IFNA(VLOOKUP(Master_Reference[[#This Row],[C-Flex 5000K 3W Part Number]],Lutron_CFlex_Lookup[],MATCH("Lutron Kit PN",Lutron_CFlex_Lookup[#Headers],0),FALSE),"")</f>
        <v>3LD3T8-2M50-q</v>
      </c>
      <c r="AN845" s="1" t="b">
        <f>NOT(ISNA(VLOOKUP(Master_Reference[[#This Row],[Model Number]],ObsoleteModels[],1,FALSE)))</f>
        <v>1</v>
      </c>
      <c r="AO845" s="1" t="str">
        <f>IF(LEFT(Master_Reference[[#This Row],[Model Number]],1)="U",LEFT(Master_Reference[[#This Row],[Model Number]],4),LEFT(Master_Reference[[#This Row],[Model Number]],3))</f>
        <v>H3D</v>
      </c>
    </row>
    <row r="846" spans="1:41" x14ac:dyDescent="0.25">
      <c r="A846" s="2" t="s">
        <v>1150</v>
      </c>
      <c r="B846" s="1" t="b">
        <v>1</v>
      </c>
      <c r="C846" s="1" t="b">
        <v>1</v>
      </c>
      <c r="G846" s="1" t="b">
        <f>IF(OR(LEFT(RIGHT(Master_Reference[[#This Row],[Model Number]],3),1)="C",LEFT(RIGHT(Master_Reference[[#This Row],[Model Number]],4),1)="C"),TRUE,"")</f>
        <v>1</v>
      </c>
      <c r="H846" s="1" t="str">
        <f>IF(LEFT(Master_Reference[[#This Row],[Model Number]],1)="U",TRUE,"")</f>
        <v/>
      </c>
      <c r="I846" s="1" t="b">
        <f>IF(Master_Reference[[#This Row],[Lamp Type]]="T4","",IF(Master_Reference[[#This Row],[Case Type]]="M","",TRUE))</f>
        <v>1</v>
      </c>
      <c r="J846" s="1" t="str">
        <f t="shared" si="12"/>
        <v>T8</v>
      </c>
      <c r="K846" s="1">
        <v>25</v>
      </c>
      <c r="L846" s="1" t="s">
        <v>115</v>
      </c>
      <c r="M846" s="1">
        <v>2</v>
      </c>
      <c r="N846" s="1" t="s">
        <v>149</v>
      </c>
      <c r="O846" s="1" t="s">
        <v>113</v>
      </c>
      <c r="R846" t="b">
        <f>IF(COUNTBLANK(Master_Reference[[#This Row],[C-Flex 3000K Eco Part Number]:[C-Flex 4000K Eco Part Number]])=3,FALSE,TRUE)</f>
        <v>1</v>
      </c>
      <c r="S846" t="b">
        <f>IF(COUNTBLANK(Master_Reference[[#This Row],[C-Flex 3000K 3W Part Number]:[C-Flex 4000K 3W Part Number]])=3,FALSE,TRUE)</f>
        <v>1</v>
      </c>
      <c r="T846" t="b">
        <f>IF(COUNTBLANK(Master_Reference[[#This Row],[Lutron 3000K Eco Part Number]:[Lutron 4000K Eco Part Number]])=3,FALSE,TRUE)</f>
        <v>1</v>
      </c>
      <c r="U846" t="b">
        <f>IF(COUNTBLANK(Master_Reference[[#This Row],[Lutron 3000K 3W Part Number]:[Lutron 4000K 3W Part Number]])=3,FALSE,TRUE)</f>
        <v>1</v>
      </c>
      <c r="V846" s="12" t="s">
        <v>482</v>
      </c>
      <c r="W846" s="12" t="s">
        <v>483</v>
      </c>
      <c r="X846" s="12" t="s">
        <v>484</v>
      </c>
      <c r="Y846" t="s">
        <v>1739</v>
      </c>
      <c r="Z846" s="12" t="s">
        <v>259</v>
      </c>
      <c r="AA846" s="12" t="s">
        <v>260</v>
      </c>
      <c r="AB846" s="12" t="s">
        <v>261</v>
      </c>
      <c r="AC846" t="s">
        <v>1827</v>
      </c>
      <c r="AD846" t="str">
        <f>SUBSTITUTE(Master_Reference[[#This Row],[C-Flex 4000K Eco Part Number]],"40-","xx-")</f>
        <v>RP-T8-3FT-2L-8xx-E1-M-G2</v>
      </c>
      <c r="AE846" t="str">
        <f>SUBSTITUTE(Master_Reference[[#This Row],[C-Flex 4000K 3W Part Number]],"40-","xx-")</f>
        <v>RP-T8-3FT-2L-8xx-3W-M-G2</v>
      </c>
      <c r="AF846" s="1" t="str">
        <f>_xlfn.IFNA(VLOOKUP(Master_Reference[[#This Row],[C-Flex 3000K Eco Part Number]],Lutron_CFlex_Lookup[],MATCH("Lutron Kit PN",Lutron_CFlex_Lookup[#Headers],0),FALSE),"")</f>
        <v>ELD3T8-2M30-q</v>
      </c>
      <c r="AG846" s="1" t="str">
        <f>_xlfn.IFNA(VLOOKUP(Master_Reference[[#This Row],[C-Flex 3500K Eco Part Number]],Lutron_CFlex_Lookup[],MATCH("Lutron Kit PN",Lutron_CFlex_Lookup[#Headers],0),FALSE),"")</f>
        <v>ELD3T8-2M35-q</v>
      </c>
      <c r="AH846" s="1" t="str">
        <f>_xlfn.IFNA(VLOOKUP(Master_Reference[[#This Row],[C-Flex 4000K Eco Part Number]],Lutron_CFlex_Lookup[],MATCH("Lutron Kit PN",Lutron_CFlex_Lookup[#Headers],0),FALSE),"")</f>
        <v>ELD3T8-2M40-q</v>
      </c>
      <c r="AI846" s="1" t="str">
        <f>_xlfn.IFNA(VLOOKUP(Master_Reference[[#This Row],[C-Flex 5000K Eco Part Number]],Lutron_CFlex_Lookup[],MATCH("Lutron Kit PN",Lutron_CFlex_Lookup[#Headers],0),FALSE),"")</f>
        <v>ELD3T8-2M50-q</v>
      </c>
      <c r="AJ846" s="1" t="str">
        <f>_xlfn.IFNA(VLOOKUP(Master_Reference[[#This Row],[C-Flex 3000K 3W Part Number]],Lutron_CFlex_Lookup[],MATCH("Lutron Kit PN",Lutron_CFlex_Lookup[#Headers],0),FALSE),"")</f>
        <v>3LD3T8-2M30-q</v>
      </c>
      <c r="AK846" s="1" t="str">
        <f>_xlfn.IFNA(VLOOKUP(Master_Reference[[#This Row],[C-Flex 3500K 3W Part Number]],Lutron_CFlex_Lookup[],MATCH("Lutron Kit PN",Lutron_CFlex_Lookup[#Headers],0),FALSE),"")</f>
        <v>3LD3T8-2M35-q</v>
      </c>
      <c r="AL846" s="1" t="str">
        <f>_xlfn.IFNA(VLOOKUP(Master_Reference[[#This Row],[C-Flex 4000K 3W Part Number]],Lutron_CFlex_Lookup[],MATCH("Lutron Kit PN",Lutron_CFlex_Lookup[#Headers],0),FALSE),"")</f>
        <v>3LD3T8-2M40-q</v>
      </c>
      <c r="AM846" s="1" t="str">
        <f>_xlfn.IFNA(VLOOKUP(Master_Reference[[#This Row],[C-Flex 5000K 3W Part Number]],Lutron_CFlex_Lookup[],MATCH("Lutron Kit PN",Lutron_CFlex_Lookup[#Headers],0),FALSE),"")</f>
        <v>3LD3T8-2M50-q</v>
      </c>
      <c r="AN846" s="1" t="b">
        <f>NOT(ISNA(VLOOKUP(Master_Reference[[#This Row],[Model Number]],ObsoleteModels[],1,FALSE)))</f>
        <v>1</v>
      </c>
      <c r="AO846" s="1" t="str">
        <f>IF(LEFT(Master_Reference[[#This Row],[Model Number]],1)="U",LEFT(Master_Reference[[#This Row],[Model Number]],4),LEFT(Master_Reference[[#This Row],[Model Number]],3))</f>
        <v>H3D</v>
      </c>
    </row>
    <row r="847" spans="1:41" x14ac:dyDescent="0.25">
      <c r="A847" s="2" t="s">
        <v>1151</v>
      </c>
      <c r="B847" s="1" t="b">
        <v>1</v>
      </c>
      <c r="C847" s="1" t="b">
        <v>1</v>
      </c>
      <c r="G847" s="1" t="str">
        <f>IF(OR(LEFT(RIGHT(Master_Reference[[#This Row],[Model Number]],3),1)="C",LEFT(RIGHT(Master_Reference[[#This Row],[Model Number]],4),1)="C"),TRUE,"")</f>
        <v/>
      </c>
      <c r="H847" s="1" t="str">
        <f>IF(LEFT(Master_Reference[[#This Row],[Model Number]],1)="U",TRUE,"")</f>
        <v/>
      </c>
      <c r="I847" s="1" t="b">
        <f>IF(Master_Reference[[#This Row],[Lamp Type]]="T4","",IF(Master_Reference[[#This Row],[Case Type]]="M","",TRUE))</f>
        <v>1</v>
      </c>
      <c r="J847" s="1" t="str">
        <f t="shared" si="12"/>
        <v>T8</v>
      </c>
      <c r="K847" s="1">
        <v>25</v>
      </c>
      <c r="L847" s="1" t="s">
        <v>115</v>
      </c>
      <c r="M847" s="1">
        <v>1</v>
      </c>
      <c r="N847" s="1" t="s">
        <v>149</v>
      </c>
      <c r="O847" s="1" t="s">
        <v>113</v>
      </c>
      <c r="R847" t="b">
        <f>IF(COUNTBLANK(Master_Reference[[#This Row],[C-Flex 3000K Eco Part Number]:[C-Flex 4000K Eco Part Number]])=3,FALSE,TRUE)</f>
        <v>1</v>
      </c>
      <c r="S847" t="b">
        <f>IF(COUNTBLANK(Master_Reference[[#This Row],[C-Flex 3000K 3W Part Number]:[C-Flex 4000K 3W Part Number]])=3,FALSE,TRUE)</f>
        <v>1</v>
      </c>
      <c r="T847" t="b">
        <f>IF(COUNTBLANK(Master_Reference[[#This Row],[Lutron 3000K Eco Part Number]:[Lutron 4000K Eco Part Number]])=3,FALSE,TRUE)</f>
        <v>1</v>
      </c>
      <c r="U847" t="b">
        <f>IF(COUNTBLANK(Master_Reference[[#This Row],[Lutron 3000K 3W Part Number]:[Lutron 4000K 3W Part Number]])=3,FALSE,TRUE)</f>
        <v>1</v>
      </c>
      <c r="V847" s="12" t="s">
        <v>478</v>
      </c>
      <c r="W847" s="12" t="s">
        <v>479</v>
      </c>
      <c r="X847" s="12" t="s">
        <v>480</v>
      </c>
      <c r="Y847" t="s">
        <v>1738</v>
      </c>
      <c r="Z847" s="12" t="s">
        <v>255</v>
      </c>
      <c r="AA847" s="12" t="s">
        <v>256</v>
      </c>
      <c r="AB847" s="12" t="s">
        <v>257</v>
      </c>
      <c r="AC847" t="s">
        <v>1826</v>
      </c>
      <c r="AD847" t="str">
        <f>SUBSTITUTE(Master_Reference[[#This Row],[C-Flex 4000K Eco Part Number]],"40-","xx-")</f>
        <v>RP-T8-3FT-1L-8xx-E1-M-G2</v>
      </c>
      <c r="AE847" t="str">
        <f>SUBSTITUTE(Master_Reference[[#This Row],[C-Flex 4000K 3W Part Number]],"40-","xx-")</f>
        <v>RP-T8-3FT-1L-8xx-3W-M-G2</v>
      </c>
      <c r="AF847" s="1" t="str">
        <f>_xlfn.IFNA(VLOOKUP(Master_Reference[[#This Row],[C-Flex 3000K Eco Part Number]],Lutron_CFlex_Lookup[],MATCH("Lutron Kit PN",Lutron_CFlex_Lookup[#Headers],0),FALSE),"")</f>
        <v>ELD3T8-1M30-q</v>
      </c>
      <c r="AG847" s="1" t="str">
        <f>_xlfn.IFNA(VLOOKUP(Master_Reference[[#This Row],[C-Flex 3500K Eco Part Number]],Lutron_CFlex_Lookup[],MATCH("Lutron Kit PN",Lutron_CFlex_Lookup[#Headers],0),FALSE),"")</f>
        <v>ELD3T8-1M35-q</v>
      </c>
      <c r="AH847" s="1" t="str">
        <f>_xlfn.IFNA(VLOOKUP(Master_Reference[[#This Row],[C-Flex 4000K Eco Part Number]],Lutron_CFlex_Lookup[],MATCH("Lutron Kit PN",Lutron_CFlex_Lookup[#Headers],0),FALSE),"")</f>
        <v>ELD3T8-1M40-q</v>
      </c>
      <c r="AI847" s="1" t="str">
        <f>_xlfn.IFNA(VLOOKUP(Master_Reference[[#This Row],[C-Flex 5000K Eco Part Number]],Lutron_CFlex_Lookup[],MATCH("Lutron Kit PN",Lutron_CFlex_Lookup[#Headers],0),FALSE),"")</f>
        <v>ELD3T8-1M50-q</v>
      </c>
      <c r="AJ847" s="1" t="str">
        <f>_xlfn.IFNA(VLOOKUP(Master_Reference[[#This Row],[C-Flex 3000K 3W Part Number]],Lutron_CFlex_Lookup[],MATCH("Lutron Kit PN",Lutron_CFlex_Lookup[#Headers],0),FALSE),"")</f>
        <v>3LD3T8-1M30-q</v>
      </c>
      <c r="AK847" s="1" t="str">
        <f>_xlfn.IFNA(VLOOKUP(Master_Reference[[#This Row],[C-Flex 3500K 3W Part Number]],Lutron_CFlex_Lookup[],MATCH("Lutron Kit PN",Lutron_CFlex_Lookup[#Headers],0),FALSE),"")</f>
        <v>3LD3T8-1M35-q</v>
      </c>
      <c r="AL847" s="1" t="str">
        <f>_xlfn.IFNA(VLOOKUP(Master_Reference[[#This Row],[C-Flex 4000K 3W Part Number]],Lutron_CFlex_Lookup[],MATCH("Lutron Kit PN",Lutron_CFlex_Lookup[#Headers],0),FALSE),"")</f>
        <v>3LD3T8-1M40-q</v>
      </c>
      <c r="AM847" s="1" t="str">
        <f>_xlfn.IFNA(VLOOKUP(Master_Reference[[#This Row],[C-Flex 5000K 3W Part Number]],Lutron_CFlex_Lookup[],MATCH("Lutron Kit PN",Lutron_CFlex_Lookup[#Headers],0),FALSE),"")</f>
        <v>3LD3T8-1M50-q</v>
      </c>
      <c r="AN847" s="1" t="b">
        <f>NOT(ISNA(VLOOKUP(Master_Reference[[#This Row],[Model Number]],ObsoleteModels[],1,FALSE)))</f>
        <v>1</v>
      </c>
      <c r="AO847" s="1" t="str">
        <f>IF(LEFT(Master_Reference[[#This Row],[Model Number]],1)="U",LEFT(Master_Reference[[#This Row],[Model Number]],4),LEFT(Master_Reference[[#This Row],[Model Number]],3))</f>
        <v>H3D</v>
      </c>
    </row>
    <row r="848" spans="1:41" x14ac:dyDescent="0.25">
      <c r="A848" s="2" t="s">
        <v>1152</v>
      </c>
      <c r="B848" s="1" t="b">
        <v>1</v>
      </c>
      <c r="C848" s="1" t="b">
        <v>1</v>
      </c>
      <c r="G848" s="1" t="b">
        <v>1</v>
      </c>
      <c r="H848" s="1" t="str">
        <f>IF(LEFT(Master_Reference[[#This Row],[Model Number]],1)="U",TRUE,"")</f>
        <v/>
      </c>
      <c r="I848" s="1" t="b">
        <f>IF(Master_Reference[[#This Row],[Lamp Type]]="T4","",IF(Master_Reference[[#This Row],[Case Type]]="M","",TRUE))</f>
        <v>1</v>
      </c>
      <c r="J848" s="1" t="str">
        <f t="shared" si="12"/>
        <v>T8</v>
      </c>
      <c r="K848" s="1">
        <v>25</v>
      </c>
      <c r="L848" s="1" t="s">
        <v>115</v>
      </c>
      <c r="M848" s="1">
        <v>1</v>
      </c>
      <c r="N848" s="1" t="s">
        <v>149</v>
      </c>
      <c r="O848" s="1" t="s">
        <v>113</v>
      </c>
      <c r="R848" t="b">
        <f>IF(COUNTBLANK(Master_Reference[[#This Row],[C-Flex 3000K Eco Part Number]:[C-Flex 4000K Eco Part Number]])=3,FALSE,TRUE)</f>
        <v>1</v>
      </c>
      <c r="S848" t="b">
        <f>IF(COUNTBLANK(Master_Reference[[#This Row],[C-Flex 3000K 3W Part Number]:[C-Flex 4000K 3W Part Number]])=3,FALSE,TRUE)</f>
        <v>1</v>
      </c>
      <c r="T848" t="b">
        <f>IF(COUNTBLANK(Master_Reference[[#This Row],[Lutron 3000K Eco Part Number]:[Lutron 4000K Eco Part Number]])=3,FALSE,TRUE)</f>
        <v>1</v>
      </c>
      <c r="U848" t="b">
        <f>IF(COUNTBLANK(Master_Reference[[#This Row],[Lutron 3000K 3W Part Number]:[Lutron 4000K 3W Part Number]])=3,FALSE,TRUE)</f>
        <v>1</v>
      </c>
      <c r="V848" s="12" t="s">
        <v>478</v>
      </c>
      <c r="W848" s="12" t="s">
        <v>479</v>
      </c>
      <c r="X848" s="12" t="s">
        <v>480</v>
      </c>
      <c r="Y848" t="s">
        <v>1738</v>
      </c>
      <c r="Z848" s="12" t="s">
        <v>255</v>
      </c>
      <c r="AA848" s="12" t="s">
        <v>256</v>
      </c>
      <c r="AB848" s="12" t="s">
        <v>257</v>
      </c>
      <c r="AC848" t="s">
        <v>1826</v>
      </c>
      <c r="AD848" t="str">
        <f>SUBSTITUTE(Master_Reference[[#This Row],[C-Flex 4000K Eco Part Number]],"40-","xx-")</f>
        <v>RP-T8-3FT-1L-8xx-E1-M-G2</v>
      </c>
      <c r="AE848" t="str">
        <f>SUBSTITUTE(Master_Reference[[#This Row],[C-Flex 4000K 3W Part Number]],"40-","xx-")</f>
        <v>RP-T8-3FT-1L-8xx-3W-M-G2</v>
      </c>
      <c r="AF848" s="1" t="str">
        <f>_xlfn.IFNA(VLOOKUP(Master_Reference[[#This Row],[C-Flex 3000K Eco Part Number]],Lutron_CFlex_Lookup[],MATCH("Lutron Kit PN",Lutron_CFlex_Lookup[#Headers],0),FALSE),"")</f>
        <v>ELD3T8-1M30-q</v>
      </c>
      <c r="AG848" s="1" t="str">
        <f>_xlfn.IFNA(VLOOKUP(Master_Reference[[#This Row],[C-Flex 3500K Eco Part Number]],Lutron_CFlex_Lookup[],MATCH("Lutron Kit PN",Lutron_CFlex_Lookup[#Headers],0),FALSE),"")</f>
        <v>ELD3T8-1M35-q</v>
      </c>
      <c r="AH848" s="1" t="str">
        <f>_xlfn.IFNA(VLOOKUP(Master_Reference[[#This Row],[C-Flex 4000K Eco Part Number]],Lutron_CFlex_Lookup[],MATCH("Lutron Kit PN",Lutron_CFlex_Lookup[#Headers],0),FALSE),"")</f>
        <v>ELD3T8-1M40-q</v>
      </c>
      <c r="AI848" s="1" t="str">
        <f>_xlfn.IFNA(VLOOKUP(Master_Reference[[#This Row],[C-Flex 5000K Eco Part Number]],Lutron_CFlex_Lookup[],MATCH("Lutron Kit PN",Lutron_CFlex_Lookup[#Headers],0),FALSE),"")</f>
        <v>ELD3T8-1M50-q</v>
      </c>
      <c r="AJ848" s="1" t="str">
        <f>_xlfn.IFNA(VLOOKUP(Master_Reference[[#This Row],[C-Flex 3000K 3W Part Number]],Lutron_CFlex_Lookup[],MATCH("Lutron Kit PN",Lutron_CFlex_Lookup[#Headers],0),FALSE),"")</f>
        <v>3LD3T8-1M30-q</v>
      </c>
      <c r="AK848" s="1" t="str">
        <f>_xlfn.IFNA(VLOOKUP(Master_Reference[[#This Row],[C-Flex 3500K 3W Part Number]],Lutron_CFlex_Lookup[],MATCH("Lutron Kit PN",Lutron_CFlex_Lookup[#Headers],0),FALSE),"")</f>
        <v>3LD3T8-1M35-q</v>
      </c>
      <c r="AL848" s="1" t="str">
        <f>_xlfn.IFNA(VLOOKUP(Master_Reference[[#This Row],[C-Flex 4000K 3W Part Number]],Lutron_CFlex_Lookup[],MATCH("Lutron Kit PN",Lutron_CFlex_Lookup[#Headers],0),FALSE),"")</f>
        <v>3LD3T8-1M40-q</v>
      </c>
      <c r="AM848" s="1" t="str">
        <f>_xlfn.IFNA(VLOOKUP(Master_Reference[[#This Row],[C-Flex 5000K 3W Part Number]],Lutron_CFlex_Lookup[],MATCH("Lutron Kit PN",Lutron_CFlex_Lookup[#Headers],0),FALSE),"")</f>
        <v>3LD3T8-1M50-q</v>
      </c>
      <c r="AN848" s="1" t="b">
        <f>NOT(ISNA(VLOOKUP(Master_Reference[[#This Row],[Model Number]],ObsoleteModels[],1,FALSE)))</f>
        <v>1</v>
      </c>
      <c r="AO848" s="1" t="str">
        <f>IF(LEFT(Master_Reference[[#This Row],[Model Number]],1)="U",LEFT(Master_Reference[[#This Row],[Model Number]],4),LEFT(Master_Reference[[#This Row],[Model Number]],3))</f>
        <v>H3D</v>
      </c>
    </row>
    <row r="849" spans="1:41" x14ac:dyDescent="0.25">
      <c r="A849" s="2" t="s">
        <v>1153</v>
      </c>
      <c r="B849" s="1" t="b">
        <v>1</v>
      </c>
      <c r="C849" s="1" t="b">
        <v>1</v>
      </c>
      <c r="G849" s="1" t="str">
        <f>IF(OR(LEFT(RIGHT(Master_Reference[[#This Row],[Model Number]],3),1)="C",LEFT(RIGHT(Master_Reference[[#This Row],[Model Number]],4),1)="C"),TRUE,"")</f>
        <v/>
      </c>
      <c r="H849" s="1" t="str">
        <f>IF(LEFT(Master_Reference[[#This Row],[Model Number]],1)="U",TRUE,"")</f>
        <v/>
      </c>
      <c r="I849" s="1" t="b">
        <f>IF(Master_Reference[[#This Row],[Lamp Type]]="T4","",IF(Master_Reference[[#This Row],[Case Type]]="M","",TRUE))</f>
        <v>1</v>
      </c>
      <c r="J849" s="1" t="str">
        <f t="shared" ref="J849:J880" si="13">RIGHT(LEFT((A849),5),2)</f>
        <v>T8</v>
      </c>
      <c r="K849" s="1">
        <v>25</v>
      </c>
      <c r="L849" s="1" t="s">
        <v>115</v>
      </c>
      <c r="M849" s="1">
        <v>2</v>
      </c>
      <c r="N849" s="1" t="s">
        <v>149</v>
      </c>
      <c r="O849" s="1" t="s">
        <v>113</v>
      </c>
      <c r="R849" t="b">
        <f>IF(COUNTBLANK(Master_Reference[[#This Row],[C-Flex 3000K Eco Part Number]:[C-Flex 4000K Eco Part Number]])=3,FALSE,TRUE)</f>
        <v>1</v>
      </c>
      <c r="S849" t="b">
        <f>IF(COUNTBLANK(Master_Reference[[#This Row],[C-Flex 3000K 3W Part Number]:[C-Flex 4000K 3W Part Number]])=3,FALSE,TRUE)</f>
        <v>1</v>
      </c>
      <c r="T849" t="b">
        <f>IF(COUNTBLANK(Master_Reference[[#This Row],[Lutron 3000K Eco Part Number]:[Lutron 4000K Eco Part Number]])=3,FALSE,TRUE)</f>
        <v>1</v>
      </c>
      <c r="U849" t="b">
        <f>IF(COUNTBLANK(Master_Reference[[#This Row],[Lutron 3000K 3W Part Number]:[Lutron 4000K 3W Part Number]])=3,FALSE,TRUE)</f>
        <v>1</v>
      </c>
      <c r="V849" s="12" t="s">
        <v>482</v>
      </c>
      <c r="W849" s="12" t="s">
        <v>483</v>
      </c>
      <c r="X849" s="12" t="s">
        <v>484</v>
      </c>
      <c r="Y849" t="s">
        <v>1739</v>
      </c>
      <c r="Z849" s="12" t="s">
        <v>259</v>
      </c>
      <c r="AA849" s="12" t="s">
        <v>260</v>
      </c>
      <c r="AB849" s="12" t="s">
        <v>261</v>
      </c>
      <c r="AC849" t="s">
        <v>1827</v>
      </c>
      <c r="AD849" t="str">
        <f>SUBSTITUTE(Master_Reference[[#This Row],[C-Flex 4000K Eco Part Number]],"40-","xx-")</f>
        <v>RP-T8-3FT-2L-8xx-E1-M-G2</v>
      </c>
      <c r="AE849" t="str">
        <f>SUBSTITUTE(Master_Reference[[#This Row],[C-Flex 4000K 3W Part Number]],"40-","xx-")</f>
        <v>RP-T8-3FT-2L-8xx-3W-M-G2</v>
      </c>
      <c r="AF849" s="1" t="str">
        <f>_xlfn.IFNA(VLOOKUP(Master_Reference[[#This Row],[C-Flex 3000K Eco Part Number]],Lutron_CFlex_Lookup[],MATCH("Lutron Kit PN",Lutron_CFlex_Lookup[#Headers],0),FALSE),"")</f>
        <v>ELD3T8-2M30-q</v>
      </c>
      <c r="AG849" s="1" t="str">
        <f>_xlfn.IFNA(VLOOKUP(Master_Reference[[#This Row],[C-Flex 3500K Eco Part Number]],Lutron_CFlex_Lookup[],MATCH("Lutron Kit PN",Lutron_CFlex_Lookup[#Headers],0),FALSE),"")</f>
        <v>ELD3T8-2M35-q</v>
      </c>
      <c r="AH849" s="1" t="str">
        <f>_xlfn.IFNA(VLOOKUP(Master_Reference[[#This Row],[C-Flex 4000K Eco Part Number]],Lutron_CFlex_Lookup[],MATCH("Lutron Kit PN",Lutron_CFlex_Lookup[#Headers],0),FALSE),"")</f>
        <v>ELD3T8-2M40-q</v>
      </c>
      <c r="AI849" s="1" t="str">
        <f>_xlfn.IFNA(VLOOKUP(Master_Reference[[#This Row],[C-Flex 5000K Eco Part Number]],Lutron_CFlex_Lookup[],MATCH("Lutron Kit PN",Lutron_CFlex_Lookup[#Headers],0),FALSE),"")</f>
        <v>ELD3T8-2M50-q</v>
      </c>
      <c r="AJ849" s="1" t="str">
        <f>_xlfn.IFNA(VLOOKUP(Master_Reference[[#This Row],[C-Flex 3000K 3W Part Number]],Lutron_CFlex_Lookup[],MATCH("Lutron Kit PN",Lutron_CFlex_Lookup[#Headers],0),FALSE),"")</f>
        <v>3LD3T8-2M30-q</v>
      </c>
      <c r="AK849" s="1" t="str">
        <f>_xlfn.IFNA(VLOOKUP(Master_Reference[[#This Row],[C-Flex 3500K 3W Part Number]],Lutron_CFlex_Lookup[],MATCH("Lutron Kit PN",Lutron_CFlex_Lookup[#Headers],0),FALSE),"")</f>
        <v>3LD3T8-2M35-q</v>
      </c>
      <c r="AL849" s="1" t="str">
        <f>_xlfn.IFNA(VLOOKUP(Master_Reference[[#This Row],[C-Flex 4000K 3W Part Number]],Lutron_CFlex_Lookup[],MATCH("Lutron Kit PN",Lutron_CFlex_Lookup[#Headers],0),FALSE),"")</f>
        <v>3LD3T8-2M40-q</v>
      </c>
      <c r="AM849" s="1" t="str">
        <f>_xlfn.IFNA(VLOOKUP(Master_Reference[[#This Row],[C-Flex 5000K 3W Part Number]],Lutron_CFlex_Lookup[],MATCH("Lutron Kit PN",Lutron_CFlex_Lookup[#Headers],0),FALSE),"")</f>
        <v>3LD3T8-2M50-q</v>
      </c>
      <c r="AN849" s="1" t="b">
        <f>NOT(ISNA(VLOOKUP(Master_Reference[[#This Row],[Model Number]],ObsoleteModels[],1,FALSE)))</f>
        <v>1</v>
      </c>
      <c r="AO849" s="1" t="str">
        <f>IF(LEFT(Master_Reference[[#This Row],[Model Number]],1)="U",LEFT(Master_Reference[[#This Row],[Model Number]],4),LEFT(Master_Reference[[#This Row],[Model Number]],3))</f>
        <v>H3D</v>
      </c>
    </row>
    <row r="850" spans="1:41" x14ac:dyDescent="0.25">
      <c r="A850" s="2" t="s">
        <v>1154</v>
      </c>
      <c r="B850" s="1" t="b">
        <v>1</v>
      </c>
      <c r="C850" s="1" t="b">
        <v>1</v>
      </c>
      <c r="G850" s="1" t="b">
        <v>1</v>
      </c>
      <c r="H850" s="1" t="str">
        <f>IF(LEFT(Master_Reference[[#This Row],[Model Number]],1)="U",TRUE,"")</f>
        <v/>
      </c>
      <c r="I850" s="1" t="b">
        <f>IF(Master_Reference[[#This Row],[Lamp Type]]="T4","",IF(Master_Reference[[#This Row],[Case Type]]="M","",TRUE))</f>
        <v>1</v>
      </c>
      <c r="J850" s="1" t="str">
        <f t="shared" si="13"/>
        <v>T8</v>
      </c>
      <c r="K850" s="1">
        <v>25</v>
      </c>
      <c r="L850" s="1" t="s">
        <v>115</v>
      </c>
      <c r="M850" s="1">
        <v>2</v>
      </c>
      <c r="N850" s="1" t="s">
        <v>149</v>
      </c>
      <c r="O850" s="1" t="s">
        <v>113</v>
      </c>
      <c r="R850" t="b">
        <f>IF(COUNTBLANK(Master_Reference[[#This Row],[C-Flex 3000K Eco Part Number]:[C-Flex 4000K Eco Part Number]])=3,FALSE,TRUE)</f>
        <v>1</v>
      </c>
      <c r="S850" t="b">
        <f>IF(COUNTBLANK(Master_Reference[[#This Row],[C-Flex 3000K 3W Part Number]:[C-Flex 4000K 3W Part Number]])=3,FALSE,TRUE)</f>
        <v>1</v>
      </c>
      <c r="T850" t="b">
        <f>IF(COUNTBLANK(Master_Reference[[#This Row],[Lutron 3000K Eco Part Number]:[Lutron 4000K Eco Part Number]])=3,FALSE,TRUE)</f>
        <v>1</v>
      </c>
      <c r="U850" t="b">
        <f>IF(COUNTBLANK(Master_Reference[[#This Row],[Lutron 3000K 3W Part Number]:[Lutron 4000K 3W Part Number]])=3,FALSE,TRUE)</f>
        <v>1</v>
      </c>
      <c r="V850" s="12" t="s">
        <v>482</v>
      </c>
      <c r="W850" s="12" t="s">
        <v>483</v>
      </c>
      <c r="X850" s="12" t="s">
        <v>484</v>
      </c>
      <c r="Y850" t="s">
        <v>1739</v>
      </c>
      <c r="Z850" s="12" t="s">
        <v>259</v>
      </c>
      <c r="AA850" s="12" t="s">
        <v>260</v>
      </c>
      <c r="AB850" s="12" t="s">
        <v>261</v>
      </c>
      <c r="AC850" t="s">
        <v>1827</v>
      </c>
      <c r="AD850" t="str">
        <f>SUBSTITUTE(Master_Reference[[#This Row],[C-Flex 4000K Eco Part Number]],"40-","xx-")</f>
        <v>RP-T8-3FT-2L-8xx-E1-M-G2</v>
      </c>
      <c r="AE850" t="str">
        <f>SUBSTITUTE(Master_Reference[[#This Row],[C-Flex 4000K 3W Part Number]],"40-","xx-")</f>
        <v>RP-T8-3FT-2L-8xx-3W-M-G2</v>
      </c>
      <c r="AF850" s="1" t="str">
        <f>_xlfn.IFNA(VLOOKUP(Master_Reference[[#This Row],[C-Flex 3000K Eco Part Number]],Lutron_CFlex_Lookup[],MATCH("Lutron Kit PN",Lutron_CFlex_Lookup[#Headers],0),FALSE),"")</f>
        <v>ELD3T8-2M30-q</v>
      </c>
      <c r="AG850" s="1" t="str">
        <f>_xlfn.IFNA(VLOOKUP(Master_Reference[[#This Row],[C-Flex 3500K Eco Part Number]],Lutron_CFlex_Lookup[],MATCH("Lutron Kit PN",Lutron_CFlex_Lookup[#Headers],0),FALSE),"")</f>
        <v>ELD3T8-2M35-q</v>
      </c>
      <c r="AH850" s="1" t="str">
        <f>_xlfn.IFNA(VLOOKUP(Master_Reference[[#This Row],[C-Flex 4000K Eco Part Number]],Lutron_CFlex_Lookup[],MATCH("Lutron Kit PN",Lutron_CFlex_Lookup[#Headers],0),FALSE),"")</f>
        <v>ELD3T8-2M40-q</v>
      </c>
      <c r="AI850" s="1" t="str">
        <f>_xlfn.IFNA(VLOOKUP(Master_Reference[[#This Row],[C-Flex 5000K Eco Part Number]],Lutron_CFlex_Lookup[],MATCH("Lutron Kit PN",Lutron_CFlex_Lookup[#Headers],0),FALSE),"")</f>
        <v>ELD3T8-2M50-q</v>
      </c>
      <c r="AJ850" s="1" t="str">
        <f>_xlfn.IFNA(VLOOKUP(Master_Reference[[#This Row],[C-Flex 3000K 3W Part Number]],Lutron_CFlex_Lookup[],MATCH("Lutron Kit PN",Lutron_CFlex_Lookup[#Headers],0),FALSE),"")</f>
        <v>3LD3T8-2M30-q</v>
      </c>
      <c r="AK850" s="1" t="str">
        <f>_xlfn.IFNA(VLOOKUP(Master_Reference[[#This Row],[C-Flex 3500K 3W Part Number]],Lutron_CFlex_Lookup[],MATCH("Lutron Kit PN",Lutron_CFlex_Lookup[#Headers],0),FALSE),"")</f>
        <v>3LD3T8-2M35-q</v>
      </c>
      <c r="AL850" s="1" t="str">
        <f>_xlfn.IFNA(VLOOKUP(Master_Reference[[#This Row],[C-Flex 4000K 3W Part Number]],Lutron_CFlex_Lookup[],MATCH("Lutron Kit PN",Lutron_CFlex_Lookup[#Headers],0),FALSE),"")</f>
        <v>3LD3T8-2M40-q</v>
      </c>
      <c r="AM850" s="1" t="str">
        <f>_xlfn.IFNA(VLOOKUP(Master_Reference[[#This Row],[C-Flex 5000K 3W Part Number]],Lutron_CFlex_Lookup[],MATCH("Lutron Kit PN",Lutron_CFlex_Lookup[#Headers],0),FALSE),"")</f>
        <v>3LD3T8-2M50-q</v>
      </c>
      <c r="AN850" s="1" t="b">
        <f>NOT(ISNA(VLOOKUP(Master_Reference[[#This Row],[Model Number]],ObsoleteModels[],1,FALSE)))</f>
        <v>1</v>
      </c>
      <c r="AO850" s="1" t="str">
        <f>IF(LEFT(Master_Reference[[#This Row],[Model Number]],1)="U",LEFT(Master_Reference[[#This Row],[Model Number]],4),LEFT(Master_Reference[[#This Row],[Model Number]],3))</f>
        <v>H3D</v>
      </c>
    </row>
    <row r="851" spans="1:41" x14ac:dyDescent="0.25">
      <c r="A851" s="2" t="s">
        <v>1155</v>
      </c>
      <c r="B851" s="1" t="b">
        <v>1</v>
      </c>
      <c r="C851" s="1" t="b">
        <v>1</v>
      </c>
      <c r="G851" s="1" t="str">
        <f>IF(OR(LEFT(RIGHT(Master_Reference[[#This Row],[Model Number]],3),1)="C",LEFT(RIGHT(Master_Reference[[#This Row],[Model Number]],4),1)="C"),TRUE,"")</f>
        <v/>
      </c>
      <c r="H851" s="1" t="str">
        <f>IF(LEFT(Master_Reference[[#This Row],[Model Number]],1)="U",TRUE,"")</f>
        <v/>
      </c>
      <c r="I851" s="1" t="b">
        <f>IF(Master_Reference[[#This Row],[Lamp Type]]="T4","",IF(Master_Reference[[#This Row],[Case Type]]="M","",TRUE))</f>
        <v>1</v>
      </c>
      <c r="J851" s="1" t="str">
        <f t="shared" si="13"/>
        <v>T8</v>
      </c>
      <c r="K851" s="1">
        <v>25</v>
      </c>
      <c r="L851" s="1" t="s">
        <v>115</v>
      </c>
      <c r="M851" s="1">
        <v>1</v>
      </c>
      <c r="N851" s="1" t="s">
        <v>149</v>
      </c>
      <c r="O851" s="1" t="s">
        <v>217</v>
      </c>
      <c r="R851" t="b">
        <f>IF(COUNTBLANK(Master_Reference[[#This Row],[C-Flex 3000K Eco Part Number]:[C-Flex 4000K Eco Part Number]])=3,FALSE,TRUE)</f>
        <v>1</v>
      </c>
      <c r="S851" t="b">
        <f>IF(COUNTBLANK(Master_Reference[[#This Row],[C-Flex 3000K 3W Part Number]:[C-Flex 4000K 3W Part Number]])=3,FALSE,TRUE)</f>
        <v>1</v>
      </c>
      <c r="T851" t="b">
        <f>IF(COUNTBLANK(Master_Reference[[#This Row],[Lutron 3000K Eco Part Number]:[Lutron 4000K Eco Part Number]])=3,FALSE,TRUE)</f>
        <v>1</v>
      </c>
      <c r="U851" t="b">
        <f>IF(COUNTBLANK(Master_Reference[[#This Row],[Lutron 3000K 3W Part Number]:[Lutron 4000K 3W Part Number]])=3,FALSE,TRUE)</f>
        <v>1</v>
      </c>
      <c r="V851" s="12" t="s">
        <v>478</v>
      </c>
      <c r="W851" s="12" t="s">
        <v>479</v>
      </c>
      <c r="X851" s="12" t="s">
        <v>480</v>
      </c>
      <c r="Y851" t="s">
        <v>1738</v>
      </c>
      <c r="Z851" s="12" t="s">
        <v>255</v>
      </c>
      <c r="AA851" s="12" t="s">
        <v>256</v>
      </c>
      <c r="AB851" s="12" t="s">
        <v>257</v>
      </c>
      <c r="AC851" t="s">
        <v>1826</v>
      </c>
      <c r="AD851" t="str">
        <f>SUBSTITUTE(Master_Reference[[#This Row],[C-Flex 4000K Eco Part Number]],"40-","xx-")</f>
        <v>RP-T8-3FT-1L-8xx-E1-M-G2</v>
      </c>
      <c r="AE851" t="str">
        <f>SUBSTITUTE(Master_Reference[[#This Row],[C-Flex 4000K 3W Part Number]],"40-","xx-")</f>
        <v>RP-T8-3FT-1L-8xx-3W-M-G2</v>
      </c>
      <c r="AF851" s="1" t="str">
        <f>_xlfn.IFNA(VLOOKUP(Master_Reference[[#This Row],[C-Flex 3000K Eco Part Number]],Lutron_CFlex_Lookup[],MATCH("Lutron Kit PN",Lutron_CFlex_Lookup[#Headers],0),FALSE),"")</f>
        <v>ELD3T8-1M30-q</v>
      </c>
      <c r="AG851" s="1" t="str">
        <f>_xlfn.IFNA(VLOOKUP(Master_Reference[[#This Row],[C-Flex 3500K Eco Part Number]],Lutron_CFlex_Lookup[],MATCH("Lutron Kit PN",Lutron_CFlex_Lookup[#Headers],0),FALSE),"")</f>
        <v>ELD3T8-1M35-q</v>
      </c>
      <c r="AH851" s="1" t="str">
        <f>_xlfn.IFNA(VLOOKUP(Master_Reference[[#This Row],[C-Flex 4000K Eco Part Number]],Lutron_CFlex_Lookup[],MATCH("Lutron Kit PN",Lutron_CFlex_Lookup[#Headers],0),FALSE),"")</f>
        <v>ELD3T8-1M40-q</v>
      </c>
      <c r="AI851" s="1" t="str">
        <f>_xlfn.IFNA(VLOOKUP(Master_Reference[[#This Row],[C-Flex 5000K Eco Part Number]],Lutron_CFlex_Lookup[],MATCH("Lutron Kit PN",Lutron_CFlex_Lookup[#Headers],0),FALSE),"")</f>
        <v>ELD3T8-1M50-q</v>
      </c>
      <c r="AJ851" s="1" t="str">
        <f>_xlfn.IFNA(VLOOKUP(Master_Reference[[#This Row],[C-Flex 3000K 3W Part Number]],Lutron_CFlex_Lookup[],MATCH("Lutron Kit PN",Lutron_CFlex_Lookup[#Headers],0),FALSE),"")</f>
        <v>3LD3T8-1M30-q</v>
      </c>
      <c r="AK851" s="1" t="str">
        <f>_xlfn.IFNA(VLOOKUP(Master_Reference[[#This Row],[C-Flex 3500K 3W Part Number]],Lutron_CFlex_Lookup[],MATCH("Lutron Kit PN",Lutron_CFlex_Lookup[#Headers],0),FALSE),"")</f>
        <v>3LD3T8-1M35-q</v>
      </c>
      <c r="AL851" s="1" t="str">
        <f>_xlfn.IFNA(VLOOKUP(Master_Reference[[#This Row],[C-Flex 4000K 3W Part Number]],Lutron_CFlex_Lookup[],MATCH("Lutron Kit PN",Lutron_CFlex_Lookup[#Headers],0),FALSE),"")</f>
        <v>3LD3T8-1M40-q</v>
      </c>
      <c r="AM851" s="1" t="str">
        <f>_xlfn.IFNA(VLOOKUP(Master_Reference[[#This Row],[C-Flex 5000K 3W Part Number]],Lutron_CFlex_Lookup[],MATCH("Lutron Kit PN",Lutron_CFlex_Lookup[#Headers],0),FALSE),"")</f>
        <v>3LD3T8-1M50-q</v>
      </c>
      <c r="AN851" s="1" t="b">
        <f>NOT(ISNA(VLOOKUP(Master_Reference[[#This Row],[Model Number]],ObsoleteModels[],1,FALSE)))</f>
        <v>1</v>
      </c>
      <c r="AO851" s="1" t="str">
        <f>IF(LEFT(Master_Reference[[#This Row],[Model Number]],1)="U",LEFT(Master_Reference[[#This Row],[Model Number]],4),LEFT(Master_Reference[[#This Row],[Model Number]],3))</f>
        <v>H3D</v>
      </c>
    </row>
    <row r="852" spans="1:41" x14ac:dyDescent="0.25">
      <c r="A852" s="2" t="s">
        <v>1156</v>
      </c>
      <c r="B852" s="1" t="b">
        <v>1</v>
      </c>
      <c r="C852" s="1" t="b">
        <v>1</v>
      </c>
      <c r="G852" s="1" t="str">
        <f>IF(OR(LEFT(RIGHT(Master_Reference[[#This Row],[Model Number]],3),1)="C",LEFT(RIGHT(Master_Reference[[#This Row],[Model Number]],4),1)="C"),TRUE,"")</f>
        <v/>
      </c>
      <c r="H852" s="1" t="str">
        <f>IF(LEFT(Master_Reference[[#This Row],[Model Number]],1)="U",TRUE,"")</f>
        <v/>
      </c>
      <c r="I852" s="1" t="b">
        <f>IF(Master_Reference[[#This Row],[Lamp Type]]="T4","",IF(Master_Reference[[#This Row],[Case Type]]="M","",TRUE))</f>
        <v>1</v>
      </c>
      <c r="J852" s="1" t="str">
        <f t="shared" si="13"/>
        <v>T8</v>
      </c>
      <c r="K852" s="1">
        <v>25</v>
      </c>
      <c r="L852" s="1" t="s">
        <v>115</v>
      </c>
      <c r="M852" s="1">
        <v>2</v>
      </c>
      <c r="N852" s="1" t="s">
        <v>149</v>
      </c>
      <c r="O852" s="1" t="s">
        <v>217</v>
      </c>
      <c r="R852" t="b">
        <f>IF(COUNTBLANK(Master_Reference[[#This Row],[C-Flex 3000K Eco Part Number]:[C-Flex 4000K Eco Part Number]])=3,FALSE,TRUE)</f>
        <v>1</v>
      </c>
      <c r="S852" t="b">
        <f>IF(COUNTBLANK(Master_Reference[[#This Row],[C-Flex 3000K 3W Part Number]:[C-Flex 4000K 3W Part Number]])=3,FALSE,TRUE)</f>
        <v>1</v>
      </c>
      <c r="T852" t="b">
        <f>IF(COUNTBLANK(Master_Reference[[#This Row],[Lutron 3000K Eco Part Number]:[Lutron 4000K Eco Part Number]])=3,FALSE,TRUE)</f>
        <v>1</v>
      </c>
      <c r="U852" t="b">
        <f>IF(COUNTBLANK(Master_Reference[[#This Row],[Lutron 3000K 3W Part Number]:[Lutron 4000K 3W Part Number]])=3,FALSE,TRUE)</f>
        <v>1</v>
      </c>
      <c r="V852" s="12" t="s">
        <v>482</v>
      </c>
      <c r="W852" s="12" t="s">
        <v>483</v>
      </c>
      <c r="X852" s="12" t="s">
        <v>484</v>
      </c>
      <c r="Y852" t="s">
        <v>1739</v>
      </c>
      <c r="Z852" s="12" t="s">
        <v>259</v>
      </c>
      <c r="AA852" s="12" t="s">
        <v>260</v>
      </c>
      <c r="AB852" s="12" t="s">
        <v>261</v>
      </c>
      <c r="AC852" t="s">
        <v>1827</v>
      </c>
      <c r="AD852" t="str">
        <f>SUBSTITUTE(Master_Reference[[#This Row],[C-Flex 4000K Eco Part Number]],"40-","xx-")</f>
        <v>RP-T8-3FT-2L-8xx-E1-M-G2</v>
      </c>
      <c r="AE852" t="str">
        <f>SUBSTITUTE(Master_Reference[[#This Row],[C-Flex 4000K 3W Part Number]],"40-","xx-")</f>
        <v>RP-T8-3FT-2L-8xx-3W-M-G2</v>
      </c>
      <c r="AF852" s="1" t="str">
        <f>_xlfn.IFNA(VLOOKUP(Master_Reference[[#This Row],[C-Flex 3000K Eco Part Number]],Lutron_CFlex_Lookup[],MATCH("Lutron Kit PN",Lutron_CFlex_Lookup[#Headers],0),FALSE),"")</f>
        <v>ELD3T8-2M30-q</v>
      </c>
      <c r="AG852" s="1" t="str">
        <f>_xlfn.IFNA(VLOOKUP(Master_Reference[[#This Row],[C-Flex 3500K Eco Part Number]],Lutron_CFlex_Lookup[],MATCH("Lutron Kit PN",Lutron_CFlex_Lookup[#Headers],0),FALSE),"")</f>
        <v>ELD3T8-2M35-q</v>
      </c>
      <c r="AH852" s="1" t="str">
        <f>_xlfn.IFNA(VLOOKUP(Master_Reference[[#This Row],[C-Flex 4000K Eco Part Number]],Lutron_CFlex_Lookup[],MATCH("Lutron Kit PN",Lutron_CFlex_Lookup[#Headers],0),FALSE),"")</f>
        <v>ELD3T8-2M40-q</v>
      </c>
      <c r="AI852" s="1" t="str">
        <f>_xlfn.IFNA(VLOOKUP(Master_Reference[[#This Row],[C-Flex 5000K Eco Part Number]],Lutron_CFlex_Lookup[],MATCH("Lutron Kit PN",Lutron_CFlex_Lookup[#Headers],0),FALSE),"")</f>
        <v>ELD3T8-2M50-q</v>
      </c>
      <c r="AJ852" s="1" t="str">
        <f>_xlfn.IFNA(VLOOKUP(Master_Reference[[#This Row],[C-Flex 3000K 3W Part Number]],Lutron_CFlex_Lookup[],MATCH("Lutron Kit PN",Lutron_CFlex_Lookup[#Headers],0),FALSE),"")</f>
        <v>3LD3T8-2M30-q</v>
      </c>
      <c r="AK852" s="1" t="str">
        <f>_xlfn.IFNA(VLOOKUP(Master_Reference[[#This Row],[C-Flex 3500K 3W Part Number]],Lutron_CFlex_Lookup[],MATCH("Lutron Kit PN",Lutron_CFlex_Lookup[#Headers],0),FALSE),"")</f>
        <v>3LD3T8-2M35-q</v>
      </c>
      <c r="AL852" s="1" t="str">
        <f>_xlfn.IFNA(VLOOKUP(Master_Reference[[#This Row],[C-Flex 4000K 3W Part Number]],Lutron_CFlex_Lookup[],MATCH("Lutron Kit PN",Lutron_CFlex_Lookup[#Headers],0),FALSE),"")</f>
        <v>3LD3T8-2M40-q</v>
      </c>
      <c r="AM852" s="1" t="str">
        <f>_xlfn.IFNA(VLOOKUP(Master_Reference[[#This Row],[C-Flex 5000K 3W Part Number]],Lutron_CFlex_Lookup[],MATCH("Lutron Kit PN",Lutron_CFlex_Lookup[#Headers],0),FALSE),"")</f>
        <v>3LD3T8-2M50-q</v>
      </c>
      <c r="AN852" s="1" t="b">
        <f>NOT(ISNA(VLOOKUP(Master_Reference[[#This Row],[Model Number]],ObsoleteModels[],1,FALSE)))</f>
        <v>1</v>
      </c>
      <c r="AO852" s="1" t="str">
        <f>IF(LEFT(Master_Reference[[#This Row],[Model Number]],1)="U",LEFT(Master_Reference[[#This Row],[Model Number]],4),LEFT(Master_Reference[[#This Row],[Model Number]],3))</f>
        <v>H3D</v>
      </c>
    </row>
    <row r="853" spans="1:41" x14ac:dyDescent="0.25">
      <c r="A853" s="2" t="s">
        <v>1157</v>
      </c>
      <c r="B853" s="1" t="b">
        <v>1</v>
      </c>
      <c r="C853" s="1" t="b">
        <v>1</v>
      </c>
      <c r="G853" s="1" t="str">
        <f>IF(OR(LEFT(RIGHT(Master_Reference[[#This Row],[Model Number]],3),1)="C",LEFT(RIGHT(Master_Reference[[#This Row],[Model Number]],4),1)="C"),TRUE,"")</f>
        <v/>
      </c>
      <c r="H853" s="1" t="str">
        <f>IF(LEFT(Master_Reference[[#This Row],[Model Number]],1)="U",TRUE,"")</f>
        <v/>
      </c>
      <c r="I853" s="1" t="b">
        <f>IF(Master_Reference[[#This Row],[Lamp Type]]="T4","",IF(Master_Reference[[#This Row],[Case Type]]="M","",TRUE))</f>
        <v>1</v>
      </c>
      <c r="J853" s="1" t="str">
        <f t="shared" si="13"/>
        <v>T8</v>
      </c>
      <c r="K853" s="1">
        <v>32</v>
      </c>
      <c r="L853" s="1" t="s">
        <v>118</v>
      </c>
      <c r="M853" s="1">
        <v>1</v>
      </c>
      <c r="N853" s="1" t="s">
        <v>149</v>
      </c>
      <c r="O853" s="1" t="s">
        <v>113</v>
      </c>
      <c r="R853" t="b">
        <f>IF(COUNTBLANK(Master_Reference[[#This Row],[C-Flex 3000K Eco Part Number]:[C-Flex 4000K Eco Part Number]])=3,FALSE,TRUE)</f>
        <v>1</v>
      </c>
      <c r="S853" t="b">
        <f>IF(COUNTBLANK(Master_Reference[[#This Row],[C-Flex 3000K 3W Part Number]:[C-Flex 4000K 3W Part Number]])=3,FALSE,TRUE)</f>
        <v>1</v>
      </c>
      <c r="T853" t="b">
        <f>IF(COUNTBLANK(Master_Reference[[#This Row],[Lutron 3000K Eco Part Number]:[Lutron 4000K Eco Part Number]])=3,FALSE,TRUE)</f>
        <v>1</v>
      </c>
      <c r="U853" t="b">
        <f>IF(COUNTBLANK(Master_Reference[[#This Row],[Lutron 3000K 3W Part Number]:[Lutron 4000K 3W Part Number]])=3,FALSE,TRUE)</f>
        <v>1</v>
      </c>
      <c r="V853" s="12" t="s">
        <v>312</v>
      </c>
      <c r="W853" s="12" t="s">
        <v>313</v>
      </c>
      <c r="X853" s="12" t="s">
        <v>314</v>
      </c>
      <c r="Y853" t="s">
        <v>1744</v>
      </c>
      <c r="Z853" s="12" t="s">
        <v>264</v>
      </c>
      <c r="AA853" s="12" t="s">
        <v>265</v>
      </c>
      <c r="AB853" s="12" t="s">
        <v>266</v>
      </c>
      <c r="AC853" t="s">
        <v>1829</v>
      </c>
      <c r="AD853" t="str">
        <f>SUBSTITUTE(Master_Reference[[#This Row],[C-Flex 4000K Eco Part Number]],"40-","xx-")</f>
        <v>RP-T8-4FT-1L-8xx-E1-M-G2</v>
      </c>
      <c r="AE853" t="str">
        <f>SUBSTITUTE(Master_Reference[[#This Row],[C-Flex 4000K 3W Part Number]],"40-","xx-")</f>
        <v>RP-T8-4FT-1L-8xx-3W-M-G2</v>
      </c>
      <c r="AF853" s="1" t="str">
        <f>_xlfn.IFNA(VLOOKUP(Master_Reference[[#This Row],[C-Flex 3000K Eco Part Number]],Lutron_CFlex_Lookup[],MATCH("Lutron Kit PN",Lutron_CFlex_Lookup[#Headers],0),FALSE),"")</f>
        <v>ELD4T8-1M30-q</v>
      </c>
      <c r="AG853" s="1" t="str">
        <f>_xlfn.IFNA(VLOOKUP(Master_Reference[[#This Row],[C-Flex 3500K Eco Part Number]],Lutron_CFlex_Lookup[],MATCH("Lutron Kit PN",Lutron_CFlex_Lookup[#Headers],0),FALSE),"")</f>
        <v>ELD4T8-1M35-q</v>
      </c>
      <c r="AH853" s="1" t="str">
        <f>_xlfn.IFNA(VLOOKUP(Master_Reference[[#This Row],[C-Flex 4000K Eco Part Number]],Lutron_CFlex_Lookup[],MATCH("Lutron Kit PN",Lutron_CFlex_Lookup[#Headers],0),FALSE),"")</f>
        <v>ELD4T8-1M40-q</v>
      </c>
      <c r="AI853" s="1" t="str">
        <f>_xlfn.IFNA(VLOOKUP(Master_Reference[[#This Row],[C-Flex 5000K Eco Part Number]],Lutron_CFlex_Lookup[],MATCH("Lutron Kit PN",Lutron_CFlex_Lookup[#Headers],0),FALSE),"")</f>
        <v>ELD4T8-1M50-q</v>
      </c>
      <c r="AJ853" s="1" t="str">
        <f>_xlfn.IFNA(VLOOKUP(Master_Reference[[#This Row],[C-Flex 3000K 3W Part Number]],Lutron_CFlex_Lookup[],MATCH("Lutron Kit PN",Lutron_CFlex_Lookup[#Headers],0),FALSE),"")</f>
        <v>3LD4T8-1M30-q</v>
      </c>
      <c r="AK853" s="1" t="str">
        <f>_xlfn.IFNA(VLOOKUP(Master_Reference[[#This Row],[C-Flex 3500K 3W Part Number]],Lutron_CFlex_Lookup[],MATCH("Lutron Kit PN",Lutron_CFlex_Lookup[#Headers],0),FALSE),"")</f>
        <v>3LD4T8-1M35-q</v>
      </c>
      <c r="AL853" s="1" t="str">
        <f>_xlfn.IFNA(VLOOKUP(Master_Reference[[#This Row],[C-Flex 4000K 3W Part Number]],Lutron_CFlex_Lookup[],MATCH("Lutron Kit PN",Lutron_CFlex_Lookup[#Headers],0),FALSE),"")</f>
        <v>3LD4T8-1M40-q</v>
      </c>
      <c r="AM853" s="1" t="str">
        <f>_xlfn.IFNA(VLOOKUP(Master_Reference[[#This Row],[C-Flex 5000K 3W Part Number]],Lutron_CFlex_Lookup[],MATCH("Lutron Kit PN",Lutron_CFlex_Lookup[#Headers],0),FALSE),"")</f>
        <v>3LD4T8-1M50-q</v>
      </c>
      <c r="AN853" s="1" t="b">
        <f>NOT(ISNA(VLOOKUP(Master_Reference[[#This Row],[Model Number]],ObsoleteModels[],1,FALSE)))</f>
        <v>1</v>
      </c>
      <c r="AO853" s="1" t="str">
        <f>IF(LEFT(Master_Reference[[#This Row],[Model Number]],1)="U",LEFT(Master_Reference[[#This Row],[Model Number]],4),LEFT(Master_Reference[[#This Row],[Model Number]],3))</f>
        <v>H3D</v>
      </c>
    </row>
    <row r="854" spans="1:41" x14ac:dyDescent="0.25">
      <c r="A854" s="2" t="s">
        <v>1158</v>
      </c>
      <c r="B854" s="1" t="b">
        <v>1</v>
      </c>
      <c r="C854" s="1" t="b">
        <v>1</v>
      </c>
      <c r="G854" s="1" t="str">
        <f>IF(OR(LEFT(RIGHT(Master_Reference[[#This Row],[Model Number]],3),1)="C",LEFT(RIGHT(Master_Reference[[#This Row],[Model Number]],4),1)="C"),TRUE,"")</f>
        <v/>
      </c>
      <c r="H854" s="1" t="str">
        <f>IF(LEFT(Master_Reference[[#This Row],[Model Number]],1)="U",TRUE,"")</f>
        <v/>
      </c>
      <c r="I854" s="1" t="b">
        <f>IF(Master_Reference[[#This Row],[Lamp Type]]="T4","",IF(Master_Reference[[#This Row],[Case Type]]="M","",TRUE))</f>
        <v>1</v>
      </c>
      <c r="J854" s="1" t="str">
        <f t="shared" si="13"/>
        <v>T8</v>
      </c>
      <c r="K854" s="1">
        <v>32</v>
      </c>
      <c r="L854" s="1" t="s">
        <v>118</v>
      </c>
      <c r="M854" s="1">
        <v>1</v>
      </c>
      <c r="N854" s="1" t="s">
        <v>149</v>
      </c>
      <c r="O854" s="1" t="s">
        <v>113</v>
      </c>
      <c r="Q854" s="1" t="s">
        <v>91</v>
      </c>
      <c r="R854" t="b">
        <f>IF(COUNTBLANK(Master_Reference[[#This Row],[C-Flex 3000K Eco Part Number]:[C-Flex 4000K Eco Part Number]])=3,FALSE,TRUE)</f>
        <v>0</v>
      </c>
      <c r="S854" t="b">
        <f>IF(COUNTBLANK(Master_Reference[[#This Row],[C-Flex 3000K 3W Part Number]:[C-Flex 4000K 3W Part Number]])=3,FALSE,TRUE)</f>
        <v>0</v>
      </c>
      <c r="T854" t="b">
        <f>IF(COUNTBLANK(Master_Reference[[#This Row],[Lutron 3000K Eco Part Number]:[Lutron 4000K Eco Part Number]])=3,FALSE,TRUE)</f>
        <v>0</v>
      </c>
      <c r="U854" t="b">
        <f>IF(COUNTBLANK(Master_Reference[[#This Row],[Lutron 3000K 3W Part Number]:[Lutron 4000K 3W Part Number]])=3,FALSE,TRUE)</f>
        <v>0</v>
      </c>
      <c r="V854" s="12"/>
      <c r="W854" s="12"/>
      <c r="X854" s="12"/>
      <c r="Y854" t="s">
        <v>2125</v>
      </c>
      <c r="Z854" s="12"/>
      <c r="AA854" s="12"/>
      <c r="AB854" s="12"/>
      <c r="AC854" t="s">
        <v>2125</v>
      </c>
      <c r="AD854" t="str">
        <f>SUBSTITUTE(Master_Reference[[#This Row],[C-Flex 4000K Eco Part Number]],"40-","xx-")</f>
        <v/>
      </c>
      <c r="AE854" t="str">
        <f>SUBSTITUTE(Master_Reference[[#This Row],[C-Flex 4000K 3W Part Number]],"40-","xx-")</f>
        <v/>
      </c>
      <c r="AF854" s="1" t="str">
        <f>_xlfn.IFNA(VLOOKUP(Master_Reference[[#This Row],[C-Flex 3000K Eco Part Number]],Lutron_CFlex_Lookup[],MATCH("Lutron Kit PN",Lutron_CFlex_Lookup[#Headers],0),FALSE),"")</f>
        <v/>
      </c>
      <c r="AG854" s="1" t="str">
        <f>_xlfn.IFNA(VLOOKUP(Master_Reference[[#This Row],[C-Flex 3500K Eco Part Number]],Lutron_CFlex_Lookup[],MATCH("Lutron Kit PN",Lutron_CFlex_Lookup[#Headers],0),FALSE),"")</f>
        <v/>
      </c>
      <c r="AH854" s="1" t="str">
        <f>_xlfn.IFNA(VLOOKUP(Master_Reference[[#This Row],[C-Flex 4000K Eco Part Number]],Lutron_CFlex_Lookup[],MATCH("Lutron Kit PN",Lutron_CFlex_Lookup[#Headers],0),FALSE),"")</f>
        <v/>
      </c>
      <c r="AI854" s="1" t="str">
        <f>_xlfn.IFNA(VLOOKUP(Master_Reference[[#This Row],[C-Flex 5000K Eco Part Number]],Lutron_CFlex_Lookup[],MATCH("Lutron Kit PN",Lutron_CFlex_Lookup[#Headers],0),FALSE),"")</f>
        <v/>
      </c>
      <c r="AJ854" s="1" t="str">
        <f>_xlfn.IFNA(VLOOKUP(Master_Reference[[#This Row],[C-Flex 3000K 3W Part Number]],Lutron_CFlex_Lookup[],MATCH("Lutron Kit PN",Lutron_CFlex_Lookup[#Headers],0),FALSE),"")</f>
        <v/>
      </c>
      <c r="AK854" s="1" t="str">
        <f>_xlfn.IFNA(VLOOKUP(Master_Reference[[#This Row],[C-Flex 3500K 3W Part Number]],Lutron_CFlex_Lookup[],MATCH("Lutron Kit PN",Lutron_CFlex_Lookup[#Headers],0),FALSE),"")</f>
        <v/>
      </c>
      <c r="AL854" s="1" t="str">
        <f>_xlfn.IFNA(VLOOKUP(Master_Reference[[#This Row],[C-Flex 4000K 3W Part Number]],Lutron_CFlex_Lookup[],MATCH("Lutron Kit PN",Lutron_CFlex_Lookup[#Headers],0),FALSE),"")</f>
        <v/>
      </c>
      <c r="AM854" s="1" t="str">
        <f>_xlfn.IFNA(VLOOKUP(Master_Reference[[#This Row],[C-Flex 5000K 3W Part Number]],Lutron_CFlex_Lookup[],MATCH("Lutron Kit PN",Lutron_CFlex_Lookup[#Headers],0),FALSE),"")</f>
        <v/>
      </c>
      <c r="AN854" s="1" t="b">
        <f>NOT(ISNA(VLOOKUP(Master_Reference[[#This Row],[Model Number]],ObsoleteModels[],1,FALSE)))</f>
        <v>1</v>
      </c>
      <c r="AO854" s="1" t="str">
        <f>IF(LEFT(Master_Reference[[#This Row],[Model Number]],1)="U",LEFT(Master_Reference[[#This Row],[Model Number]],4),LEFT(Master_Reference[[#This Row],[Model Number]],3))</f>
        <v>H3D</v>
      </c>
    </row>
    <row r="855" spans="1:41" x14ac:dyDescent="0.25">
      <c r="A855" s="2" t="s">
        <v>1159</v>
      </c>
      <c r="B855" s="1" t="b">
        <v>1</v>
      </c>
      <c r="C855" s="1" t="b">
        <v>1</v>
      </c>
      <c r="G855" s="1" t="b">
        <v>1</v>
      </c>
      <c r="H855" s="1" t="str">
        <f>IF(LEFT(Master_Reference[[#This Row],[Model Number]],1)="U",TRUE,"")</f>
        <v/>
      </c>
      <c r="I855" s="1" t="b">
        <f>IF(Master_Reference[[#This Row],[Lamp Type]]="T4","",IF(Master_Reference[[#This Row],[Case Type]]="M","",TRUE))</f>
        <v>1</v>
      </c>
      <c r="J855" s="1" t="str">
        <f t="shared" si="13"/>
        <v>T8</v>
      </c>
      <c r="K855" s="1">
        <v>32</v>
      </c>
      <c r="L855" s="1" t="s">
        <v>118</v>
      </c>
      <c r="M855" s="1">
        <v>1</v>
      </c>
      <c r="N855" s="1" t="s">
        <v>149</v>
      </c>
      <c r="O855" s="1" t="s">
        <v>113</v>
      </c>
      <c r="R855" t="b">
        <f>IF(COUNTBLANK(Master_Reference[[#This Row],[C-Flex 3000K Eco Part Number]:[C-Flex 4000K Eco Part Number]])=3,FALSE,TRUE)</f>
        <v>1</v>
      </c>
      <c r="S855" t="b">
        <f>IF(COUNTBLANK(Master_Reference[[#This Row],[C-Flex 3000K 3W Part Number]:[C-Flex 4000K 3W Part Number]])=3,FALSE,TRUE)</f>
        <v>1</v>
      </c>
      <c r="T855" t="b">
        <f>IF(COUNTBLANK(Master_Reference[[#This Row],[Lutron 3000K Eco Part Number]:[Lutron 4000K Eco Part Number]])=3,FALSE,TRUE)</f>
        <v>1</v>
      </c>
      <c r="U855" t="b">
        <f>IF(COUNTBLANK(Master_Reference[[#This Row],[Lutron 3000K 3W Part Number]:[Lutron 4000K 3W Part Number]])=3,FALSE,TRUE)</f>
        <v>1</v>
      </c>
      <c r="V855" s="12" t="s">
        <v>312</v>
      </c>
      <c r="W855" s="12" t="s">
        <v>313</v>
      </c>
      <c r="X855" s="12" t="s">
        <v>314</v>
      </c>
      <c r="Y855" t="s">
        <v>1744</v>
      </c>
      <c r="Z855" s="12" t="s">
        <v>264</v>
      </c>
      <c r="AA855" s="12" t="s">
        <v>265</v>
      </c>
      <c r="AB855" s="12" t="s">
        <v>266</v>
      </c>
      <c r="AC855" t="s">
        <v>1829</v>
      </c>
      <c r="AD855" t="str">
        <f>SUBSTITUTE(Master_Reference[[#This Row],[C-Flex 4000K Eco Part Number]],"40-","xx-")</f>
        <v>RP-T8-4FT-1L-8xx-E1-M-G2</v>
      </c>
      <c r="AE855" t="str">
        <f>SUBSTITUTE(Master_Reference[[#This Row],[C-Flex 4000K 3W Part Number]],"40-","xx-")</f>
        <v>RP-T8-4FT-1L-8xx-3W-M-G2</v>
      </c>
      <c r="AF855" s="1" t="str">
        <f>_xlfn.IFNA(VLOOKUP(Master_Reference[[#This Row],[C-Flex 3000K Eco Part Number]],Lutron_CFlex_Lookup[],MATCH("Lutron Kit PN",Lutron_CFlex_Lookup[#Headers],0),FALSE),"")</f>
        <v>ELD4T8-1M30-q</v>
      </c>
      <c r="AG855" s="1" t="str">
        <f>_xlfn.IFNA(VLOOKUP(Master_Reference[[#This Row],[C-Flex 3500K Eco Part Number]],Lutron_CFlex_Lookup[],MATCH("Lutron Kit PN",Lutron_CFlex_Lookup[#Headers],0),FALSE),"")</f>
        <v>ELD4T8-1M35-q</v>
      </c>
      <c r="AH855" s="1" t="str">
        <f>_xlfn.IFNA(VLOOKUP(Master_Reference[[#This Row],[C-Flex 4000K Eco Part Number]],Lutron_CFlex_Lookup[],MATCH("Lutron Kit PN",Lutron_CFlex_Lookup[#Headers],0),FALSE),"")</f>
        <v>ELD4T8-1M40-q</v>
      </c>
      <c r="AI855" s="1" t="str">
        <f>_xlfn.IFNA(VLOOKUP(Master_Reference[[#This Row],[C-Flex 5000K Eco Part Number]],Lutron_CFlex_Lookup[],MATCH("Lutron Kit PN",Lutron_CFlex_Lookup[#Headers],0),FALSE),"")</f>
        <v>ELD4T8-1M50-q</v>
      </c>
      <c r="AJ855" s="1" t="str">
        <f>_xlfn.IFNA(VLOOKUP(Master_Reference[[#This Row],[C-Flex 3000K 3W Part Number]],Lutron_CFlex_Lookup[],MATCH("Lutron Kit PN",Lutron_CFlex_Lookup[#Headers],0),FALSE),"")</f>
        <v>3LD4T8-1M30-q</v>
      </c>
      <c r="AK855" s="1" t="str">
        <f>_xlfn.IFNA(VLOOKUP(Master_Reference[[#This Row],[C-Flex 3500K 3W Part Number]],Lutron_CFlex_Lookup[],MATCH("Lutron Kit PN",Lutron_CFlex_Lookup[#Headers],0),FALSE),"")</f>
        <v>3LD4T8-1M35-q</v>
      </c>
      <c r="AL855" s="1" t="str">
        <f>_xlfn.IFNA(VLOOKUP(Master_Reference[[#This Row],[C-Flex 4000K 3W Part Number]],Lutron_CFlex_Lookup[],MATCH("Lutron Kit PN",Lutron_CFlex_Lookup[#Headers],0),FALSE),"")</f>
        <v>3LD4T8-1M40-q</v>
      </c>
      <c r="AM855" s="1" t="str">
        <f>_xlfn.IFNA(VLOOKUP(Master_Reference[[#This Row],[C-Flex 5000K 3W Part Number]],Lutron_CFlex_Lookup[],MATCH("Lutron Kit PN",Lutron_CFlex_Lookup[#Headers],0),FALSE),"")</f>
        <v>3LD4T8-1M50-q</v>
      </c>
      <c r="AN855" s="1" t="b">
        <f>NOT(ISNA(VLOOKUP(Master_Reference[[#This Row],[Model Number]],ObsoleteModels[],1,FALSE)))</f>
        <v>1</v>
      </c>
      <c r="AO855" s="1" t="str">
        <f>IF(LEFT(Master_Reference[[#This Row],[Model Number]],1)="U",LEFT(Master_Reference[[#This Row],[Model Number]],4),LEFT(Master_Reference[[#This Row],[Model Number]],3))</f>
        <v>H3D</v>
      </c>
    </row>
    <row r="856" spans="1:41" x14ac:dyDescent="0.25">
      <c r="A856" s="2" t="s">
        <v>1160</v>
      </c>
      <c r="B856" s="1" t="b">
        <v>1</v>
      </c>
      <c r="C856" s="1" t="b">
        <v>1</v>
      </c>
      <c r="G856" s="1" t="b">
        <f>IF(OR(LEFT(RIGHT(Master_Reference[[#This Row],[Model Number]],3),1)="C",LEFT(RIGHT(Master_Reference[[#This Row],[Model Number]],4),1)="C"),TRUE,"")</f>
        <v>1</v>
      </c>
      <c r="H856" s="1" t="str">
        <f>IF(LEFT(Master_Reference[[#This Row],[Model Number]],1)="U",TRUE,"")</f>
        <v/>
      </c>
      <c r="I856" s="1" t="b">
        <f>IF(Master_Reference[[#This Row],[Lamp Type]]="T4","",IF(Master_Reference[[#This Row],[Case Type]]="M","",TRUE))</f>
        <v>1</v>
      </c>
      <c r="J856" s="1" t="str">
        <f t="shared" si="13"/>
        <v>T8</v>
      </c>
      <c r="K856" s="1">
        <v>32</v>
      </c>
      <c r="L856" s="1" t="s">
        <v>118</v>
      </c>
      <c r="M856" s="1">
        <v>1</v>
      </c>
      <c r="N856" s="1" t="s">
        <v>149</v>
      </c>
      <c r="O856" s="1" t="s">
        <v>113</v>
      </c>
      <c r="R856" t="b">
        <f>IF(COUNTBLANK(Master_Reference[[#This Row],[C-Flex 3000K Eco Part Number]:[C-Flex 4000K Eco Part Number]])=3,FALSE,TRUE)</f>
        <v>1</v>
      </c>
      <c r="S856" t="b">
        <f>IF(COUNTBLANK(Master_Reference[[#This Row],[C-Flex 3000K 3W Part Number]:[C-Flex 4000K 3W Part Number]])=3,FALSE,TRUE)</f>
        <v>1</v>
      </c>
      <c r="T856" t="b">
        <f>IF(COUNTBLANK(Master_Reference[[#This Row],[Lutron 3000K Eco Part Number]:[Lutron 4000K Eco Part Number]])=3,FALSE,TRUE)</f>
        <v>1</v>
      </c>
      <c r="U856" t="b">
        <f>IF(COUNTBLANK(Master_Reference[[#This Row],[Lutron 3000K 3W Part Number]:[Lutron 4000K 3W Part Number]])=3,FALSE,TRUE)</f>
        <v>1</v>
      </c>
      <c r="V856" s="12" t="s">
        <v>312</v>
      </c>
      <c r="W856" s="12" t="s">
        <v>313</v>
      </c>
      <c r="X856" s="12" t="s">
        <v>314</v>
      </c>
      <c r="Y856" t="s">
        <v>1744</v>
      </c>
      <c r="Z856" s="12" t="s">
        <v>264</v>
      </c>
      <c r="AA856" s="12" t="s">
        <v>265</v>
      </c>
      <c r="AB856" s="12" t="s">
        <v>266</v>
      </c>
      <c r="AC856" t="s">
        <v>1829</v>
      </c>
      <c r="AD856" t="str">
        <f>SUBSTITUTE(Master_Reference[[#This Row],[C-Flex 4000K Eco Part Number]],"40-","xx-")</f>
        <v>RP-T8-4FT-1L-8xx-E1-M-G2</v>
      </c>
      <c r="AE856" t="str">
        <f>SUBSTITUTE(Master_Reference[[#This Row],[C-Flex 4000K 3W Part Number]],"40-","xx-")</f>
        <v>RP-T8-4FT-1L-8xx-3W-M-G2</v>
      </c>
      <c r="AF856" s="1" t="str">
        <f>_xlfn.IFNA(VLOOKUP(Master_Reference[[#This Row],[C-Flex 3000K Eco Part Number]],Lutron_CFlex_Lookup[],MATCH("Lutron Kit PN",Lutron_CFlex_Lookup[#Headers],0),FALSE),"")</f>
        <v>ELD4T8-1M30-q</v>
      </c>
      <c r="AG856" s="1" t="str">
        <f>_xlfn.IFNA(VLOOKUP(Master_Reference[[#This Row],[C-Flex 3500K Eco Part Number]],Lutron_CFlex_Lookup[],MATCH("Lutron Kit PN",Lutron_CFlex_Lookup[#Headers],0),FALSE),"")</f>
        <v>ELD4T8-1M35-q</v>
      </c>
      <c r="AH856" s="1" t="str">
        <f>_xlfn.IFNA(VLOOKUP(Master_Reference[[#This Row],[C-Flex 4000K Eco Part Number]],Lutron_CFlex_Lookup[],MATCH("Lutron Kit PN",Lutron_CFlex_Lookup[#Headers],0),FALSE),"")</f>
        <v>ELD4T8-1M40-q</v>
      </c>
      <c r="AI856" s="1" t="str">
        <f>_xlfn.IFNA(VLOOKUP(Master_Reference[[#This Row],[C-Flex 5000K Eco Part Number]],Lutron_CFlex_Lookup[],MATCH("Lutron Kit PN",Lutron_CFlex_Lookup[#Headers],0),FALSE),"")</f>
        <v>ELD4T8-1M50-q</v>
      </c>
      <c r="AJ856" s="1" t="str">
        <f>_xlfn.IFNA(VLOOKUP(Master_Reference[[#This Row],[C-Flex 3000K 3W Part Number]],Lutron_CFlex_Lookup[],MATCH("Lutron Kit PN",Lutron_CFlex_Lookup[#Headers],0),FALSE),"")</f>
        <v>3LD4T8-1M30-q</v>
      </c>
      <c r="AK856" s="1" t="str">
        <f>_xlfn.IFNA(VLOOKUP(Master_Reference[[#This Row],[C-Flex 3500K 3W Part Number]],Lutron_CFlex_Lookup[],MATCH("Lutron Kit PN",Lutron_CFlex_Lookup[#Headers],0),FALSE),"")</f>
        <v>3LD4T8-1M35-q</v>
      </c>
      <c r="AL856" s="1" t="str">
        <f>_xlfn.IFNA(VLOOKUP(Master_Reference[[#This Row],[C-Flex 4000K 3W Part Number]],Lutron_CFlex_Lookup[],MATCH("Lutron Kit PN",Lutron_CFlex_Lookup[#Headers],0),FALSE),"")</f>
        <v>3LD4T8-1M40-q</v>
      </c>
      <c r="AM856" s="1" t="str">
        <f>_xlfn.IFNA(VLOOKUP(Master_Reference[[#This Row],[C-Flex 5000K 3W Part Number]],Lutron_CFlex_Lookup[],MATCH("Lutron Kit PN",Lutron_CFlex_Lookup[#Headers],0),FALSE),"")</f>
        <v>3LD4T8-1M50-q</v>
      </c>
      <c r="AN856" s="1" t="b">
        <f>NOT(ISNA(VLOOKUP(Master_Reference[[#This Row],[Model Number]],ObsoleteModels[],1,FALSE)))</f>
        <v>1</v>
      </c>
      <c r="AO856" s="1" t="str">
        <f>IF(LEFT(Master_Reference[[#This Row],[Model Number]],1)="U",LEFT(Master_Reference[[#This Row],[Model Number]],4),LEFT(Master_Reference[[#This Row],[Model Number]],3))</f>
        <v>H3D</v>
      </c>
    </row>
    <row r="857" spans="1:41" x14ac:dyDescent="0.25">
      <c r="A857" s="2" t="s">
        <v>1161</v>
      </c>
      <c r="B857" s="1" t="b">
        <v>1</v>
      </c>
      <c r="C857" s="1" t="b">
        <v>1</v>
      </c>
      <c r="G857" s="1" t="b">
        <f>IF(OR(LEFT(RIGHT(Master_Reference[[#This Row],[Model Number]],3),1)="C",LEFT(RIGHT(Master_Reference[[#This Row],[Model Number]],4),1)="C"),TRUE,"")</f>
        <v>1</v>
      </c>
      <c r="H857" s="1" t="str">
        <f>IF(LEFT(Master_Reference[[#This Row],[Model Number]],1)="U",TRUE,"")</f>
        <v/>
      </c>
      <c r="I857" s="1" t="b">
        <f>IF(Master_Reference[[#This Row],[Lamp Type]]="T4","",IF(Master_Reference[[#This Row],[Case Type]]="M","",TRUE))</f>
        <v>1</v>
      </c>
      <c r="J857" s="1" t="str">
        <f t="shared" si="13"/>
        <v>T8</v>
      </c>
      <c r="K857" s="1">
        <v>32</v>
      </c>
      <c r="L857" s="1" t="s">
        <v>118</v>
      </c>
      <c r="M857" s="1">
        <v>1</v>
      </c>
      <c r="N857" s="1" t="s">
        <v>149</v>
      </c>
      <c r="O857" s="1" t="s">
        <v>113</v>
      </c>
      <c r="R857" t="b">
        <f>IF(COUNTBLANK(Master_Reference[[#This Row],[C-Flex 3000K Eco Part Number]:[C-Flex 4000K Eco Part Number]])=3,FALSE,TRUE)</f>
        <v>1</v>
      </c>
      <c r="S857" t="b">
        <f>IF(COUNTBLANK(Master_Reference[[#This Row],[C-Flex 3000K 3W Part Number]:[C-Flex 4000K 3W Part Number]])=3,FALSE,TRUE)</f>
        <v>1</v>
      </c>
      <c r="T857" t="b">
        <f>IF(COUNTBLANK(Master_Reference[[#This Row],[Lutron 3000K Eco Part Number]:[Lutron 4000K Eco Part Number]])=3,FALSE,TRUE)</f>
        <v>1</v>
      </c>
      <c r="U857" t="b">
        <f>IF(COUNTBLANK(Master_Reference[[#This Row],[Lutron 3000K 3W Part Number]:[Lutron 4000K 3W Part Number]])=3,FALSE,TRUE)</f>
        <v>1</v>
      </c>
      <c r="V857" s="12" t="s">
        <v>312</v>
      </c>
      <c r="W857" s="12" t="s">
        <v>313</v>
      </c>
      <c r="X857" s="12" t="s">
        <v>314</v>
      </c>
      <c r="Y857" t="s">
        <v>1744</v>
      </c>
      <c r="Z857" s="12" t="s">
        <v>264</v>
      </c>
      <c r="AA857" s="12" t="s">
        <v>265</v>
      </c>
      <c r="AB857" s="12" t="s">
        <v>266</v>
      </c>
      <c r="AC857" t="s">
        <v>1829</v>
      </c>
      <c r="AD857" t="str">
        <f>SUBSTITUTE(Master_Reference[[#This Row],[C-Flex 4000K Eco Part Number]],"40-","xx-")</f>
        <v>RP-T8-4FT-1L-8xx-E1-M-G2</v>
      </c>
      <c r="AE857" t="str">
        <f>SUBSTITUTE(Master_Reference[[#This Row],[C-Flex 4000K 3W Part Number]],"40-","xx-")</f>
        <v>RP-T8-4FT-1L-8xx-3W-M-G2</v>
      </c>
      <c r="AF857" s="1" t="str">
        <f>_xlfn.IFNA(VLOOKUP(Master_Reference[[#This Row],[C-Flex 3000K Eco Part Number]],Lutron_CFlex_Lookup[],MATCH("Lutron Kit PN",Lutron_CFlex_Lookup[#Headers],0),FALSE),"")</f>
        <v>ELD4T8-1M30-q</v>
      </c>
      <c r="AG857" s="1" t="str">
        <f>_xlfn.IFNA(VLOOKUP(Master_Reference[[#This Row],[C-Flex 3500K Eco Part Number]],Lutron_CFlex_Lookup[],MATCH("Lutron Kit PN",Lutron_CFlex_Lookup[#Headers],0),FALSE),"")</f>
        <v>ELD4T8-1M35-q</v>
      </c>
      <c r="AH857" s="1" t="str">
        <f>_xlfn.IFNA(VLOOKUP(Master_Reference[[#This Row],[C-Flex 4000K Eco Part Number]],Lutron_CFlex_Lookup[],MATCH("Lutron Kit PN",Lutron_CFlex_Lookup[#Headers],0),FALSE),"")</f>
        <v>ELD4T8-1M40-q</v>
      </c>
      <c r="AI857" s="1" t="str">
        <f>_xlfn.IFNA(VLOOKUP(Master_Reference[[#This Row],[C-Flex 5000K Eco Part Number]],Lutron_CFlex_Lookup[],MATCH("Lutron Kit PN",Lutron_CFlex_Lookup[#Headers],0),FALSE),"")</f>
        <v>ELD4T8-1M50-q</v>
      </c>
      <c r="AJ857" s="1" t="str">
        <f>_xlfn.IFNA(VLOOKUP(Master_Reference[[#This Row],[C-Flex 3000K 3W Part Number]],Lutron_CFlex_Lookup[],MATCH("Lutron Kit PN",Lutron_CFlex_Lookup[#Headers],0),FALSE),"")</f>
        <v>3LD4T8-1M30-q</v>
      </c>
      <c r="AK857" s="1" t="str">
        <f>_xlfn.IFNA(VLOOKUP(Master_Reference[[#This Row],[C-Flex 3500K 3W Part Number]],Lutron_CFlex_Lookup[],MATCH("Lutron Kit PN",Lutron_CFlex_Lookup[#Headers],0),FALSE),"")</f>
        <v>3LD4T8-1M35-q</v>
      </c>
      <c r="AL857" s="1" t="str">
        <f>_xlfn.IFNA(VLOOKUP(Master_Reference[[#This Row],[C-Flex 4000K 3W Part Number]],Lutron_CFlex_Lookup[],MATCH("Lutron Kit PN",Lutron_CFlex_Lookup[#Headers],0),FALSE),"")</f>
        <v>3LD4T8-1M40-q</v>
      </c>
      <c r="AM857" s="1" t="str">
        <f>_xlfn.IFNA(VLOOKUP(Master_Reference[[#This Row],[C-Flex 5000K 3W Part Number]],Lutron_CFlex_Lookup[],MATCH("Lutron Kit PN",Lutron_CFlex_Lookup[#Headers],0),FALSE),"")</f>
        <v>3LD4T8-1M50-q</v>
      </c>
      <c r="AN857" s="1" t="b">
        <f>NOT(ISNA(VLOOKUP(Master_Reference[[#This Row],[Model Number]],ObsoleteModels[],1,FALSE)))</f>
        <v>1</v>
      </c>
      <c r="AO857" s="1" t="str">
        <f>IF(LEFT(Master_Reference[[#This Row],[Model Number]],1)="U",LEFT(Master_Reference[[#This Row],[Model Number]],4),LEFT(Master_Reference[[#This Row],[Model Number]],3))</f>
        <v>H3D</v>
      </c>
    </row>
    <row r="858" spans="1:41" x14ac:dyDescent="0.25">
      <c r="A858" s="2" t="s">
        <v>1162</v>
      </c>
      <c r="B858" s="1" t="b">
        <v>1</v>
      </c>
      <c r="C858" s="1" t="b">
        <v>1</v>
      </c>
      <c r="G858" s="1" t="b">
        <f>IF(OR(LEFT(RIGHT(Master_Reference[[#This Row],[Model Number]],3),1)="C",LEFT(RIGHT(Master_Reference[[#This Row],[Model Number]],4),1)="C"),TRUE,"")</f>
        <v>1</v>
      </c>
      <c r="H858" s="1" t="str">
        <f>IF(LEFT(Master_Reference[[#This Row],[Model Number]],1)="U",TRUE,"")</f>
        <v/>
      </c>
      <c r="I858" s="1" t="b">
        <f>IF(Master_Reference[[#This Row],[Lamp Type]]="T4","",IF(Master_Reference[[#This Row],[Case Type]]="M","",TRUE))</f>
        <v>1</v>
      </c>
      <c r="J858" s="1" t="str">
        <f t="shared" si="13"/>
        <v>T8</v>
      </c>
      <c r="K858" s="1">
        <v>32</v>
      </c>
      <c r="L858" s="1" t="s">
        <v>118</v>
      </c>
      <c r="M858" s="1">
        <v>1</v>
      </c>
      <c r="N858" s="1" t="s">
        <v>149</v>
      </c>
      <c r="O858" s="1" t="s">
        <v>113</v>
      </c>
      <c r="R858" t="b">
        <f>IF(COUNTBLANK(Master_Reference[[#This Row],[C-Flex 3000K Eco Part Number]:[C-Flex 4000K Eco Part Number]])=3,FALSE,TRUE)</f>
        <v>1</v>
      </c>
      <c r="S858" t="b">
        <f>IF(COUNTBLANK(Master_Reference[[#This Row],[C-Flex 3000K 3W Part Number]:[C-Flex 4000K 3W Part Number]])=3,FALSE,TRUE)</f>
        <v>1</v>
      </c>
      <c r="T858" t="b">
        <f>IF(COUNTBLANK(Master_Reference[[#This Row],[Lutron 3000K Eco Part Number]:[Lutron 4000K Eco Part Number]])=3,FALSE,TRUE)</f>
        <v>1</v>
      </c>
      <c r="U858" t="b">
        <f>IF(COUNTBLANK(Master_Reference[[#This Row],[Lutron 3000K 3W Part Number]:[Lutron 4000K 3W Part Number]])=3,FALSE,TRUE)</f>
        <v>1</v>
      </c>
      <c r="V858" s="12" t="s">
        <v>312</v>
      </c>
      <c r="W858" s="12" t="s">
        <v>313</v>
      </c>
      <c r="X858" s="12" t="s">
        <v>314</v>
      </c>
      <c r="Y858" t="s">
        <v>1744</v>
      </c>
      <c r="Z858" s="12" t="s">
        <v>264</v>
      </c>
      <c r="AA858" s="12" t="s">
        <v>265</v>
      </c>
      <c r="AB858" s="12" t="s">
        <v>266</v>
      </c>
      <c r="AC858" t="s">
        <v>1829</v>
      </c>
      <c r="AD858" t="str">
        <f>SUBSTITUTE(Master_Reference[[#This Row],[C-Flex 4000K Eco Part Number]],"40-","xx-")</f>
        <v>RP-T8-4FT-1L-8xx-E1-M-G2</v>
      </c>
      <c r="AE858" t="str">
        <f>SUBSTITUTE(Master_Reference[[#This Row],[C-Flex 4000K 3W Part Number]],"40-","xx-")</f>
        <v>RP-T8-4FT-1L-8xx-3W-M-G2</v>
      </c>
      <c r="AF858" s="1" t="str">
        <f>_xlfn.IFNA(VLOOKUP(Master_Reference[[#This Row],[C-Flex 3000K Eco Part Number]],Lutron_CFlex_Lookup[],MATCH("Lutron Kit PN",Lutron_CFlex_Lookup[#Headers],0),FALSE),"")</f>
        <v>ELD4T8-1M30-q</v>
      </c>
      <c r="AG858" s="1" t="str">
        <f>_xlfn.IFNA(VLOOKUP(Master_Reference[[#This Row],[C-Flex 3500K Eco Part Number]],Lutron_CFlex_Lookup[],MATCH("Lutron Kit PN",Lutron_CFlex_Lookup[#Headers],0),FALSE),"")</f>
        <v>ELD4T8-1M35-q</v>
      </c>
      <c r="AH858" s="1" t="str">
        <f>_xlfn.IFNA(VLOOKUP(Master_Reference[[#This Row],[C-Flex 4000K Eco Part Number]],Lutron_CFlex_Lookup[],MATCH("Lutron Kit PN",Lutron_CFlex_Lookup[#Headers],0),FALSE),"")</f>
        <v>ELD4T8-1M40-q</v>
      </c>
      <c r="AI858" s="1" t="str">
        <f>_xlfn.IFNA(VLOOKUP(Master_Reference[[#This Row],[C-Flex 5000K Eco Part Number]],Lutron_CFlex_Lookup[],MATCH("Lutron Kit PN",Lutron_CFlex_Lookup[#Headers],0),FALSE),"")</f>
        <v>ELD4T8-1M50-q</v>
      </c>
      <c r="AJ858" s="1" t="str">
        <f>_xlfn.IFNA(VLOOKUP(Master_Reference[[#This Row],[C-Flex 3000K 3W Part Number]],Lutron_CFlex_Lookup[],MATCH("Lutron Kit PN",Lutron_CFlex_Lookup[#Headers],0),FALSE),"")</f>
        <v>3LD4T8-1M30-q</v>
      </c>
      <c r="AK858" s="1" t="str">
        <f>_xlfn.IFNA(VLOOKUP(Master_Reference[[#This Row],[C-Flex 3500K 3W Part Number]],Lutron_CFlex_Lookup[],MATCH("Lutron Kit PN",Lutron_CFlex_Lookup[#Headers],0),FALSE),"")</f>
        <v>3LD4T8-1M35-q</v>
      </c>
      <c r="AL858" s="1" t="str">
        <f>_xlfn.IFNA(VLOOKUP(Master_Reference[[#This Row],[C-Flex 4000K 3W Part Number]],Lutron_CFlex_Lookup[],MATCH("Lutron Kit PN",Lutron_CFlex_Lookup[#Headers],0),FALSE),"")</f>
        <v>3LD4T8-1M40-q</v>
      </c>
      <c r="AM858" s="1" t="str">
        <f>_xlfn.IFNA(VLOOKUP(Master_Reference[[#This Row],[C-Flex 5000K 3W Part Number]],Lutron_CFlex_Lookup[],MATCH("Lutron Kit PN",Lutron_CFlex_Lookup[#Headers],0),FALSE),"")</f>
        <v>3LD4T8-1M50-q</v>
      </c>
      <c r="AN858" s="1" t="b">
        <f>NOT(ISNA(VLOOKUP(Master_Reference[[#This Row],[Model Number]],ObsoleteModels[],1,FALSE)))</f>
        <v>1</v>
      </c>
      <c r="AO858" s="1" t="str">
        <f>IF(LEFT(Master_Reference[[#This Row],[Model Number]],1)="U",LEFT(Master_Reference[[#This Row],[Model Number]],4),LEFT(Master_Reference[[#This Row],[Model Number]],3))</f>
        <v>H3D</v>
      </c>
    </row>
    <row r="859" spans="1:41" x14ac:dyDescent="0.25">
      <c r="A859" s="2" t="s">
        <v>1163</v>
      </c>
      <c r="B859" s="1" t="b">
        <v>1</v>
      </c>
      <c r="C859" s="1" t="b">
        <v>1</v>
      </c>
      <c r="G859" s="1" t="b">
        <f>IF(OR(LEFT(RIGHT(Master_Reference[[#This Row],[Model Number]],3),1)="C",LEFT(RIGHT(Master_Reference[[#This Row],[Model Number]],4),1)="C"),TRUE,"")</f>
        <v>1</v>
      </c>
      <c r="H859" s="1" t="str">
        <f>IF(LEFT(Master_Reference[[#This Row],[Model Number]],1)="U",TRUE,"")</f>
        <v/>
      </c>
      <c r="I859" s="1" t="b">
        <f>IF(Master_Reference[[#This Row],[Lamp Type]]="T4","",IF(Master_Reference[[#This Row],[Case Type]]="M","",TRUE))</f>
        <v>1</v>
      </c>
      <c r="J859" s="1" t="str">
        <f t="shared" si="13"/>
        <v>T8</v>
      </c>
      <c r="K859" s="1">
        <v>32</v>
      </c>
      <c r="L859" s="1" t="s">
        <v>118</v>
      </c>
      <c r="M859" s="1">
        <v>1</v>
      </c>
      <c r="N859" s="1" t="s">
        <v>149</v>
      </c>
      <c r="O859" s="1" t="s">
        <v>113</v>
      </c>
      <c r="R859" t="b">
        <f>IF(COUNTBLANK(Master_Reference[[#This Row],[C-Flex 3000K Eco Part Number]:[C-Flex 4000K Eco Part Number]])=3,FALSE,TRUE)</f>
        <v>1</v>
      </c>
      <c r="S859" t="b">
        <f>IF(COUNTBLANK(Master_Reference[[#This Row],[C-Flex 3000K 3W Part Number]:[C-Flex 4000K 3W Part Number]])=3,FALSE,TRUE)</f>
        <v>1</v>
      </c>
      <c r="T859" t="b">
        <f>IF(COUNTBLANK(Master_Reference[[#This Row],[Lutron 3000K Eco Part Number]:[Lutron 4000K Eco Part Number]])=3,FALSE,TRUE)</f>
        <v>1</v>
      </c>
      <c r="U859" t="b">
        <f>IF(COUNTBLANK(Master_Reference[[#This Row],[Lutron 3000K 3W Part Number]:[Lutron 4000K 3W Part Number]])=3,FALSE,TRUE)</f>
        <v>1</v>
      </c>
      <c r="V859" s="12" t="s">
        <v>312</v>
      </c>
      <c r="W859" s="12" t="s">
        <v>313</v>
      </c>
      <c r="X859" s="12" t="s">
        <v>314</v>
      </c>
      <c r="Y859" t="s">
        <v>1744</v>
      </c>
      <c r="Z859" s="12" t="s">
        <v>264</v>
      </c>
      <c r="AA859" s="12" t="s">
        <v>265</v>
      </c>
      <c r="AB859" s="12" t="s">
        <v>266</v>
      </c>
      <c r="AC859" t="s">
        <v>1829</v>
      </c>
      <c r="AD859" t="str">
        <f>SUBSTITUTE(Master_Reference[[#This Row],[C-Flex 4000K Eco Part Number]],"40-","xx-")</f>
        <v>RP-T8-4FT-1L-8xx-E1-M-G2</v>
      </c>
      <c r="AE859" t="str">
        <f>SUBSTITUTE(Master_Reference[[#This Row],[C-Flex 4000K 3W Part Number]],"40-","xx-")</f>
        <v>RP-T8-4FT-1L-8xx-3W-M-G2</v>
      </c>
      <c r="AF859" s="1" t="str">
        <f>_xlfn.IFNA(VLOOKUP(Master_Reference[[#This Row],[C-Flex 3000K Eco Part Number]],Lutron_CFlex_Lookup[],MATCH("Lutron Kit PN",Lutron_CFlex_Lookup[#Headers],0),FALSE),"")</f>
        <v>ELD4T8-1M30-q</v>
      </c>
      <c r="AG859" s="1" t="str">
        <f>_xlfn.IFNA(VLOOKUP(Master_Reference[[#This Row],[C-Flex 3500K Eco Part Number]],Lutron_CFlex_Lookup[],MATCH("Lutron Kit PN",Lutron_CFlex_Lookup[#Headers],0),FALSE),"")</f>
        <v>ELD4T8-1M35-q</v>
      </c>
      <c r="AH859" s="1" t="str">
        <f>_xlfn.IFNA(VLOOKUP(Master_Reference[[#This Row],[C-Flex 4000K Eco Part Number]],Lutron_CFlex_Lookup[],MATCH("Lutron Kit PN",Lutron_CFlex_Lookup[#Headers],0),FALSE),"")</f>
        <v>ELD4T8-1M40-q</v>
      </c>
      <c r="AI859" s="1" t="str">
        <f>_xlfn.IFNA(VLOOKUP(Master_Reference[[#This Row],[C-Flex 5000K Eco Part Number]],Lutron_CFlex_Lookup[],MATCH("Lutron Kit PN",Lutron_CFlex_Lookup[#Headers],0),FALSE),"")</f>
        <v>ELD4T8-1M50-q</v>
      </c>
      <c r="AJ859" s="1" t="str">
        <f>_xlfn.IFNA(VLOOKUP(Master_Reference[[#This Row],[C-Flex 3000K 3W Part Number]],Lutron_CFlex_Lookup[],MATCH("Lutron Kit PN",Lutron_CFlex_Lookup[#Headers],0),FALSE),"")</f>
        <v>3LD4T8-1M30-q</v>
      </c>
      <c r="AK859" s="1" t="str">
        <f>_xlfn.IFNA(VLOOKUP(Master_Reference[[#This Row],[C-Flex 3500K 3W Part Number]],Lutron_CFlex_Lookup[],MATCH("Lutron Kit PN",Lutron_CFlex_Lookup[#Headers],0),FALSE),"")</f>
        <v>3LD4T8-1M35-q</v>
      </c>
      <c r="AL859" s="1" t="str">
        <f>_xlfn.IFNA(VLOOKUP(Master_Reference[[#This Row],[C-Flex 4000K 3W Part Number]],Lutron_CFlex_Lookup[],MATCH("Lutron Kit PN",Lutron_CFlex_Lookup[#Headers],0),FALSE),"")</f>
        <v>3LD4T8-1M40-q</v>
      </c>
      <c r="AM859" s="1" t="str">
        <f>_xlfn.IFNA(VLOOKUP(Master_Reference[[#This Row],[C-Flex 5000K 3W Part Number]],Lutron_CFlex_Lookup[],MATCH("Lutron Kit PN",Lutron_CFlex_Lookup[#Headers],0),FALSE),"")</f>
        <v>3LD4T8-1M50-q</v>
      </c>
      <c r="AN859" s="1" t="b">
        <f>NOT(ISNA(VLOOKUP(Master_Reference[[#This Row],[Model Number]],ObsoleteModels[],1,FALSE)))</f>
        <v>1</v>
      </c>
      <c r="AO859" s="1" t="str">
        <f>IF(LEFT(Master_Reference[[#This Row],[Model Number]],1)="U",LEFT(Master_Reference[[#This Row],[Model Number]],4),LEFT(Master_Reference[[#This Row],[Model Number]],3))</f>
        <v>H3D</v>
      </c>
    </row>
    <row r="860" spans="1:41" x14ac:dyDescent="0.25">
      <c r="A860" s="2" t="s">
        <v>1164</v>
      </c>
      <c r="B860" s="1" t="b">
        <v>1</v>
      </c>
      <c r="C860" s="1" t="b">
        <v>1</v>
      </c>
      <c r="G860" s="1" t="b">
        <f>IF(OR(LEFT(RIGHT(Master_Reference[[#This Row],[Model Number]],3),1)="C",LEFT(RIGHT(Master_Reference[[#This Row],[Model Number]],4),1)="C"),TRUE,"")</f>
        <v>1</v>
      </c>
      <c r="H860" s="1" t="str">
        <f>IF(LEFT(Master_Reference[[#This Row],[Model Number]],1)="U",TRUE,"")</f>
        <v/>
      </c>
      <c r="I860" s="1" t="b">
        <f>IF(Master_Reference[[#This Row],[Lamp Type]]="T4","",IF(Master_Reference[[#This Row],[Case Type]]="M","",TRUE))</f>
        <v>1</v>
      </c>
      <c r="J860" s="1" t="str">
        <f t="shared" si="13"/>
        <v>T8</v>
      </c>
      <c r="K860" s="1">
        <v>32</v>
      </c>
      <c r="L860" s="1" t="s">
        <v>118</v>
      </c>
      <c r="M860" s="1">
        <v>1</v>
      </c>
      <c r="N860" s="1" t="s">
        <v>149</v>
      </c>
      <c r="O860" s="1" t="s">
        <v>113</v>
      </c>
      <c r="R860" t="b">
        <f>IF(COUNTBLANK(Master_Reference[[#This Row],[C-Flex 3000K Eco Part Number]:[C-Flex 4000K Eco Part Number]])=3,FALSE,TRUE)</f>
        <v>1</v>
      </c>
      <c r="S860" t="b">
        <f>IF(COUNTBLANK(Master_Reference[[#This Row],[C-Flex 3000K 3W Part Number]:[C-Flex 4000K 3W Part Number]])=3,FALSE,TRUE)</f>
        <v>1</v>
      </c>
      <c r="T860" t="b">
        <f>IF(COUNTBLANK(Master_Reference[[#This Row],[Lutron 3000K Eco Part Number]:[Lutron 4000K Eco Part Number]])=3,FALSE,TRUE)</f>
        <v>1</v>
      </c>
      <c r="U860" t="b">
        <f>IF(COUNTBLANK(Master_Reference[[#This Row],[Lutron 3000K 3W Part Number]:[Lutron 4000K 3W Part Number]])=3,FALSE,TRUE)</f>
        <v>1</v>
      </c>
      <c r="V860" s="12" t="s">
        <v>312</v>
      </c>
      <c r="W860" s="12" t="s">
        <v>313</v>
      </c>
      <c r="X860" s="12" t="s">
        <v>314</v>
      </c>
      <c r="Y860" t="s">
        <v>1744</v>
      </c>
      <c r="Z860" s="12" t="s">
        <v>264</v>
      </c>
      <c r="AA860" s="12" t="s">
        <v>265</v>
      </c>
      <c r="AB860" s="12" t="s">
        <v>266</v>
      </c>
      <c r="AC860" t="s">
        <v>1829</v>
      </c>
      <c r="AD860" t="str">
        <f>SUBSTITUTE(Master_Reference[[#This Row],[C-Flex 4000K Eco Part Number]],"40-","xx-")</f>
        <v>RP-T8-4FT-1L-8xx-E1-M-G2</v>
      </c>
      <c r="AE860" t="str">
        <f>SUBSTITUTE(Master_Reference[[#This Row],[C-Flex 4000K 3W Part Number]],"40-","xx-")</f>
        <v>RP-T8-4FT-1L-8xx-3W-M-G2</v>
      </c>
      <c r="AF860" s="1" t="str">
        <f>_xlfn.IFNA(VLOOKUP(Master_Reference[[#This Row],[C-Flex 3000K Eco Part Number]],Lutron_CFlex_Lookup[],MATCH("Lutron Kit PN",Lutron_CFlex_Lookup[#Headers],0),FALSE),"")</f>
        <v>ELD4T8-1M30-q</v>
      </c>
      <c r="AG860" s="1" t="str">
        <f>_xlfn.IFNA(VLOOKUP(Master_Reference[[#This Row],[C-Flex 3500K Eco Part Number]],Lutron_CFlex_Lookup[],MATCH("Lutron Kit PN",Lutron_CFlex_Lookup[#Headers],0),FALSE),"")</f>
        <v>ELD4T8-1M35-q</v>
      </c>
      <c r="AH860" s="1" t="str">
        <f>_xlfn.IFNA(VLOOKUP(Master_Reference[[#This Row],[C-Flex 4000K Eco Part Number]],Lutron_CFlex_Lookup[],MATCH("Lutron Kit PN",Lutron_CFlex_Lookup[#Headers],0),FALSE),"")</f>
        <v>ELD4T8-1M40-q</v>
      </c>
      <c r="AI860" s="1" t="str">
        <f>_xlfn.IFNA(VLOOKUP(Master_Reference[[#This Row],[C-Flex 5000K Eco Part Number]],Lutron_CFlex_Lookup[],MATCH("Lutron Kit PN",Lutron_CFlex_Lookup[#Headers],0),FALSE),"")</f>
        <v>ELD4T8-1M50-q</v>
      </c>
      <c r="AJ860" s="1" t="str">
        <f>_xlfn.IFNA(VLOOKUP(Master_Reference[[#This Row],[C-Flex 3000K 3W Part Number]],Lutron_CFlex_Lookup[],MATCH("Lutron Kit PN",Lutron_CFlex_Lookup[#Headers],0),FALSE),"")</f>
        <v>3LD4T8-1M30-q</v>
      </c>
      <c r="AK860" s="1" t="str">
        <f>_xlfn.IFNA(VLOOKUP(Master_Reference[[#This Row],[C-Flex 3500K 3W Part Number]],Lutron_CFlex_Lookup[],MATCH("Lutron Kit PN",Lutron_CFlex_Lookup[#Headers],0),FALSE),"")</f>
        <v>3LD4T8-1M35-q</v>
      </c>
      <c r="AL860" s="1" t="str">
        <f>_xlfn.IFNA(VLOOKUP(Master_Reference[[#This Row],[C-Flex 4000K 3W Part Number]],Lutron_CFlex_Lookup[],MATCH("Lutron Kit PN",Lutron_CFlex_Lookup[#Headers],0),FALSE),"")</f>
        <v>3LD4T8-1M40-q</v>
      </c>
      <c r="AM860" s="1" t="str">
        <f>_xlfn.IFNA(VLOOKUP(Master_Reference[[#This Row],[C-Flex 5000K 3W Part Number]],Lutron_CFlex_Lookup[],MATCH("Lutron Kit PN",Lutron_CFlex_Lookup[#Headers],0),FALSE),"")</f>
        <v>3LD4T8-1M50-q</v>
      </c>
      <c r="AN860" s="1" t="b">
        <f>NOT(ISNA(VLOOKUP(Master_Reference[[#This Row],[Model Number]],ObsoleteModels[],1,FALSE)))</f>
        <v>1</v>
      </c>
      <c r="AO860" s="1" t="str">
        <f>IF(LEFT(Master_Reference[[#This Row],[Model Number]],1)="U",LEFT(Master_Reference[[#This Row],[Model Number]],4),LEFT(Master_Reference[[#This Row],[Model Number]],3))</f>
        <v>H3D</v>
      </c>
    </row>
    <row r="861" spans="1:41" x14ac:dyDescent="0.25">
      <c r="A861" s="2" t="s">
        <v>1165</v>
      </c>
      <c r="B861" s="1" t="b">
        <v>1</v>
      </c>
      <c r="C861" s="1" t="b">
        <v>1</v>
      </c>
      <c r="G861" s="1" t="str">
        <f>IF(OR(LEFT(RIGHT(Master_Reference[[#This Row],[Model Number]],3),1)="C",LEFT(RIGHT(Master_Reference[[#This Row],[Model Number]],4),1)="C"),TRUE,"")</f>
        <v/>
      </c>
      <c r="H861" s="1" t="str">
        <f>IF(LEFT(Master_Reference[[#This Row],[Model Number]],1)="U",TRUE,"")</f>
        <v/>
      </c>
      <c r="I861" s="1" t="b">
        <f>IF(Master_Reference[[#This Row],[Lamp Type]]="T4","",IF(Master_Reference[[#This Row],[Case Type]]="M","",TRUE))</f>
        <v>1</v>
      </c>
      <c r="J861" s="1" t="str">
        <f t="shared" si="13"/>
        <v>T8</v>
      </c>
      <c r="K861" s="1">
        <v>32</v>
      </c>
      <c r="L861" s="1" t="s">
        <v>118</v>
      </c>
      <c r="M861" s="1">
        <v>2</v>
      </c>
      <c r="N861" s="1" t="s">
        <v>149</v>
      </c>
      <c r="O861" s="1" t="s">
        <v>113</v>
      </c>
      <c r="R861" t="b">
        <f>IF(COUNTBLANK(Master_Reference[[#This Row],[C-Flex 3000K Eco Part Number]:[C-Flex 4000K Eco Part Number]])=3,FALSE,TRUE)</f>
        <v>1</v>
      </c>
      <c r="S861" t="b">
        <f>IF(COUNTBLANK(Master_Reference[[#This Row],[C-Flex 3000K 3W Part Number]:[C-Flex 4000K 3W Part Number]])=3,FALSE,TRUE)</f>
        <v>1</v>
      </c>
      <c r="T861" t="b">
        <f>IF(COUNTBLANK(Master_Reference[[#This Row],[Lutron 3000K Eco Part Number]:[Lutron 4000K Eco Part Number]])=3,FALSE,TRUE)</f>
        <v>1</v>
      </c>
      <c r="U861" t="b">
        <f>IF(COUNTBLANK(Master_Reference[[#This Row],[Lutron 3000K 3W Part Number]:[Lutron 4000K 3W Part Number]])=3,FALSE,TRUE)</f>
        <v>1</v>
      </c>
      <c r="V861" s="12" t="s">
        <v>316</v>
      </c>
      <c r="W861" s="12" t="s">
        <v>317</v>
      </c>
      <c r="X861" s="12" t="s">
        <v>318</v>
      </c>
      <c r="Y861" t="s">
        <v>1745</v>
      </c>
      <c r="Z861" s="12" t="s">
        <v>145</v>
      </c>
      <c r="AA861" s="12" t="s">
        <v>146</v>
      </c>
      <c r="AB861" s="12" t="s">
        <v>147</v>
      </c>
      <c r="AC861" t="s">
        <v>1830</v>
      </c>
      <c r="AD861" t="str">
        <f>SUBSTITUTE(Master_Reference[[#This Row],[C-Flex 4000K Eco Part Number]],"40-","xx-")</f>
        <v>RP-T8-4FT-2L-8xx-E1-M-G2</v>
      </c>
      <c r="AE861" t="str">
        <f>SUBSTITUTE(Master_Reference[[#This Row],[C-Flex 4000K 3W Part Number]],"40-","xx-")</f>
        <v>RP-T8-4FT-2L-8xx-3W-M-G2</v>
      </c>
      <c r="AF861" s="1" t="str">
        <f>_xlfn.IFNA(VLOOKUP(Master_Reference[[#This Row],[C-Flex 3000K Eco Part Number]],Lutron_CFlex_Lookup[],MATCH("Lutron Kit PN",Lutron_CFlex_Lookup[#Headers],0),FALSE),"")</f>
        <v>ELD4T8-2M30-q</v>
      </c>
      <c r="AG861" s="1" t="str">
        <f>_xlfn.IFNA(VLOOKUP(Master_Reference[[#This Row],[C-Flex 3500K Eco Part Number]],Lutron_CFlex_Lookup[],MATCH("Lutron Kit PN",Lutron_CFlex_Lookup[#Headers],0),FALSE),"")</f>
        <v>ELD4T8-2M35-q</v>
      </c>
      <c r="AH861" s="1" t="str">
        <f>_xlfn.IFNA(VLOOKUP(Master_Reference[[#This Row],[C-Flex 4000K Eco Part Number]],Lutron_CFlex_Lookup[],MATCH("Lutron Kit PN",Lutron_CFlex_Lookup[#Headers],0),FALSE),"")</f>
        <v>ELD4T8-2M40-q</v>
      </c>
      <c r="AI861" s="1" t="str">
        <f>_xlfn.IFNA(VLOOKUP(Master_Reference[[#This Row],[C-Flex 5000K Eco Part Number]],Lutron_CFlex_Lookup[],MATCH("Lutron Kit PN",Lutron_CFlex_Lookup[#Headers],0),FALSE),"")</f>
        <v>ELD4T8-2M50-q</v>
      </c>
      <c r="AJ861" s="1" t="str">
        <f>_xlfn.IFNA(VLOOKUP(Master_Reference[[#This Row],[C-Flex 3000K 3W Part Number]],Lutron_CFlex_Lookup[],MATCH("Lutron Kit PN",Lutron_CFlex_Lookup[#Headers],0),FALSE),"")</f>
        <v>3LD4T8-2M30-q</v>
      </c>
      <c r="AK861" s="1" t="str">
        <f>_xlfn.IFNA(VLOOKUP(Master_Reference[[#This Row],[C-Flex 3500K 3W Part Number]],Lutron_CFlex_Lookup[],MATCH("Lutron Kit PN",Lutron_CFlex_Lookup[#Headers],0),FALSE),"")</f>
        <v>3LD4T8-2M35-q</v>
      </c>
      <c r="AL861" s="1" t="str">
        <f>_xlfn.IFNA(VLOOKUP(Master_Reference[[#This Row],[C-Flex 4000K 3W Part Number]],Lutron_CFlex_Lookup[],MATCH("Lutron Kit PN",Lutron_CFlex_Lookup[#Headers],0),FALSE),"")</f>
        <v>3LD4T8-2M40-q</v>
      </c>
      <c r="AM861" s="1" t="str">
        <f>_xlfn.IFNA(VLOOKUP(Master_Reference[[#This Row],[C-Flex 5000K 3W Part Number]],Lutron_CFlex_Lookup[],MATCH("Lutron Kit PN",Lutron_CFlex_Lookup[#Headers],0),FALSE),"")</f>
        <v>3LD4T8-2M50-q</v>
      </c>
      <c r="AN861" s="1" t="b">
        <f>NOT(ISNA(VLOOKUP(Master_Reference[[#This Row],[Model Number]],ObsoleteModels[],1,FALSE)))</f>
        <v>1</v>
      </c>
      <c r="AO861" s="1" t="str">
        <f>IF(LEFT(Master_Reference[[#This Row],[Model Number]],1)="U",LEFT(Master_Reference[[#This Row],[Model Number]],4),LEFT(Master_Reference[[#This Row],[Model Number]],3))</f>
        <v>H3D</v>
      </c>
    </row>
    <row r="862" spans="1:41" x14ac:dyDescent="0.25">
      <c r="A862" s="2" t="s">
        <v>1166</v>
      </c>
      <c r="B862" s="1" t="b">
        <v>1</v>
      </c>
      <c r="C862" s="1" t="b">
        <v>1</v>
      </c>
      <c r="G862" s="1" t="str">
        <f>IF(OR(LEFT(RIGHT(Master_Reference[[#This Row],[Model Number]],3),1)="C",LEFT(RIGHT(Master_Reference[[#This Row],[Model Number]],4),1)="C"),TRUE,"")</f>
        <v/>
      </c>
      <c r="H862" s="1" t="str">
        <f>IF(LEFT(Master_Reference[[#This Row],[Model Number]],1)="U",TRUE,"")</f>
        <v/>
      </c>
      <c r="I862" s="1" t="b">
        <f>IF(Master_Reference[[#This Row],[Lamp Type]]="T4","",IF(Master_Reference[[#This Row],[Case Type]]="M","",TRUE))</f>
        <v>1</v>
      </c>
      <c r="J862" s="1" t="str">
        <f t="shared" si="13"/>
        <v>T8</v>
      </c>
      <c r="K862" s="1">
        <v>32</v>
      </c>
      <c r="L862" s="1" t="s">
        <v>118</v>
      </c>
      <c r="M862" s="1">
        <v>2</v>
      </c>
      <c r="N862" s="1" t="s">
        <v>149</v>
      </c>
      <c r="O862" s="1" t="s">
        <v>113</v>
      </c>
      <c r="Q862" s="1" t="s">
        <v>91</v>
      </c>
      <c r="R862" t="b">
        <f>IF(COUNTBLANK(Master_Reference[[#This Row],[C-Flex 3000K Eco Part Number]:[C-Flex 4000K Eco Part Number]])=3,FALSE,TRUE)</f>
        <v>0</v>
      </c>
      <c r="S862" t="b">
        <f>IF(COUNTBLANK(Master_Reference[[#This Row],[C-Flex 3000K 3W Part Number]:[C-Flex 4000K 3W Part Number]])=3,FALSE,TRUE)</f>
        <v>0</v>
      </c>
      <c r="T862" t="b">
        <f>IF(COUNTBLANK(Master_Reference[[#This Row],[Lutron 3000K Eco Part Number]:[Lutron 4000K Eco Part Number]])=3,FALSE,TRUE)</f>
        <v>0</v>
      </c>
      <c r="U862" t="b">
        <f>IF(COUNTBLANK(Master_Reference[[#This Row],[Lutron 3000K 3W Part Number]:[Lutron 4000K 3W Part Number]])=3,FALSE,TRUE)</f>
        <v>0</v>
      </c>
      <c r="V862" s="12"/>
      <c r="W862" s="12"/>
      <c r="X862" s="12"/>
      <c r="Y862" t="s">
        <v>2125</v>
      </c>
      <c r="Z862" s="12"/>
      <c r="AA862" s="12"/>
      <c r="AB862" s="12"/>
      <c r="AC862" t="s">
        <v>2125</v>
      </c>
      <c r="AD862" t="str">
        <f>SUBSTITUTE(Master_Reference[[#This Row],[C-Flex 4000K Eco Part Number]],"40-","xx-")</f>
        <v/>
      </c>
      <c r="AE862" t="str">
        <f>SUBSTITUTE(Master_Reference[[#This Row],[C-Flex 4000K 3W Part Number]],"40-","xx-")</f>
        <v/>
      </c>
      <c r="AF862" s="1" t="str">
        <f>_xlfn.IFNA(VLOOKUP(Master_Reference[[#This Row],[C-Flex 3000K Eco Part Number]],Lutron_CFlex_Lookup[],MATCH("Lutron Kit PN",Lutron_CFlex_Lookup[#Headers],0),FALSE),"")</f>
        <v/>
      </c>
      <c r="AG862" s="1" t="str">
        <f>_xlfn.IFNA(VLOOKUP(Master_Reference[[#This Row],[C-Flex 3500K Eco Part Number]],Lutron_CFlex_Lookup[],MATCH("Lutron Kit PN",Lutron_CFlex_Lookup[#Headers],0),FALSE),"")</f>
        <v/>
      </c>
      <c r="AH862" s="1" t="str">
        <f>_xlfn.IFNA(VLOOKUP(Master_Reference[[#This Row],[C-Flex 4000K Eco Part Number]],Lutron_CFlex_Lookup[],MATCH("Lutron Kit PN",Lutron_CFlex_Lookup[#Headers],0),FALSE),"")</f>
        <v/>
      </c>
      <c r="AI862" s="1" t="str">
        <f>_xlfn.IFNA(VLOOKUP(Master_Reference[[#This Row],[C-Flex 5000K Eco Part Number]],Lutron_CFlex_Lookup[],MATCH("Lutron Kit PN",Lutron_CFlex_Lookup[#Headers],0),FALSE),"")</f>
        <v/>
      </c>
      <c r="AJ862" s="1" t="str">
        <f>_xlfn.IFNA(VLOOKUP(Master_Reference[[#This Row],[C-Flex 3000K 3W Part Number]],Lutron_CFlex_Lookup[],MATCH("Lutron Kit PN",Lutron_CFlex_Lookup[#Headers],0),FALSE),"")</f>
        <v/>
      </c>
      <c r="AK862" s="1" t="str">
        <f>_xlfn.IFNA(VLOOKUP(Master_Reference[[#This Row],[C-Flex 3500K 3W Part Number]],Lutron_CFlex_Lookup[],MATCH("Lutron Kit PN",Lutron_CFlex_Lookup[#Headers],0),FALSE),"")</f>
        <v/>
      </c>
      <c r="AL862" s="1" t="str">
        <f>_xlfn.IFNA(VLOOKUP(Master_Reference[[#This Row],[C-Flex 4000K 3W Part Number]],Lutron_CFlex_Lookup[],MATCH("Lutron Kit PN",Lutron_CFlex_Lookup[#Headers],0),FALSE),"")</f>
        <v/>
      </c>
      <c r="AM862" s="1" t="str">
        <f>_xlfn.IFNA(VLOOKUP(Master_Reference[[#This Row],[C-Flex 5000K 3W Part Number]],Lutron_CFlex_Lookup[],MATCH("Lutron Kit PN",Lutron_CFlex_Lookup[#Headers],0),FALSE),"")</f>
        <v/>
      </c>
      <c r="AN862" s="1" t="b">
        <f>NOT(ISNA(VLOOKUP(Master_Reference[[#This Row],[Model Number]],ObsoleteModels[],1,FALSE)))</f>
        <v>1</v>
      </c>
      <c r="AO862" s="1" t="str">
        <f>IF(LEFT(Master_Reference[[#This Row],[Model Number]],1)="U",LEFT(Master_Reference[[#This Row],[Model Number]],4),LEFT(Master_Reference[[#This Row],[Model Number]],3))</f>
        <v>H3D</v>
      </c>
    </row>
    <row r="863" spans="1:41" x14ac:dyDescent="0.25">
      <c r="A863" s="2" t="s">
        <v>1167</v>
      </c>
      <c r="B863" s="1" t="b">
        <v>1</v>
      </c>
      <c r="C863" s="1" t="b">
        <v>1</v>
      </c>
      <c r="G863" s="1" t="b">
        <v>1</v>
      </c>
      <c r="H863" s="1" t="str">
        <f>IF(LEFT(Master_Reference[[#This Row],[Model Number]],1)="U",TRUE,"")</f>
        <v/>
      </c>
      <c r="I863" s="1" t="b">
        <f>IF(Master_Reference[[#This Row],[Lamp Type]]="T4","",IF(Master_Reference[[#This Row],[Case Type]]="M","",TRUE))</f>
        <v>1</v>
      </c>
      <c r="J863" s="1" t="str">
        <f t="shared" si="13"/>
        <v>T8</v>
      </c>
      <c r="K863" s="1">
        <v>32</v>
      </c>
      <c r="L863" s="1" t="s">
        <v>118</v>
      </c>
      <c r="M863" s="1">
        <v>2</v>
      </c>
      <c r="N863" s="1" t="s">
        <v>149</v>
      </c>
      <c r="O863" s="1" t="s">
        <v>113</v>
      </c>
      <c r="R863" t="b">
        <f>IF(COUNTBLANK(Master_Reference[[#This Row],[C-Flex 3000K Eco Part Number]:[C-Flex 4000K Eco Part Number]])=3,FALSE,TRUE)</f>
        <v>1</v>
      </c>
      <c r="S863" t="b">
        <f>IF(COUNTBLANK(Master_Reference[[#This Row],[C-Flex 3000K 3W Part Number]:[C-Flex 4000K 3W Part Number]])=3,FALSE,TRUE)</f>
        <v>1</v>
      </c>
      <c r="T863" t="b">
        <f>IF(COUNTBLANK(Master_Reference[[#This Row],[Lutron 3000K Eco Part Number]:[Lutron 4000K Eco Part Number]])=3,FALSE,TRUE)</f>
        <v>1</v>
      </c>
      <c r="U863" t="b">
        <f>IF(COUNTBLANK(Master_Reference[[#This Row],[Lutron 3000K 3W Part Number]:[Lutron 4000K 3W Part Number]])=3,FALSE,TRUE)</f>
        <v>1</v>
      </c>
      <c r="V863" s="12" t="s">
        <v>316</v>
      </c>
      <c r="W863" s="12" t="s">
        <v>317</v>
      </c>
      <c r="X863" s="12" t="s">
        <v>318</v>
      </c>
      <c r="Y863" t="s">
        <v>1745</v>
      </c>
      <c r="Z863" s="12" t="s">
        <v>145</v>
      </c>
      <c r="AA863" s="12" t="s">
        <v>146</v>
      </c>
      <c r="AB863" s="12" t="s">
        <v>147</v>
      </c>
      <c r="AC863" t="s">
        <v>1830</v>
      </c>
      <c r="AD863" t="str">
        <f>SUBSTITUTE(Master_Reference[[#This Row],[C-Flex 4000K Eco Part Number]],"40-","xx-")</f>
        <v>RP-T8-4FT-2L-8xx-E1-M-G2</v>
      </c>
      <c r="AE863" t="str">
        <f>SUBSTITUTE(Master_Reference[[#This Row],[C-Flex 4000K 3W Part Number]],"40-","xx-")</f>
        <v>RP-T8-4FT-2L-8xx-3W-M-G2</v>
      </c>
      <c r="AF863" s="1" t="str">
        <f>_xlfn.IFNA(VLOOKUP(Master_Reference[[#This Row],[C-Flex 3000K Eco Part Number]],Lutron_CFlex_Lookup[],MATCH("Lutron Kit PN",Lutron_CFlex_Lookup[#Headers],0),FALSE),"")</f>
        <v>ELD4T8-2M30-q</v>
      </c>
      <c r="AG863" s="1" t="str">
        <f>_xlfn.IFNA(VLOOKUP(Master_Reference[[#This Row],[C-Flex 3500K Eco Part Number]],Lutron_CFlex_Lookup[],MATCH("Lutron Kit PN",Lutron_CFlex_Lookup[#Headers],0),FALSE),"")</f>
        <v>ELD4T8-2M35-q</v>
      </c>
      <c r="AH863" s="1" t="str">
        <f>_xlfn.IFNA(VLOOKUP(Master_Reference[[#This Row],[C-Flex 4000K Eco Part Number]],Lutron_CFlex_Lookup[],MATCH("Lutron Kit PN",Lutron_CFlex_Lookup[#Headers],0),FALSE),"")</f>
        <v>ELD4T8-2M40-q</v>
      </c>
      <c r="AI863" s="1" t="str">
        <f>_xlfn.IFNA(VLOOKUP(Master_Reference[[#This Row],[C-Flex 5000K Eco Part Number]],Lutron_CFlex_Lookup[],MATCH("Lutron Kit PN",Lutron_CFlex_Lookup[#Headers],0),FALSE),"")</f>
        <v>ELD4T8-2M50-q</v>
      </c>
      <c r="AJ863" s="1" t="str">
        <f>_xlfn.IFNA(VLOOKUP(Master_Reference[[#This Row],[C-Flex 3000K 3W Part Number]],Lutron_CFlex_Lookup[],MATCH("Lutron Kit PN",Lutron_CFlex_Lookup[#Headers],0),FALSE),"")</f>
        <v>3LD4T8-2M30-q</v>
      </c>
      <c r="AK863" s="1" t="str">
        <f>_xlfn.IFNA(VLOOKUP(Master_Reference[[#This Row],[C-Flex 3500K 3W Part Number]],Lutron_CFlex_Lookup[],MATCH("Lutron Kit PN",Lutron_CFlex_Lookup[#Headers],0),FALSE),"")</f>
        <v>3LD4T8-2M35-q</v>
      </c>
      <c r="AL863" s="1" t="str">
        <f>_xlfn.IFNA(VLOOKUP(Master_Reference[[#This Row],[C-Flex 4000K 3W Part Number]],Lutron_CFlex_Lookup[],MATCH("Lutron Kit PN",Lutron_CFlex_Lookup[#Headers],0),FALSE),"")</f>
        <v>3LD4T8-2M40-q</v>
      </c>
      <c r="AM863" s="1" t="str">
        <f>_xlfn.IFNA(VLOOKUP(Master_Reference[[#This Row],[C-Flex 5000K 3W Part Number]],Lutron_CFlex_Lookup[],MATCH("Lutron Kit PN",Lutron_CFlex_Lookup[#Headers],0),FALSE),"")</f>
        <v>3LD4T8-2M50-q</v>
      </c>
      <c r="AN863" s="1" t="b">
        <f>NOT(ISNA(VLOOKUP(Master_Reference[[#This Row],[Model Number]],ObsoleteModels[],1,FALSE)))</f>
        <v>1</v>
      </c>
      <c r="AO863" s="1" t="str">
        <f>IF(LEFT(Master_Reference[[#This Row],[Model Number]],1)="U",LEFT(Master_Reference[[#This Row],[Model Number]],4),LEFT(Master_Reference[[#This Row],[Model Number]],3))</f>
        <v>H3D</v>
      </c>
    </row>
    <row r="864" spans="1:41" x14ac:dyDescent="0.25">
      <c r="A864" s="2" t="s">
        <v>1168</v>
      </c>
      <c r="B864" s="1" t="b">
        <v>1</v>
      </c>
      <c r="C864" s="1" t="b">
        <v>1</v>
      </c>
      <c r="G864" s="1" t="str">
        <f>IF(OR(LEFT(RIGHT(Master_Reference[[#This Row],[Model Number]],3),1)="C",LEFT(RIGHT(Master_Reference[[#This Row],[Model Number]],4),1)="C"),TRUE,"")</f>
        <v/>
      </c>
      <c r="H864" s="1" t="str">
        <f>IF(LEFT(Master_Reference[[#This Row],[Model Number]],1)="U",TRUE,"")</f>
        <v/>
      </c>
      <c r="I864" s="1" t="b">
        <f>IF(Master_Reference[[#This Row],[Lamp Type]]="T4","",IF(Master_Reference[[#This Row],[Case Type]]="M","",TRUE))</f>
        <v>1</v>
      </c>
      <c r="J864" s="1" t="str">
        <f t="shared" si="13"/>
        <v>T8</v>
      </c>
      <c r="K864" s="1">
        <v>32</v>
      </c>
      <c r="L864" s="1" t="s">
        <v>118</v>
      </c>
      <c r="M864" s="1">
        <v>2</v>
      </c>
      <c r="N864" s="1" t="s">
        <v>149</v>
      </c>
      <c r="O864" s="1" t="s">
        <v>113</v>
      </c>
      <c r="Q864" s="1" t="s">
        <v>91</v>
      </c>
      <c r="R864" t="b">
        <f>IF(COUNTBLANK(Master_Reference[[#This Row],[C-Flex 3000K Eco Part Number]:[C-Flex 4000K Eco Part Number]])=3,FALSE,TRUE)</f>
        <v>0</v>
      </c>
      <c r="S864" t="b">
        <f>IF(COUNTBLANK(Master_Reference[[#This Row],[C-Flex 3000K 3W Part Number]:[C-Flex 4000K 3W Part Number]])=3,FALSE,TRUE)</f>
        <v>0</v>
      </c>
      <c r="T864" t="b">
        <f>IF(COUNTBLANK(Master_Reference[[#This Row],[Lutron 3000K Eco Part Number]:[Lutron 4000K Eco Part Number]])=3,FALSE,TRUE)</f>
        <v>0</v>
      </c>
      <c r="U864" t="b">
        <f>IF(COUNTBLANK(Master_Reference[[#This Row],[Lutron 3000K 3W Part Number]:[Lutron 4000K 3W Part Number]])=3,FALSE,TRUE)</f>
        <v>0</v>
      </c>
      <c r="V864" s="12"/>
      <c r="W864" s="12"/>
      <c r="X864" s="12"/>
      <c r="Y864" t="s">
        <v>2125</v>
      </c>
      <c r="Z864" s="12"/>
      <c r="AA864" s="12"/>
      <c r="AB864" s="12"/>
      <c r="AC864" t="s">
        <v>2125</v>
      </c>
      <c r="AD864" t="str">
        <f>SUBSTITUTE(Master_Reference[[#This Row],[C-Flex 4000K Eco Part Number]],"40-","xx-")</f>
        <v/>
      </c>
      <c r="AE864" t="str">
        <f>SUBSTITUTE(Master_Reference[[#This Row],[C-Flex 4000K 3W Part Number]],"40-","xx-")</f>
        <v/>
      </c>
      <c r="AF864" s="1" t="str">
        <f>_xlfn.IFNA(VLOOKUP(Master_Reference[[#This Row],[C-Flex 3000K Eco Part Number]],Lutron_CFlex_Lookup[],MATCH("Lutron Kit PN",Lutron_CFlex_Lookup[#Headers],0),FALSE),"")</f>
        <v/>
      </c>
      <c r="AG864" s="1" t="str">
        <f>_xlfn.IFNA(VLOOKUP(Master_Reference[[#This Row],[C-Flex 3500K Eco Part Number]],Lutron_CFlex_Lookup[],MATCH("Lutron Kit PN",Lutron_CFlex_Lookup[#Headers],0),FALSE),"")</f>
        <v/>
      </c>
      <c r="AH864" s="1" t="str">
        <f>_xlfn.IFNA(VLOOKUP(Master_Reference[[#This Row],[C-Flex 4000K Eco Part Number]],Lutron_CFlex_Lookup[],MATCH("Lutron Kit PN",Lutron_CFlex_Lookup[#Headers],0),FALSE),"")</f>
        <v/>
      </c>
      <c r="AI864" s="1" t="str">
        <f>_xlfn.IFNA(VLOOKUP(Master_Reference[[#This Row],[C-Flex 5000K Eco Part Number]],Lutron_CFlex_Lookup[],MATCH("Lutron Kit PN",Lutron_CFlex_Lookup[#Headers],0),FALSE),"")</f>
        <v/>
      </c>
      <c r="AJ864" s="1" t="str">
        <f>_xlfn.IFNA(VLOOKUP(Master_Reference[[#This Row],[C-Flex 3000K 3W Part Number]],Lutron_CFlex_Lookup[],MATCH("Lutron Kit PN",Lutron_CFlex_Lookup[#Headers],0),FALSE),"")</f>
        <v/>
      </c>
      <c r="AK864" s="1" t="str">
        <f>_xlfn.IFNA(VLOOKUP(Master_Reference[[#This Row],[C-Flex 3500K 3W Part Number]],Lutron_CFlex_Lookup[],MATCH("Lutron Kit PN",Lutron_CFlex_Lookup[#Headers],0),FALSE),"")</f>
        <v/>
      </c>
      <c r="AL864" s="1" t="str">
        <f>_xlfn.IFNA(VLOOKUP(Master_Reference[[#This Row],[C-Flex 4000K 3W Part Number]],Lutron_CFlex_Lookup[],MATCH("Lutron Kit PN",Lutron_CFlex_Lookup[#Headers],0),FALSE),"")</f>
        <v/>
      </c>
      <c r="AM864" s="1" t="str">
        <f>_xlfn.IFNA(VLOOKUP(Master_Reference[[#This Row],[C-Flex 5000K 3W Part Number]],Lutron_CFlex_Lookup[],MATCH("Lutron Kit PN",Lutron_CFlex_Lookup[#Headers],0),FALSE),"")</f>
        <v/>
      </c>
      <c r="AN864" s="1" t="b">
        <f>NOT(ISNA(VLOOKUP(Master_Reference[[#This Row],[Model Number]],ObsoleteModels[],1,FALSE)))</f>
        <v>1</v>
      </c>
      <c r="AO864" s="1" t="str">
        <f>IF(LEFT(Master_Reference[[#This Row],[Model Number]],1)="U",LEFT(Master_Reference[[#This Row],[Model Number]],4),LEFT(Master_Reference[[#This Row],[Model Number]],3))</f>
        <v>H3D</v>
      </c>
    </row>
    <row r="865" spans="1:41" x14ac:dyDescent="0.25">
      <c r="A865" s="2" t="s">
        <v>1169</v>
      </c>
      <c r="B865" s="1" t="b">
        <v>1</v>
      </c>
      <c r="C865" s="1" t="b">
        <v>1</v>
      </c>
      <c r="G865" s="1" t="b">
        <f>IF(OR(LEFT(RIGHT(Master_Reference[[#This Row],[Model Number]],3),1)="C",LEFT(RIGHT(Master_Reference[[#This Row],[Model Number]],4),1)="C"),TRUE,"")</f>
        <v>1</v>
      </c>
      <c r="H865" s="1" t="str">
        <f>IF(LEFT(Master_Reference[[#This Row],[Model Number]],1)="U",TRUE,"")</f>
        <v/>
      </c>
      <c r="I865" s="1" t="b">
        <f>IF(Master_Reference[[#This Row],[Lamp Type]]="T4","",IF(Master_Reference[[#This Row],[Case Type]]="M","",TRUE))</f>
        <v>1</v>
      </c>
      <c r="J865" s="1" t="str">
        <f t="shared" si="13"/>
        <v>T8</v>
      </c>
      <c r="K865" s="1">
        <v>32</v>
      </c>
      <c r="L865" s="1" t="s">
        <v>118</v>
      </c>
      <c r="M865" s="1">
        <v>2</v>
      </c>
      <c r="N865" s="1" t="s">
        <v>149</v>
      </c>
      <c r="O865" s="1" t="s">
        <v>113</v>
      </c>
      <c r="R865" t="b">
        <f>IF(COUNTBLANK(Master_Reference[[#This Row],[C-Flex 3000K Eco Part Number]:[C-Flex 4000K Eco Part Number]])=3,FALSE,TRUE)</f>
        <v>1</v>
      </c>
      <c r="S865" t="b">
        <f>IF(COUNTBLANK(Master_Reference[[#This Row],[C-Flex 3000K 3W Part Number]:[C-Flex 4000K 3W Part Number]])=3,FALSE,TRUE)</f>
        <v>1</v>
      </c>
      <c r="T865" t="b">
        <f>IF(COUNTBLANK(Master_Reference[[#This Row],[Lutron 3000K Eco Part Number]:[Lutron 4000K Eco Part Number]])=3,FALSE,TRUE)</f>
        <v>1</v>
      </c>
      <c r="U865" t="b">
        <f>IF(COUNTBLANK(Master_Reference[[#This Row],[Lutron 3000K 3W Part Number]:[Lutron 4000K 3W Part Number]])=3,FALSE,TRUE)</f>
        <v>1</v>
      </c>
      <c r="V865" s="12" t="s">
        <v>316</v>
      </c>
      <c r="W865" s="12" t="s">
        <v>317</v>
      </c>
      <c r="X865" s="12" t="s">
        <v>318</v>
      </c>
      <c r="Y865" t="s">
        <v>1745</v>
      </c>
      <c r="Z865" s="12" t="s">
        <v>145</v>
      </c>
      <c r="AA865" s="12" t="s">
        <v>146</v>
      </c>
      <c r="AB865" s="12" t="s">
        <v>147</v>
      </c>
      <c r="AC865" t="s">
        <v>1830</v>
      </c>
      <c r="AD865" t="str">
        <f>SUBSTITUTE(Master_Reference[[#This Row],[C-Flex 4000K Eco Part Number]],"40-","xx-")</f>
        <v>RP-T8-4FT-2L-8xx-E1-M-G2</v>
      </c>
      <c r="AE865" t="str">
        <f>SUBSTITUTE(Master_Reference[[#This Row],[C-Flex 4000K 3W Part Number]],"40-","xx-")</f>
        <v>RP-T8-4FT-2L-8xx-3W-M-G2</v>
      </c>
      <c r="AF865" s="1" t="str">
        <f>_xlfn.IFNA(VLOOKUP(Master_Reference[[#This Row],[C-Flex 3000K Eco Part Number]],Lutron_CFlex_Lookup[],MATCH("Lutron Kit PN",Lutron_CFlex_Lookup[#Headers],0),FALSE),"")</f>
        <v>ELD4T8-2M30-q</v>
      </c>
      <c r="AG865" s="1" t="str">
        <f>_xlfn.IFNA(VLOOKUP(Master_Reference[[#This Row],[C-Flex 3500K Eco Part Number]],Lutron_CFlex_Lookup[],MATCH("Lutron Kit PN",Lutron_CFlex_Lookup[#Headers],0),FALSE),"")</f>
        <v>ELD4T8-2M35-q</v>
      </c>
      <c r="AH865" s="1" t="str">
        <f>_xlfn.IFNA(VLOOKUP(Master_Reference[[#This Row],[C-Flex 4000K Eco Part Number]],Lutron_CFlex_Lookup[],MATCH("Lutron Kit PN",Lutron_CFlex_Lookup[#Headers],0),FALSE),"")</f>
        <v>ELD4T8-2M40-q</v>
      </c>
      <c r="AI865" s="1" t="str">
        <f>_xlfn.IFNA(VLOOKUP(Master_Reference[[#This Row],[C-Flex 5000K Eco Part Number]],Lutron_CFlex_Lookup[],MATCH("Lutron Kit PN",Lutron_CFlex_Lookup[#Headers],0),FALSE),"")</f>
        <v>ELD4T8-2M50-q</v>
      </c>
      <c r="AJ865" s="1" t="str">
        <f>_xlfn.IFNA(VLOOKUP(Master_Reference[[#This Row],[C-Flex 3000K 3W Part Number]],Lutron_CFlex_Lookup[],MATCH("Lutron Kit PN",Lutron_CFlex_Lookup[#Headers],0),FALSE),"")</f>
        <v>3LD4T8-2M30-q</v>
      </c>
      <c r="AK865" s="1" t="str">
        <f>_xlfn.IFNA(VLOOKUP(Master_Reference[[#This Row],[C-Flex 3500K 3W Part Number]],Lutron_CFlex_Lookup[],MATCH("Lutron Kit PN",Lutron_CFlex_Lookup[#Headers],0),FALSE),"")</f>
        <v>3LD4T8-2M35-q</v>
      </c>
      <c r="AL865" s="1" t="str">
        <f>_xlfn.IFNA(VLOOKUP(Master_Reference[[#This Row],[C-Flex 4000K 3W Part Number]],Lutron_CFlex_Lookup[],MATCH("Lutron Kit PN",Lutron_CFlex_Lookup[#Headers],0),FALSE),"")</f>
        <v>3LD4T8-2M40-q</v>
      </c>
      <c r="AM865" s="1" t="str">
        <f>_xlfn.IFNA(VLOOKUP(Master_Reference[[#This Row],[C-Flex 5000K 3W Part Number]],Lutron_CFlex_Lookup[],MATCH("Lutron Kit PN",Lutron_CFlex_Lookup[#Headers],0),FALSE),"")</f>
        <v>3LD4T8-2M50-q</v>
      </c>
      <c r="AN865" s="1" t="b">
        <f>NOT(ISNA(VLOOKUP(Master_Reference[[#This Row],[Model Number]],ObsoleteModels[],1,FALSE)))</f>
        <v>1</v>
      </c>
      <c r="AO865" s="1" t="str">
        <f>IF(LEFT(Master_Reference[[#This Row],[Model Number]],1)="U",LEFT(Master_Reference[[#This Row],[Model Number]],4),LEFT(Master_Reference[[#This Row],[Model Number]],3))</f>
        <v>H3D</v>
      </c>
    </row>
    <row r="866" spans="1:41" x14ac:dyDescent="0.25">
      <c r="A866" s="2" t="s">
        <v>1170</v>
      </c>
      <c r="B866" s="1" t="b">
        <v>1</v>
      </c>
      <c r="C866" s="1" t="b">
        <v>1</v>
      </c>
      <c r="G866" s="1" t="b">
        <f>IF(OR(LEFT(RIGHT(Master_Reference[[#This Row],[Model Number]],3),1)="C",LEFT(RIGHT(Master_Reference[[#This Row],[Model Number]],4),1)="C"),TRUE,"")</f>
        <v>1</v>
      </c>
      <c r="H866" s="1" t="str">
        <f>IF(LEFT(Master_Reference[[#This Row],[Model Number]],1)="U",TRUE,"")</f>
        <v/>
      </c>
      <c r="I866" s="1" t="b">
        <f>IF(Master_Reference[[#This Row],[Lamp Type]]="T4","",IF(Master_Reference[[#This Row],[Case Type]]="M","",TRUE))</f>
        <v>1</v>
      </c>
      <c r="J866" s="1" t="str">
        <f t="shared" si="13"/>
        <v>T8</v>
      </c>
      <c r="K866" s="1">
        <v>32</v>
      </c>
      <c r="L866" s="1" t="s">
        <v>118</v>
      </c>
      <c r="M866" s="1">
        <v>2</v>
      </c>
      <c r="N866" s="1" t="s">
        <v>149</v>
      </c>
      <c r="O866" s="1" t="s">
        <v>113</v>
      </c>
      <c r="R866" t="b">
        <f>IF(COUNTBLANK(Master_Reference[[#This Row],[C-Flex 3000K Eco Part Number]:[C-Flex 4000K Eco Part Number]])=3,FALSE,TRUE)</f>
        <v>1</v>
      </c>
      <c r="S866" t="b">
        <f>IF(COUNTBLANK(Master_Reference[[#This Row],[C-Flex 3000K 3W Part Number]:[C-Flex 4000K 3W Part Number]])=3,FALSE,TRUE)</f>
        <v>1</v>
      </c>
      <c r="T866" t="b">
        <f>IF(COUNTBLANK(Master_Reference[[#This Row],[Lutron 3000K Eco Part Number]:[Lutron 4000K Eco Part Number]])=3,FALSE,TRUE)</f>
        <v>1</v>
      </c>
      <c r="U866" t="b">
        <f>IF(COUNTBLANK(Master_Reference[[#This Row],[Lutron 3000K 3W Part Number]:[Lutron 4000K 3W Part Number]])=3,FALSE,TRUE)</f>
        <v>1</v>
      </c>
      <c r="V866" s="12" t="s">
        <v>316</v>
      </c>
      <c r="W866" s="12" t="s">
        <v>317</v>
      </c>
      <c r="X866" s="12" t="s">
        <v>318</v>
      </c>
      <c r="Y866" t="s">
        <v>1745</v>
      </c>
      <c r="Z866" s="12" t="s">
        <v>145</v>
      </c>
      <c r="AA866" s="12" t="s">
        <v>146</v>
      </c>
      <c r="AB866" s="12" t="s">
        <v>147</v>
      </c>
      <c r="AC866" t="s">
        <v>1830</v>
      </c>
      <c r="AD866" t="str">
        <f>SUBSTITUTE(Master_Reference[[#This Row],[C-Flex 4000K Eco Part Number]],"40-","xx-")</f>
        <v>RP-T8-4FT-2L-8xx-E1-M-G2</v>
      </c>
      <c r="AE866" t="str">
        <f>SUBSTITUTE(Master_Reference[[#This Row],[C-Flex 4000K 3W Part Number]],"40-","xx-")</f>
        <v>RP-T8-4FT-2L-8xx-3W-M-G2</v>
      </c>
      <c r="AF866" s="1" t="str">
        <f>_xlfn.IFNA(VLOOKUP(Master_Reference[[#This Row],[C-Flex 3000K Eco Part Number]],Lutron_CFlex_Lookup[],MATCH("Lutron Kit PN",Lutron_CFlex_Lookup[#Headers],0),FALSE),"")</f>
        <v>ELD4T8-2M30-q</v>
      </c>
      <c r="AG866" s="1" t="str">
        <f>_xlfn.IFNA(VLOOKUP(Master_Reference[[#This Row],[C-Flex 3500K Eco Part Number]],Lutron_CFlex_Lookup[],MATCH("Lutron Kit PN",Lutron_CFlex_Lookup[#Headers],0),FALSE),"")</f>
        <v>ELD4T8-2M35-q</v>
      </c>
      <c r="AH866" s="1" t="str">
        <f>_xlfn.IFNA(VLOOKUP(Master_Reference[[#This Row],[C-Flex 4000K Eco Part Number]],Lutron_CFlex_Lookup[],MATCH("Lutron Kit PN",Lutron_CFlex_Lookup[#Headers],0),FALSE),"")</f>
        <v>ELD4T8-2M40-q</v>
      </c>
      <c r="AI866" s="1" t="str">
        <f>_xlfn.IFNA(VLOOKUP(Master_Reference[[#This Row],[C-Flex 5000K Eco Part Number]],Lutron_CFlex_Lookup[],MATCH("Lutron Kit PN",Lutron_CFlex_Lookup[#Headers],0),FALSE),"")</f>
        <v>ELD4T8-2M50-q</v>
      </c>
      <c r="AJ866" s="1" t="str">
        <f>_xlfn.IFNA(VLOOKUP(Master_Reference[[#This Row],[C-Flex 3000K 3W Part Number]],Lutron_CFlex_Lookup[],MATCH("Lutron Kit PN",Lutron_CFlex_Lookup[#Headers],0),FALSE),"")</f>
        <v>3LD4T8-2M30-q</v>
      </c>
      <c r="AK866" s="1" t="str">
        <f>_xlfn.IFNA(VLOOKUP(Master_Reference[[#This Row],[C-Flex 3500K 3W Part Number]],Lutron_CFlex_Lookup[],MATCH("Lutron Kit PN",Lutron_CFlex_Lookup[#Headers],0),FALSE),"")</f>
        <v>3LD4T8-2M35-q</v>
      </c>
      <c r="AL866" s="1" t="str">
        <f>_xlfn.IFNA(VLOOKUP(Master_Reference[[#This Row],[C-Flex 4000K 3W Part Number]],Lutron_CFlex_Lookup[],MATCH("Lutron Kit PN",Lutron_CFlex_Lookup[#Headers],0),FALSE),"")</f>
        <v>3LD4T8-2M40-q</v>
      </c>
      <c r="AM866" s="1" t="str">
        <f>_xlfn.IFNA(VLOOKUP(Master_Reference[[#This Row],[C-Flex 5000K 3W Part Number]],Lutron_CFlex_Lookup[],MATCH("Lutron Kit PN",Lutron_CFlex_Lookup[#Headers],0),FALSE),"")</f>
        <v>3LD4T8-2M50-q</v>
      </c>
      <c r="AN866" s="1" t="b">
        <f>NOT(ISNA(VLOOKUP(Master_Reference[[#This Row],[Model Number]],ObsoleteModels[],1,FALSE)))</f>
        <v>1</v>
      </c>
      <c r="AO866" s="1" t="str">
        <f>IF(LEFT(Master_Reference[[#This Row],[Model Number]],1)="U",LEFT(Master_Reference[[#This Row],[Model Number]],4),LEFT(Master_Reference[[#This Row],[Model Number]],3))</f>
        <v>H3D</v>
      </c>
    </row>
    <row r="867" spans="1:41" x14ac:dyDescent="0.25">
      <c r="A867" s="2" t="s">
        <v>1171</v>
      </c>
      <c r="B867" s="1" t="b">
        <v>1</v>
      </c>
      <c r="C867" s="1" t="b">
        <v>1</v>
      </c>
      <c r="G867" s="1" t="b">
        <f>IF(OR(LEFT(RIGHT(Master_Reference[[#This Row],[Model Number]],3),1)="C",LEFT(RIGHT(Master_Reference[[#This Row],[Model Number]],4),1)="C"),TRUE,"")</f>
        <v>1</v>
      </c>
      <c r="H867" s="1" t="str">
        <f>IF(LEFT(Master_Reference[[#This Row],[Model Number]],1)="U",TRUE,"")</f>
        <v/>
      </c>
      <c r="I867" s="1" t="b">
        <f>IF(Master_Reference[[#This Row],[Lamp Type]]="T4","",IF(Master_Reference[[#This Row],[Case Type]]="M","",TRUE))</f>
        <v>1</v>
      </c>
      <c r="J867" s="1" t="str">
        <f t="shared" si="13"/>
        <v>T8</v>
      </c>
      <c r="K867" s="1">
        <v>32</v>
      </c>
      <c r="L867" s="1" t="s">
        <v>118</v>
      </c>
      <c r="M867" s="1">
        <v>2</v>
      </c>
      <c r="N867" s="1" t="s">
        <v>149</v>
      </c>
      <c r="O867" s="1" t="s">
        <v>113</v>
      </c>
      <c r="R867" t="b">
        <f>IF(COUNTBLANK(Master_Reference[[#This Row],[C-Flex 3000K Eco Part Number]:[C-Flex 4000K Eco Part Number]])=3,FALSE,TRUE)</f>
        <v>1</v>
      </c>
      <c r="S867" t="b">
        <f>IF(COUNTBLANK(Master_Reference[[#This Row],[C-Flex 3000K 3W Part Number]:[C-Flex 4000K 3W Part Number]])=3,FALSE,TRUE)</f>
        <v>1</v>
      </c>
      <c r="T867" t="b">
        <f>IF(COUNTBLANK(Master_Reference[[#This Row],[Lutron 3000K Eco Part Number]:[Lutron 4000K Eco Part Number]])=3,FALSE,TRUE)</f>
        <v>1</v>
      </c>
      <c r="U867" t="b">
        <f>IF(COUNTBLANK(Master_Reference[[#This Row],[Lutron 3000K 3W Part Number]:[Lutron 4000K 3W Part Number]])=3,FALSE,TRUE)</f>
        <v>1</v>
      </c>
      <c r="V867" s="12" t="s">
        <v>316</v>
      </c>
      <c r="W867" s="12" t="s">
        <v>317</v>
      </c>
      <c r="X867" s="12" t="s">
        <v>318</v>
      </c>
      <c r="Y867" t="s">
        <v>1745</v>
      </c>
      <c r="Z867" s="12" t="s">
        <v>145</v>
      </c>
      <c r="AA867" s="12" t="s">
        <v>146</v>
      </c>
      <c r="AB867" s="12" t="s">
        <v>147</v>
      </c>
      <c r="AC867" t="s">
        <v>1830</v>
      </c>
      <c r="AD867" t="str">
        <f>SUBSTITUTE(Master_Reference[[#This Row],[C-Flex 4000K Eco Part Number]],"40-","xx-")</f>
        <v>RP-T8-4FT-2L-8xx-E1-M-G2</v>
      </c>
      <c r="AE867" t="str">
        <f>SUBSTITUTE(Master_Reference[[#This Row],[C-Flex 4000K 3W Part Number]],"40-","xx-")</f>
        <v>RP-T8-4FT-2L-8xx-3W-M-G2</v>
      </c>
      <c r="AF867" s="1" t="str">
        <f>_xlfn.IFNA(VLOOKUP(Master_Reference[[#This Row],[C-Flex 3000K Eco Part Number]],Lutron_CFlex_Lookup[],MATCH("Lutron Kit PN",Lutron_CFlex_Lookup[#Headers],0),FALSE),"")</f>
        <v>ELD4T8-2M30-q</v>
      </c>
      <c r="AG867" s="1" t="str">
        <f>_xlfn.IFNA(VLOOKUP(Master_Reference[[#This Row],[C-Flex 3500K Eco Part Number]],Lutron_CFlex_Lookup[],MATCH("Lutron Kit PN",Lutron_CFlex_Lookup[#Headers],0),FALSE),"")</f>
        <v>ELD4T8-2M35-q</v>
      </c>
      <c r="AH867" s="1" t="str">
        <f>_xlfn.IFNA(VLOOKUP(Master_Reference[[#This Row],[C-Flex 4000K Eco Part Number]],Lutron_CFlex_Lookup[],MATCH("Lutron Kit PN",Lutron_CFlex_Lookup[#Headers],0),FALSE),"")</f>
        <v>ELD4T8-2M40-q</v>
      </c>
      <c r="AI867" s="1" t="str">
        <f>_xlfn.IFNA(VLOOKUP(Master_Reference[[#This Row],[C-Flex 5000K Eco Part Number]],Lutron_CFlex_Lookup[],MATCH("Lutron Kit PN",Lutron_CFlex_Lookup[#Headers],0),FALSE),"")</f>
        <v>ELD4T8-2M50-q</v>
      </c>
      <c r="AJ867" s="1" t="str">
        <f>_xlfn.IFNA(VLOOKUP(Master_Reference[[#This Row],[C-Flex 3000K 3W Part Number]],Lutron_CFlex_Lookup[],MATCH("Lutron Kit PN",Lutron_CFlex_Lookup[#Headers],0),FALSE),"")</f>
        <v>3LD4T8-2M30-q</v>
      </c>
      <c r="AK867" s="1" t="str">
        <f>_xlfn.IFNA(VLOOKUP(Master_Reference[[#This Row],[C-Flex 3500K 3W Part Number]],Lutron_CFlex_Lookup[],MATCH("Lutron Kit PN",Lutron_CFlex_Lookup[#Headers],0),FALSE),"")</f>
        <v>3LD4T8-2M35-q</v>
      </c>
      <c r="AL867" s="1" t="str">
        <f>_xlfn.IFNA(VLOOKUP(Master_Reference[[#This Row],[C-Flex 4000K 3W Part Number]],Lutron_CFlex_Lookup[],MATCH("Lutron Kit PN",Lutron_CFlex_Lookup[#Headers],0),FALSE),"")</f>
        <v>3LD4T8-2M40-q</v>
      </c>
      <c r="AM867" s="1" t="str">
        <f>_xlfn.IFNA(VLOOKUP(Master_Reference[[#This Row],[C-Flex 5000K 3W Part Number]],Lutron_CFlex_Lookup[],MATCH("Lutron Kit PN",Lutron_CFlex_Lookup[#Headers],0),FALSE),"")</f>
        <v>3LD4T8-2M50-q</v>
      </c>
      <c r="AN867" s="1" t="b">
        <f>NOT(ISNA(VLOOKUP(Master_Reference[[#This Row],[Model Number]],ObsoleteModels[],1,FALSE)))</f>
        <v>1</v>
      </c>
      <c r="AO867" s="1" t="str">
        <f>IF(LEFT(Master_Reference[[#This Row],[Model Number]],1)="U",LEFT(Master_Reference[[#This Row],[Model Number]],4),LEFT(Master_Reference[[#This Row],[Model Number]],3))</f>
        <v>H3D</v>
      </c>
    </row>
    <row r="868" spans="1:41" x14ac:dyDescent="0.25">
      <c r="A868" s="2" t="s">
        <v>1172</v>
      </c>
      <c r="B868" s="1" t="b">
        <v>1</v>
      </c>
      <c r="C868" s="1" t="b">
        <v>1</v>
      </c>
      <c r="G868" s="1" t="b">
        <f>IF(OR(LEFT(RIGHT(Master_Reference[[#This Row],[Model Number]],3),1)="C",LEFT(RIGHT(Master_Reference[[#This Row],[Model Number]],4),1)="C"),TRUE,"")</f>
        <v>1</v>
      </c>
      <c r="H868" s="1" t="str">
        <f>IF(LEFT(Master_Reference[[#This Row],[Model Number]],1)="U",TRUE,"")</f>
        <v/>
      </c>
      <c r="I868" s="1" t="b">
        <f>IF(Master_Reference[[#This Row],[Lamp Type]]="T4","",IF(Master_Reference[[#This Row],[Case Type]]="M","",TRUE))</f>
        <v>1</v>
      </c>
      <c r="J868" s="1" t="str">
        <f t="shared" si="13"/>
        <v>T8</v>
      </c>
      <c r="K868" s="1">
        <v>32</v>
      </c>
      <c r="L868" s="1" t="s">
        <v>118</v>
      </c>
      <c r="M868" s="1">
        <v>2</v>
      </c>
      <c r="N868" s="1" t="s">
        <v>149</v>
      </c>
      <c r="O868" s="1" t="s">
        <v>113</v>
      </c>
      <c r="R868" t="b">
        <f>IF(COUNTBLANK(Master_Reference[[#This Row],[C-Flex 3000K Eco Part Number]:[C-Flex 4000K Eco Part Number]])=3,FALSE,TRUE)</f>
        <v>1</v>
      </c>
      <c r="S868" t="b">
        <f>IF(COUNTBLANK(Master_Reference[[#This Row],[C-Flex 3000K 3W Part Number]:[C-Flex 4000K 3W Part Number]])=3,FALSE,TRUE)</f>
        <v>1</v>
      </c>
      <c r="T868" t="b">
        <f>IF(COUNTBLANK(Master_Reference[[#This Row],[Lutron 3000K Eco Part Number]:[Lutron 4000K Eco Part Number]])=3,FALSE,TRUE)</f>
        <v>1</v>
      </c>
      <c r="U868" t="b">
        <f>IF(COUNTBLANK(Master_Reference[[#This Row],[Lutron 3000K 3W Part Number]:[Lutron 4000K 3W Part Number]])=3,FALSE,TRUE)</f>
        <v>1</v>
      </c>
      <c r="V868" s="12" t="s">
        <v>316</v>
      </c>
      <c r="W868" s="12" t="s">
        <v>317</v>
      </c>
      <c r="X868" s="12" t="s">
        <v>318</v>
      </c>
      <c r="Y868" t="s">
        <v>1745</v>
      </c>
      <c r="Z868" s="12" t="s">
        <v>145</v>
      </c>
      <c r="AA868" s="12" t="s">
        <v>146</v>
      </c>
      <c r="AB868" s="12" t="s">
        <v>147</v>
      </c>
      <c r="AC868" t="s">
        <v>1830</v>
      </c>
      <c r="AD868" t="str">
        <f>SUBSTITUTE(Master_Reference[[#This Row],[C-Flex 4000K Eco Part Number]],"40-","xx-")</f>
        <v>RP-T8-4FT-2L-8xx-E1-M-G2</v>
      </c>
      <c r="AE868" t="str">
        <f>SUBSTITUTE(Master_Reference[[#This Row],[C-Flex 4000K 3W Part Number]],"40-","xx-")</f>
        <v>RP-T8-4FT-2L-8xx-3W-M-G2</v>
      </c>
      <c r="AF868" s="1" t="str">
        <f>_xlfn.IFNA(VLOOKUP(Master_Reference[[#This Row],[C-Flex 3000K Eco Part Number]],Lutron_CFlex_Lookup[],MATCH("Lutron Kit PN",Lutron_CFlex_Lookup[#Headers],0),FALSE),"")</f>
        <v>ELD4T8-2M30-q</v>
      </c>
      <c r="AG868" s="1" t="str">
        <f>_xlfn.IFNA(VLOOKUP(Master_Reference[[#This Row],[C-Flex 3500K Eco Part Number]],Lutron_CFlex_Lookup[],MATCH("Lutron Kit PN",Lutron_CFlex_Lookup[#Headers],0),FALSE),"")</f>
        <v>ELD4T8-2M35-q</v>
      </c>
      <c r="AH868" s="1" t="str">
        <f>_xlfn.IFNA(VLOOKUP(Master_Reference[[#This Row],[C-Flex 4000K Eco Part Number]],Lutron_CFlex_Lookup[],MATCH("Lutron Kit PN",Lutron_CFlex_Lookup[#Headers],0),FALSE),"")</f>
        <v>ELD4T8-2M40-q</v>
      </c>
      <c r="AI868" s="1" t="str">
        <f>_xlfn.IFNA(VLOOKUP(Master_Reference[[#This Row],[C-Flex 5000K Eco Part Number]],Lutron_CFlex_Lookup[],MATCH("Lutron Kit PN",Lutron_CFlex_Lookup[#Headers],0),FALSE),"")</f>
        <v>ELD4T8-2M50-q</v>
      </c>
      <c r="AJ868" s="1" t="str">
        <f>_xlfn.IFNA(VLOOKUP(Master_Reference[[#This Row],[C-Flex 3000K 3W Part Number]],Lutron_CFlex_Lookup[],MATCH("Lutron Kit PN",Lutron_CFlex_Lookup[#Headers],0),FALSE),"")</f>
        <v>3LD4T8-2M30-q</v>
      </c>
      <c r="AK868" s="1" t="str">
        <f>_xlfn.IFNA(VLOOKUP(Master_Reference[[#This Row],[C-Flex 3500K 3W Part Number]],Lutron_CFlex_Lookup[],MATCH("Lutron Kit PN",Lutron_CFlex_Lookup[#Headers],0),FALSE),"")</f>
        <v>3LD4T8-2M35-q</v>
      </c>
      <c r="AL868" s="1" t="str">
        <f>_xlfn.IFNA(VLOOKUP(Master_Reference[[#This Row],[C-Flex 4000K 3W Part Number]],Lutron_CFlex_Lookup[],MATCH("Lutron Kit PN",Lutron_CFlex_Lookup[#Headers],0),FALSE),"")</f>
        <v>3LD4T8-2M40-q</v>
      </c>
      <c r="AM868" s="1" t="str">
        <f>_xlfn.IFNA(VLOOKUP(Master_Reference[[#This Row],[C-Flex 5000K 3W Part Number]],Lutron_CFlex_Lookup[],MATCH("Lutron Kit PN",Lutron_CFlex_Lookup[#Headers],0),FALSE),"")</f>
        <v>3LD4T8-2M50-q</v>
      </c>
      <c r="AN868" s="1" t="b">
        <f>NOT(ISNA(VLOOKUP(Master_Reference[[#This Row],[Model Number]],ObsoleteModels[],1,FALSE)))</f>
        <v>1</v>
      </c>
      <c r="AO868" s="1" t="str">
        <f>IF(LEFT(Master_Reference[[#This Row],[Model Number]],1)="U",LEFT(Master_Reference[[#This Row],[Model Number]],4),LEFT(Master_Reference[[#This Row],[Model Number]],3))</f>
        <v>H3D</v>
      </c>
    </row>
    <row r="869" spans="1:41" x14ac:dyDescent="0.25">
      <c r="A869" s="2" t="s">
        <v>1173</v>
      </c>
      <c r="B869" s="1" t="b">
        <v>1</v>
      </c>
      <c r="C869" s="1" t="b">
        <v>1</v>
      </c>
      <c r="G869" s="1" t="b">
        <f>IF(OR(LEFT(RIGHT(Master_Reference[[#This Row],[Model Number]],3),1)="C",LEFT(RIGHT(Master_Reference[[#This Row],[Model Number]],4),1)="C"),TRUE,"")</f>
        <v>1</v>
      </c>
      <c r="H869" s="1" t="str">
        <f>IF(LEFT(Master_Reference[[#This Row],[Model Number]],1)="U",TRUE,"")</f>
        <v/>
      </c>
      <c r="I869" s="1" t="b">
        <f>IF(Master_Reference[[#This Row],[Lamp Type]]="T4","",IF(Master_Reference[[#This Row],[Case Type]]="M","",TRUE))</f>
        <v>1</v>
      </c>
      <c r="J869" s="1" t="str">
        <f t="shared" si="13"/>
        <v>T8</v>
      </c>
      <c r="K869" s="1">
        <v>32</v>
      </c>
      <c r="L869" s="1" t="s">
        <v>118</v>
      </c>
      <c r="M869" s="1">
        <v>2</v>
      </c>
      <c r="N869" s="1" t="s">
        <v>149</v>
      </c>
      <c r="O869" s="1" t="s">
        <v>113</v>
      </c>
      <c r="R869" t="b">
        <f>IF(COUNTBLANK(Master_Reference[[#This Row],[C-Flex 3000K Eco Part Number]:[C-Flex 4000K Eco Part Number]])=3,FALSE,TRUE)</f>
        <v>1</v>
      </c>
      <c r="S869" t="b">
        <f>IF(COUNTBLANK(Master_Reference[[#This Row],[C-Flex 3000K 3W Part Number]:[C-Flex 4000K 3W Part Number]])=3,FALSE,TRUE)</f>
        <v>1</v>
      </c>
      <c r="T869" t="b">
        <f>IF(COUNTBLANK(Master_Reference[[#This Row],[Lutron 3000K Eco Part Number]:[Lutron 4000K Eco Part Number]])=3,FALSE,TRUE)</f>
        <v>1</v>
      </c>
      <c r="U869" t="b">
        <f>IF(COUNTBLANK(Master_Reference[[#This Row],[Lutron 3000K 3W Part Number]:[Lutron 4000K 3W Part Number]])=3,FALSE,TRUE)</f>
        <v>1</v>
      </c>
      <c r="V869" s="12" t="s">
        <v>316</v>
      </c>
      <c r="W869" s="12" t="s">
        <v>317</v>
      </c>
      <c r="X869" s="12" t="s">
        <v>318</v>
      </c>
      <c r="Y869" t="s">
        <v>1745</v>
      </c>
      <c r="Z869" s="12" t="s">
        <v>145</v>
      </c>
      <c r="AA869" s="12" t="s">
        <v>146</v>
      </c>
      <c r="AB869" s="12" t="s">
        <v>147</v>
      </c>
      <c r="AC869" t="s">
        <v>1830</v>
      </c>
      <c r="AD869" t="str">
        <f>SUBSTITUTE(Master_Reference[[#This Row],[C-Flex 4000K Eco Part Number]],"40-","xx-")</f>
        <v>RP-T8-4FT-2L-8xx-E1-M-G2</v>
      </c>
      <c r="AE869" t="str">
        <f>SUBSTITUTE(Master_Reference[[#This Row],[C-Flex 4000K 3W Part Number]],"40-","xx-")</f>
        <v>RP-T8-4FT-2L-8xx-3W-M-G2</v>
      </c>
      <c r="AF869" s="1" t="str">
        <f>_xlfn.IFNA(VLOOKUP(Master_Reference[[#This Row],[C-Flex 3000K Eco Part Number]],Lutron_CFlex_Lookup[],MATCH("Lutron Kit PN",Lutron_CFlex_Lookup[#Headers],0),FALSE),"")</f>
        <v>ELD4T8-2M30-q</v>
      </c>
      <c r="AG869" s="1" t="str">
        <f>_xlfn.IFNA(VLOOKUP(Master_Reference[[#This Row],[C-Flex 3500K Eco Part Number]],Lutron_CFlex_Lookup[],MATCH("Lutron Kit PN",Lutron_CFlex_Lookup[#Headers],0),FALSE),"")</f>
        <v>ELD4T8-2M35-q</v>
      </c>
      <c r="AH869" s="1" t="str">
        <f>_xlfn.IFNA(VLOOKUP(Master_Reference[[#This Row],[C-Flex 4000K Eco Part Number]],Lutron_CFlex_Lookup[],MATCH("Lutron Kit PN",Lutron_CFlex_Lookup[#Headers],0),FALSE),"")</f>
        <v>ELD4T8-2M40-q</v>
      </c>
      <c r="AI869" s="1" t="str">
        <f>_xlfn.IFNA(VLOOKUP(Master_Reference[[#This Row],[C-Flex 5000K Eco Part Number]],Lutron_CFlex_Lookup[],MATCH("Lutron Kit PN",Lutron_CFlex_Lookup[#Headers],0),FALSE),"")</f>
        <v>ELD4T8-2M50-q</v>
      </c>
      <c r="AJ869" s="1" t="str">
        <f>_xlfn.IFNA(VLOOKUP(Master_Reference[[#This Row],[C-Flex 3000K 3W Part Number]],Lutron_CFlex_Lookup[],MATCH("Lutron Kit PN",Lutron_CFlex_Lookup[#Headers],0),FALSE),"")</f>
        <v>3LD4T8-2M30-q</v>
      </c>
      <c r="AK869" s="1" t="str">
        <f>_xlfn.IFNA(VLOOKUP(Master_Reference[[#This Row],[C-Flex 3500K 3W Part Number]],Lutron_CFlex_Lookup[],MATCH("Lutron Kit PN",Lutron_CFlex_Lookup[#Headers],0),FALSE),"")</f>
        <v>3LD4T8-2M35-q</v>
      </c>
      <c r="AL869" s="1" t="str">
        <f>_xlfn.IFNA(VLOOKUP(Master_Reference[[#This Row],[C-Flex 4000K 3W Part Number]],Lutron_CFlex_Lookup[],MATCH("Lutron Kit PN",Lutron_CFlex_Lookup[#Headers],0),FALSE),"")</f>
        <v>3LD4T8-2M40-q</v>
      </c>
      <c r="AM869" s="1" t="str">
        <f>_xlfn.IFNA(VLOOKUP(Master_Reference[[#This Row],[C-Flex 5000K 3W Part Number]],Lutron_CFlex_Lookup[],MATCH("Lutron Kit PN",Lutron_CFlex_Lookup[#Headers],0),FALSE),"")</f>
        <v>3LD4T8-2M50-q</v>
      </c>
      <c r="AN869" s="1" t="b">
        <f>NOT(ISNA(VLOOKUP(Master_Reference[[#This Row],[Model Number]],ObsoleteModels[],1,FALSE)))</f>
        <v>1</v>
      </c>
      <c r="AO869" s="1" t="str">
        <f>IF(LEFT(Master_Reference[[#This Row],[Model Number]],1)="U",LEFT(Master_Reference[[#This Row],[Model Number]],4),LEFT(Master_Reference[[#This Row],[Model Number]],3))</f>
        <v>H3D</v>
      </c>
    </row>
    <row r="870" spans="1:41" x14ac:dyDescent="0.25">
      <c r="A870" s="2" t="s">
        <v>1174</v>
      </c>
      <c r="B870" s="1" t="b">
        <v>1</v>
      </c>
      <c r="C870" s="1" t="b">
        <v>1</v>
      </c>
      <c r="G870" s="1" t="str">
        <f>IF(OR(LEFT(RIGHT(Master_Reference[[#This Row],[Model Number]],3),1)="C",LEFT(RIGHT(Master_Reference[[#This Row],[Model Number]],4),1)="C"),TRUE,"")</f>
        <v/>
      </c>
      <c r="H870" s="1" t="str">
        <f>IF(LEFT(Master_Reference[[#This Row],[Model Number]],1)="U",TRUE,"")</f>
        <v/>
      </c>
      <c r="I870" s="1" t="b">
        <f>IF(Master_Reference[[#This Row],[Lamp Type]]="T4","",IF(Master_Reference[[#This Row],[Case Type]]="M","",TRUE))</f>
        <v>1</v>
      </c>
      <c r="J870" s="1" t="str">
        <f t="shared" si="13"/>
        <v>T8</v>
      </c>
      <c r="K870" s="1">
        <v>32</v>
      </c>
      <c r="L870" s="1" t="s">
        <v>118</v>
      </c>
      <c r="M870" s="1">
        <v>1</v>
      </c>
      <c r="N870" s="1" t="s">
        <v>149</v>
      </c>
      <c r="O870" s="1" t="s">
        <v>113</v>
      </c>
      <c r="R870" t="b">
        <f>IF(COUNTBLANK(Master_Reference[[#This Row],[C-Flex 3000K Eco Part Number]:[C-Flex 4000K Eco Part Number]])=3,FALSE,TRUE)</f>
        <v>1</v>
      </c>
      <c r="S870" t="b">
        <f>IF(COUNTBLANK(Master_Reference[[#This Row],[C-Flex 3000K 3W Part Number]:[C-Flex 4000K 3W Part Number]])=3,FALSE,TRUE)</f>
        <v>1</v>
      </c>
      <c r="T870" t="b">
        <f>IF(COUNTBLANK(Master_Reference[[#This Row],[Lutron 3000K Eco Part Number]:[Lutron 4000K Eco Part Number]])=3,FALSE,TRUE)</f>
        <v>1</v>
      </c>
      <c r="U870" t="b">
        <f>IF(COUNTBLANK(Master_Reference[[#This Row],[Lutron 3000K 3W Part Number]:[Lutron 4000K 3W Part Number]])=3,FALSE,TRUE)</f>
        <v>1</v>
      </c>
      <c r="V870" s="12" t="s">
        <v>312</v>
      </c>
      <c r="W870" s="12" t="s">
        <v>313</v>
      </c>
      <c r="X870" s="12" t="s">
        <v>314</v>
      </c>
      <c r="Y870" t="s">
        <v>1744</v>
      </c>
      <c r="Z870" s="12" t="s">
        <v>264</v>
      </c>
      <c r="AA870" s="12" t="s">
        <v>265</v>
      </c>
      <c r="AB870" s="12" t="s">
        <v>266</v>
      </c>
      <c r="AC870" t="s">
        <v>1829</v>
      </c>
      <c r="AD870" t="str">
        <f>SUBSTITUTE(Master_Reference[[#This Row],[C-Flex 4000K Eco Part Number]],"40-","xx-")</f>
        <v>RP-T8-4FT-1L-8xx-E1-M-G2</v>
      </c>
      <c r="AE870" t="str">
        <f>SUBSTITUTE(Master_Reference[[#This Row],[C-Flex 4000K 3W Part Number]],"40-","xx-")</f>
        <v>RP-T8-4FT-1L-8xx-3W-M-G2</v>
      </c>
      <c r="AF870" s="1" t="str">
        <f>_xlfn.IFNA(VLOOKUP(Master_Reference[[#This Row],[C-Flex 3000K Eco Part Number]],Lutron_CFlex_Lookup[],MATCH("Lutron Kit PN",Lutron_CFlex_Lookup[#Headers],0),FALSE),"")</f>
        <v>ELD4T8-1M30-q</v>
      </c>
      <c r="AG870" s="1" t="str">
        <f>_xlfn.IFNA(VLOOKUP(Master_Reference[[#This Row],[C-Flex 3500K Eco Part Number]],Lutron_CFlex_Lookup[],MATCH("Lutron Kit PN",Lutron_CFlex_Lookup[#Headers],0),FALSE),"")</f>
        <v>ELD4T8-1M35-q</v>
      </c>
      <c r="AH870" s="1" t="str">
        <f>_xlfn.IFNA(VLOOKUP(Master_Reference[[#This Row],[C-Flex 4000K Eco Part Number]],Lutron_CFlex_Lookup[],MATCH("Lutron Kit PN",Lutron_CFlex_Lookup[#Headers],0),FALSE),"")</f>
        <v>ELD4T8-1M40-q</v>
      </c>
      <c r="AI870" s="1" t="str">
        <f>_xlfn.IFNA(VLOOKUP(Master_Reference[[#This Row],[C-Flex 5000K Eco Part Number]],Lutron_CFlex_Lookup[],MATCH("Lutron Kit PN",Lutron_CFlex_Lookup[#Headers],0),FALSE),"")</f>
        <v>ELD4T8-1M50-q</v>
      </c>
      <c r="AJ870" s="1" t="str">
        <f>_xlfn.IFNA(VLOOKUP(Master_Reference[[#This Row],[C-Flex 3000K 3W Part Number]],Lutron_CFlex_Lookup[],MATCH("Lutron Kit PN",Lutron_CFlex_Lookup[#Headers],0),FALSE),"")</f>
        <v>3LD4T8-1M30-q</v>
      </c>
      <c r="AK870" s="1" t="str">
        <f>_xlfn.IFNA(VLOOKUP(Master_Reference[[#This Row],[C-Flex 3500K 3W Part Number]],Lutron_CFlex_Lookup[],MATCH("Lutron Kit PN",Lutron_CFlex_Lookup[#Headers],0),FALSE),"")</f>
        <v>3LD4T8-1M35-q</v>
      </c>
      <c r="AL870" s="1" t="str">
        <f>_xlfn.IFNA(VLOOKUP(Master_Reference[[#This Row],[C-Flex 4000K 3W Part Number]],Lutron_CFlex_Lookup[],MATCH("Lutron Kit PN",Lutron_CFlex_Lookup[#Headers],0),FALSE),"")</f>
        <v>3LD4T8-1M40-q</v>
      </c>
      <c r="AM870" s="1" t="str">
        <f>_xlfn.IFNA(VLOOKUP(Master_Reference[[#This Row],[C-Flex 5000K 3W Part Number]],Lutron_CFlex_Lookup[],MATCH("Lutron Kit PN",Lutron_CFlex_Lookup[#Headers],0),FALSE),"")</f>
        <v>3LD4T8-1M50-q</v>
      </c>
      <c r="AN870" s="1" t="b">
        <f>NOT(ISNA(VLOOKUP(Master_Reference[[#This Row],[Model Number]],ObsoleteModels[],1,FALSE)))</f>
        <v>1</v>
      </c>
      <c r="AO870" s="1" t="str">
        <f>IF(LEFT(Master_Reference[[#This Row],[Model Number]],1)="U",LEFT(Master_Reference[[#This Row],[Model Number]],4),LEFT(Master_Reference[[#This Row],[Model Number]],3))</f>
        <v>H3D</v>
      </c>
    </row>
    <row r="871" spans="1:41" x14ac:dyDescent="0.25">
      <c r="A871" s="2" t="s">
        <v>1175</v>
      </c>
      <c r="B871" s="1" t="b">
        <v>1</v>
      </c>
      <c r="C871" s="1" t="b">
        <v>1</v>
      </c>
      <c r="G871" s="1" t="b">
        <v>1</v>
      </c>
      <c r="H871" s="1" t="str">
        <f>IF(LEFT(Master_Reference[[#This Row],[Model Number]],1)="U",TRUE,"")</f>
        <v/>
      </c>
      <c r="I871" s="1" t="b">
        <f>IF(Master_Reference[[#This Row],[Lamp Type]]="T4","",IF(Master_Reference[[#This Row],[Case Type]]="M","",TRUE))</f>
        <v>1</v>
      </c>
      <c r="J871" s="1" t="str">
        <f t="shared" si="13"/>
        <v>T8</v>
      </c>
      <c r="K871" s="1">
        <v>32</v>
      </c>
      <c r="L871" s="1" t="s">
        <v>118</v>
      </c>
      <c r="M871" s="1">
        <v>1</v>
      </c>
      <c r="N871" s="1" t="s">
        <v>149</v>
      </c>
      <c r="O871" s="1" t="s">
        <v>113</v>
      </c>
      <c r="R871" t="b">
        <f>IF(COUNTBLANK(Master_Reference[[#This Row],[C-Flex 3000K Eco Part Number]:[C-Flex 4000K Eco Part Number]])=3,FALSE,TRUE)</f>
        <v>1</v>
      </c>
      <c r="S871" t="b">
        <f>IF(COUNTBLANK(Master_Reference[[#This Row],[C-Flex 3000K 3W Part Number]:[C-Flex 4000K 3W Part Number]])=3,FALSE,TRUE)</f>
        <v>1</v>
      </c>
      <c r="T871" t="b">
        <f>IF(COUNTBLANK(Master_Reference[[#This Row],[Lutron 3000K Eco Part Number]:[Lutron 4000K Eco Part Number]])=3,FALSE,TRUE)</f>
        <v>1</v>
      </c>
      <c r="U871" t="b">
        <f>IF(COUNTBLANK(Master_Reference[[#This Row],[Lutron 3000K 3W Part Number]:[Lutron 4000K 3W Part Number]])=3,FALSE,TRUE)</f>
        <v>1</v>
      </c>
      <c r="V871" s="12" t="s">
        <v>312</v>
      </c>
      <c r="W871" s="12" t="s">
        <v>313</v>
      </c>
      <c r="X871" s="12" t="s">
        <v>314</v>
      </c>
      <c r="Y871" t="s">
        <v>1744</v>
      </c>
      <c r="Z871" s="12" t="s">
        <v>264</v>
      </c>
      <c r="AA871" s="12" t="s">
        <v>265</v>
      </c>
      <c r="AB871" s="12" t="s">
        <v>266</v>
      </c>
      <c r="AC871" t="s">
        <v>1829</v>
      </c>
      <c r="AD871" t="str">
        <f>SUBSTITUTE(Master_Reference[[#This Row],[C-Flex 4000K Eco Part Number]],"40-","xx-")</f>
        <v>RP-T8-4FT-1L-8xx-E1-M-G2</v>
      </c>
      <c r="AE871" t="str">
        <f>SUBSTITUTE(Master_Reference[[#This Row],[C-Flex 4000K 3W Part Number]],"40-","xx-")</f>
        <v>RP-T8-4FT-1L-8xx-3W-M-G2</v>
      </c>
      <c r="AF871" s="1" t="str">
        <f>_xlfn.IFNA(VLOOKUP(Master_Reference[[#This Row],[C-Flex 3000K Eco Part Number]],Lutron_CFlex_Lookup[],MATCH("Lutron Kit PN",Lutron_CFlex_Lookup[#Headers],0),FALSE),"")</f>
        <v>ELD4T8-1M30-q</v>
      </c>
      <c r="AG871" s="1" t="str">
        <f>_xlfn.IFNA(VLOOKUP(Master_Reference[[#This Row],[C-Flex 3500K Eco Part Number]],Lutron_CFlex_Lookup[],MATCH("Lutron Kit PN",Lutron_CFlex_Lookup[#Headers],0),FALSE),"")</f>
        <v>ELD4T8-1M35-q</v>
      </c>
      <c r="AH871" s="1" t="str">
        <f>_xlfn.IFNA(VLOOKUP(Master_Reference[[#This Row],[C-Flex 4000K Eco Part Number]],Lutron_CFlex_Lookup[],MATCH("Lutron Kit PN",Lutron_CFlex_Lookup[#Headers],0),FALSE),"")</f>
        <v>ELD4T8-1M40-q</v>
      </c>
      <c r="AI871" s="1" t="str">
        <f>_xlfn.IFNA(VLOOKUP(Master_Reference[[#This Row],[C-Flex 5000K Eco Part Number]],Lutron_CFlex_Lookup[],MATCH("Lutron Kit PN",Lutron_CFlex_Lookup[#Headers],0),FALSE),"")</f>
        <v>ELD4T8-1M50-q</v>
      </c>
      <c r="AJ871" s="1" t="str">
        <f>_xlfn.IFNA(VLOOKUP(Master_Reference[[#This Row],[C-Flex 3000K 3W Part Number]],Lutron_CFlex_Lookup[],MATCH("Lutron Kit PN",Lutron_CFlex_Lookup[#Headers],0),FALSE),"")</f>
        <v>3LD4T8-1M30-q</v>
      </c>
      <c r="AK871" s="1" t="str">
        <f>_xlfn.IFNA(VLOOKUP(Master_Reference[[#This Row],[C-Flex 3500K 3W Part Number]],Lutron_CFlex_Lookup[],MATCH("Lutron Kit PN",Lutron_CFlex_Lookup[#Headers],0),FALSE),"")</f>
        <v>3LD4T8-1M35-q</v>
      </c>
      <c r="AL871" s="1" t="str">
        <f>_xlfn.IFNA(VLOOKUP(Master_Reference[[#This Row],[C-Flex 4000K 3W Part Number]],Lutron_CFlex_Lookup[],MATCH("Lutron Kit PN",Lutron_CFlex_Lookup[#Headers],0),FALSE),"")</f>
        <v>3LD4T8-1M40-q</v>
      </c>
      <c r="AM871" s="1" t="str">
        <f>_xlfn.IFNA(VLOOKUP(Master_Reference[[#This Row],[C-Flex 5000K 3W Part Number]],Lutron_CFlex_Lookup[],MATCH("Lutron Kit PN",Lutron_CFlex_Lookup[#Headers],0),FALSE),"")</f>
        <v>3LD4T8-1M50-q</v>
      </c>
      <c r="AN871" s="1" t="b">
        <f>NOT(ISNA(VLOOKUP(Master_Reference[[#This Row],[Model Number]],ObsoleteModels[],1,FALSE)))</f>
        <v>1</v>
      </c>
      <c r="AO871" s="1" t="str">
        <f>IF(LEFT(Master_Reference[[#This Row],[Model Number]],1)="U",LEFT(Master_Reference[[#This Row],[Model Number]],4),LEFT(Master_Reference[[#This Row],[Model Number]],3))</f>
        <v>H3D</v>
      </c>
    </row>
    <row r="872" spans="1:41" x14ac:dyDescent="0.25">
      <c r="A872" s="2" t="s">
        <v>1176</v>
      </c>
      <c r="B872" s="1" t="b">
        <v>1</v>
      </c>
      <c r="C872" s="1" t="b">
        <v>1</v>
      </c>
      <c r="G872" s="1" t="b">
        <f>IF(OR(LEFT(RIGHT(Master_Reference[[#This Row],[Model Number]],3),1)="C",LEFT(RIGHT(Master_Reference[[#This Row],[Model Number]],4),1)="C"),TRUE,"")</f>
        <v>1</v>
      </c>
      <c r="H872" s="1" t="str">
        <f>IF(LEFT(Master_Reference[[#This Row],[Model Number]],1)="U",TRUE,"")</f>
        <v/>
      </c>
      <c r="I872" s="1" t="b">
        <f>IF(Master_Reference[[#This Row],[Lamp Type]]="T4","",IF(Master_Reference[[#This Row],[Case Type]]="M","",TRUE))</f>
        <v>1</v>
      </c>
      <c r="J872" s="1" t="str">
        <f t="shared" si="13"/>
        <v>T8</v>
      </c>
      <c r="K872" s="1">
        <v>32</v>
      </c>
      <c r="L872" s="1" t="s">
        <v>118</v>
      </c>
      <c r="M872" s="1">
        <v>1</v>
      </c>
      <c r="N872" s="1" t="s">
        <v>149</v>
      </c>
      <c r="O872" s="1" t="s">
        <v>113</v>
      </c>
      <c r="R872" t="b">
        <f>IF(COUNTBLANK(Master_Reference[[#This Row],[C-Flex 3000K Eco Part Number]:[C-Flex 4000K Eco Part Number]])=3,FALSE,TRUE)</f>
        <v>1</v>
      </c>
      <c r="S872" t="b">
        <f>IF(COUNTBLANK(Master_Reference[[#This Row],[C-Flex 3000K 3W Part Number]:[C-Flex 4000K 3W Part Number]])=3,FALSE,TRUE)</f>
        <v>1</v>
      </c>
      <c r="T872" t="b">
        <f>IF(COUNTBLANK(Master_Reference[[#This Row],[Lutron 3000K Eco Part Number]:[Lutron 4000K Eco Part Number]])=3,FALSE,TRUE)</f>
        <v>1</v>
      </c>
      <c r="U872" t="b">
        <f>IF(COUNTBLANK(Master_Reference[[#This Row],[Lutron 3000K 3W Part Number]:[Lutron 4000K 3W Part Number]])=3,FALSE,TRUE)</f>
        <v>1</v>
      </c>
      <c r="V872" s="12" t="s">
        <v>312</v>
      </c>
      <c r="W872" s="12" t="s">
        <v>313</v>
      </c>
      <c r="X872" s="12" t="s">
        <v>314</v>
      </c>
      <c r="Y872" t="s">
        <v>1744</v>
      </c>
      <c r="Z872" s="12" t="s">
        <v>264</v>
      </c>
      <c r="AA872" s="12" t="s">
        <v>265</v>
      </c>
      <c r="AB872" s="12" t="s">
        <v>266</v>
      </c>
      <c r="AC872" t="s">
        <v>1829</v>
      </c>
      <c r="AD872" t="str">
        <f>SUBSTITUTE(Master_Reference[[#This Row],[C-Flex 4000K Eco Part Number]],"40-","xx-")</f>
        <v>RP-T8-4FT-1L-8xx-E1-M-G2</v>
      </c>
      <c r="AE872" t="str">
        <f>SUBSTITUTE(Master_Reference[[#This Row],[C-Flex 4000K 3W Part Number]],"40-","xx-")</f>
        <v>RP-T8-4FT-1L-8xx-3W-M-G2</v>
      </c>
      <c r="AF872" s="1" t="str">
        <f>_xlfn.IFNA(VLOOKUP(Master_Reference[[#This Row],[C-Flex 3000K Eco Part Number]],Lutron_CFlex_Lookup[],MATCH("Lutron Kit PN",Lutron_CFlex_Lookup[#Headers],0),FALSE),"")</f>
        <v>ELD4T8-1M30-q</v>
      </c>
      <c r="AG872" s="1" t="str">
        <f>_xlfn.IFNA(VLOOKUP(Master_Reference[[#This Row],[C-Flex 3500K Eco Part Number]],Lutron_CFlex_Lookup[],MATCH("Lutron Kit PN",Lutron_CFlex_Lookup[#Headers],0),FALSE),"")</f>
        <v>ELD4T8-1M35-q</v>
      </c>
      <c r="AH872" s="1" t="str">
        <f>_xlfn.IFNA(VLOOKUP(Master_Reference[[#This Row],[C-Flex 4000K Eco Part Number]],Lutron_CFlex_Lookup[],MATCH("Lutron Kit PN",Lutron_CFlex_Lookup[#Headers],0),FALSE),"")</f>
        <v>ELD4T8-1M40-q</v>
      </c>
      <c r="AI872" s="1" t="str">
        <f>_xlfn.IFNA(VLOOKUP(Master_Reference[[#This Row],[C-Flex 5000K Eco Part Number]],Lutron_CFlex_Lookup[],MATCH("Lutron Kit PN",Lutron_CFlex_Lookup[#Headers],0),FALSE),"")</f>
        <v>ELD4T8-1M50-q</v>
      </c>
      <c r="AJ872" s="1" t="str">
        <f>_xlfn.IFNA(VLOOKUP(Master_Reference[[#This Row],[C-Flex 3000K 3W Part Number]],Lutron_CFlex_Lookup[],MATCH("Lutron Kit PN",Lutron_CFlex_Lookup[#Headers],0),FALSE),"")</f>
        <v>3LD4T8-1M30-q</v>
      </c>
      <c r="AK872" s="1" t="str">
        <f>_xlfn.IFNA(VLOOKUP(Master_Reference[[#This Row],[C-Flex 3500K 3W Part Number]],Lutron_CFlex_Lookup[],MATCH("Lutron Kit PN",Lutron_CFlex_Lookup[#Headers],0),FALSE),"")</f>
        <v>3LD4T8-1M35-q</v>
      </c>
      <c r="AL872" s="1" t="str">
        <f>_xlfn.IFNA(VLOOKUP(Master_Reference[[#This Row],[C-Flex 4000K 3W Part Number]],Lutron_CFlex_Lookup[],MATCH("Lutron Kit PN",Lutron_CFlex_Lookup[#Headers],0),FALSE),"")</f>
        <v>3LD4T8-1M40-q</v>
      </c>
      <c r="AM872" s="1" t="str">
        <f>_xlfn.IFNA(VLOOKUP(Master_Reference[[#This Row],[C-Flex 5000K 3W Part Number]],Lutron_CFlex_Lookup[],MATCH("Lutron Kit PN",Lutron_CFlex_Lookup[#Headers],0),FALSE),"")</f>
        <v>3LD4T8-1M50-q</v>
      </c>
      <c r="AN872" s="1" t="b">
        <f>NOT(ISNA(VLOOKUP(Master_Reference[[#This Row],[Model Number]],ObsoleteModels[],1,FALSE)))</f>
        <v>1</v>
      </c>
      <c r="AO872" s="1" t="str">
        <f>IF(LEFT(Master_Reference[[#This Row],[Model Number]],1)="U",LEFT(Master_Reference[[#This Row],[Model Number]],4),LEFT(Master_Reference[[#This Row],[Model Number]],3))</f>
        <v>H3D</v>
      </c>
    </row>
    <row r="873" spans="1:41" x14ac:dyDescent="0.25">
      <c r="A873" s="2" t="s">
        <v>1177</v>
      </c>
      <c r="B873" s="1" t="b">
        <v>1</v>
      </c>
      <c r="C873" s="1" t="b">
        <v>1</v>
      </c>
      <c r="G873" s="1" t="str">
        <f>IF(OR(LEFT(RIGHT(Master_Reference[[#This Row],[Model Number]],3),1)="C",LEFT(RIGHT(Master_Reference[[#This Row],[Model Number]],4),1)="C"),TRUE,"")</f>
        <v/>
      </c>
      <c r="H873" s="1" t="str">
        <f>IF(LEFT(Master_Reference[[#This Row],[Model Number]],1)="U",TRUE,"")</f>
        <v/>
      </c>
      <c r="I873" s="1" t="b">
        <f>IF(Master_Reference[[#This Row],[Lamp Type]]="T4","",IF(Master_Reference[[#This Row],[Case Type]]="M","",TRUE))</f>
        <v>1</v>
      </c>
      <c r="J873" s="1" t="str">
        <f t="shared" si="13"/>
        <v>T8</v>
      </c>
      <c r="K873" s="1">
        <v>32</v>
      </c>
      <c r="L873" s="1" t="s">
        <v>118</v>
      </c>
      <c r="M873" s="1">
        <v>2</v>
      </c>
      <c r="N873" s="1" t="s">
        <v>149</v>
      </c>
      <c r="O873" s="1" t="s">
        <v>113</v>
      </c>
      <c r="R873" t="b">
        <f>IF(COUNTBLANK(Master_Reference[[#This Row],[C-Flex 3000K Eco Part Number]:[C-Flex 4000K Eco Part Number]])=3,FALSE,TRUE)</f>
        <v>1</v>
      </c>
      <c r="S873" t="b">
        <f>IF(COUNTBLANK(Master_Reference[[#This Row],[C-Flex 3000K 3W Part Number]:[C-Flex 4000K 3W Part Number]])=3,FALSE,TRUE)</f>
        <v>1</v>
      </c>
      <c r="T873" t="b">
        <f>IF(COUNTBLANK(Master_Reference[[#This Row],[Lutron 3000K Eco Part Number]:[Lutron 4000K Eco Part Number]])=3,FALSE,TRUE)</f>
        <v>1</v>
      </c>
      <c r="U873" t="b">
        <f>IF(COUNTBLANK(Master_Reference[[#This Row],[Lutron 3000K 3W Part Number]:[Lutron 4000K 3W Part Number]])=3,FALSE,TRUE)</f>
        <v>1</v>
      </c>
      <c r="V873" s="12" t="s">
        <v>316</v>
      </c>
      <c r="W873" s="12" t="s">
        <v>317</v>
      </c>
      <c r="X873" s="12" t="s">
        <v>318</v>
      </c>
      <c r="Y873" t="s">
        <v>1745</v>
      </c>
      <c r="Z873" s="12" t="s">
        <v>145</v>
      </c>
      <c r="AA873" s="12" t="s">
        <v>146</v>
      </c>
      <c r="AB873" s="12" t="s">
        <v>147</v>
      </c>
      <c r="AC873" t="s">
        <v>1830</v>
      </c>
      <c r="AD873" t="str">
        <f>SUBSTITUTE(Master_Reference[[#This Row],[C-Flex 4000K Eco Part Number]],"40-","xx-")</f>
        <v>RP-T8-4FT-2L-8xx-E1-M-G2</v>
      </c>
      <c r="AE873" t="str">
        <f>SUBSTITUTE(Master_Reference[[#This Row],[C-Flex 4000K 3W Part Number]],"40-","xx-")</f>
        <v>RP-T8-4FT-2L-8xx-3W-M-G2</v>
      </c>
      <c r="AF873" s="1" t="str">
        <f>_xlfn.IFNA(VLOOKUP(Master_Reference[[#This Row],[C-Flex 3000K Eco Part Number]],Lutron_CFlex_Lookup[],MATCH("Lutron Kit PN",Lutron_CFlex_Lookup[#Headers],0),FALSE),"")</f>
        <v>ELD4T8-2M30-q</v>
      </c>
      <c r="AG873" s="1" t="str">
        <f>_xlfn.IFNA(VLOOKUP(Master_Reference[[#This Row],[C-Flex 3500K Eco Part Number]],Lutron_CFlex_Lookup[],MATCH("Lutron Kit PN",Lutron_CFlex_Lookup[#Headers],0),FALSE),"")</f>
        <v>ELD4T8-2M35-q</v>
      </c>
      <c r="AH873" s="1" t="str">
        <f>_xlfn.IFNA(VLOOKUP(Master_Reference[[#This Row],[C-Flex 4000K Eco Part Number]],Lutron_CFlex_Lookup[],MATCH("Lutron Kit PN",Lutron_CFlex_Lookup[#Headers],0),FALSE),"")</f>
        <v>ELD4T8-2M40-q</v>
      </c>
      <c r="AI873" s="1" t="str">
        <f>_xlfn.IFNA(VLOOKUP(Master_Reference[[#This Row],[C-Flex 5000K Eco Part Number]],Lutron_CFlex_Lookup[],MATCH("Lutron Kit PN",Lutron_CFlex_Lookup[#Headers],0),FALSE),"")</f>
        <v>ELD4T8-2M50-q</v>
      </c>
      <c r="AJ873" s="1" t="str">
        <f>_xlfn.IFNA(VLOOKUP(Master_Reference[[#This Row],[C-Flex 3000K 3W Part Number]],Lutron_CFlex_Lookup[],MATCH("Lutron Kit PN",Lutron_CFlex_Lookup[#Headers],0),FALSE),"")</f>
        <v>3LD4T8-2M30-q</v>
      </c>
      <c r="AK873" s="1" t="str">
        <f>_xlfn.IFNA(VLOOKUP(Master_Reference[[#This Row],[C-Flex 3500K 3W Part Number]],Lutron_CFlex_Lookup[],MATCH("Lutron Kit PN",Lutron_CFlex_Lookup[#Headers],0),FALSE),"")</f>
        <v>3LD4T8-2M35-q</v>
      </c>
      <c r="AL873" s="1" t="str">
        <f>_xlfn.IFNA(VLOOKUP(Master_Reference[[#This Row],[C-Flex 4000K 3W Part Number]],Lutron_CFlex_Lookup[],MATCH("Lutron Kit PN",Lutron_CFlex_Lookup[#Headers],0),FALSE),"")</f>
        <v>3LD4T8-2M40-q</v>
      </c>
      <c r="AM873" s="1" t="str">
        <f>_xlfn.IFNA(VLOOKUP(Master_Reference[[#This Row],[C-Flex 5000K 3W Part Number]],Lutron_CFlex_Lookup[],MATCH("Lutron Kit PN",Lutron_CFlex_Lookup[#Headers],0),FALSE),"")</f>
        <v>3LD4T8-2M50-q</v>
      </c>
      <c r="AN873" s="1" t="b">
        <f>NOT(ISNA(VLOOKUP(Master_Reference[[#This Row],[Model Number]],ObsoleteModels[],1,FALSE)))</f>
        <v>1</v>
      </c>
      <c r="AO873" s="1" t="str">
        <f>IF(LEFT(Master_Reference[[#This Row],[Model Number]],1)="U",LEFT(Master_Reference[[#This Row],[Model Number]],4),LEFT(Master_Reference[[#This Row],[Model Number]],3))</f>
        <v>H3D</v>
      </c>
    </row>
    <row r="874" spans="1:41" x14ac:dyDescent="0.25">
      <c r="A874" s="2" t="s">
        <v>1178</v>
      </c>
      <c r="B874" s="1" t="b">
        <v>1</v>
      </c>
      <c r="C874" s="1" t="b">
        <v>1</v>
      </c>
      <c r="G874" s="1" t="b">
        <v>1</v>
      </c>
      <c r="H874" s="1" t="str">
        <f>IF(LEFT(Master_Reference[[#This Row],[Model Number]],1)="U",TRUE,"")</f>
        <v/>
      </c>
      <c r="I874" s="1" t="b">
        <f>IF(Master_Reference[[#This Row],[Lamp Type]]="T4","",IF(Master_Reference[[#This Row],[Case Type]]="M","",TRUE))</f>
        <v>1</v>
      </c>
      <c r="J874" s="1" t="str">
        <f t="shared" si="13"/>
        <v>T8</v>
      </c>
      <c r="K874" s="1">
        <v>32</v>
      </c>
      <c r="L874" s="1" t="s">
        <v>118</v>
      </c>
      <c r="M874" s="1">
        <v>2</v>
      </c>
      <c r="N874" s="1" t="s">
        <v>149</v>
      </c>
      <c r="O874" s="1" t="s">
        <v>113</v>
      </c>
      <c r="R874" t="b">
        <f>IF(COUNTBLANK(Master_Reference[[#This Row],[C-Flex 3000K Eco Part Number]:[C-Flex 4000K Eco Part Number]])=3,FALSE,TRUE)</f>
        <v>1</v>
      </c>
      <c r="S874" t="b">
        <f>IF(COUNTBLANK(Master_Reference[[#This Row],[C-Flex 3000K 3W Part Number]:[C-Flex 4000K 3W Part Number]])=3,FALSE,TRUE)</f>
        <v>1</v>
      </c>
      <c r="T874" t="b">
        <f>IF(COUNTBLANK(Master_Reference[[#This Row],[Lutron 3000K Eco Part Number]:[Lutron 4000K Eco Part Number]])=3,FALSE,TRUE)</f>
        <v>1</v>
      </c>
      <c r="U874" t="b">
        <f>IF(COUNTBLANK(Master_Reference[[#This Row],[Lutron 3000K 3W Part Number]:[Lutron 4000K 3W Part Number]])=3,FALSE,TRUE)</f>
        <v>1</v>
      </c>
      <c r="V874" s="12" t="s">
        <v>316</v>
      </c>
      <c r="W874" s="12" t="s">
        <v>317</v>
      </c>
      <c r="X874" s="12" t="s">
        <v>318</v>
      </c>
      <c r="Y874" t="s">
        <v>1745</v>
      </c>
      <c r="Z874" s="12" t="s">
        <v>145</v>
      </c>
      <c r="AA874" s="12" t="s">
        <v>146</v>
      </c>
      <c r="AB874" s="12" t="s">
        <v>147</v>
      </c>
      <c r="AC874" t="s">
        <v>1830</v>
      </c>
      <c r="AD874" t="str">
        <f>SUBSTITUTE(Master_Reference[[#This Row],[C-Flex 4000K Eco Part Number]],"40-","xx-")</f>
        <v>RP-T8-4FT-2L-8xx-E1-M-G2</v>
      </c>
      <c r="AE874" t="str">
        <f>SUBSTITUTE(Master_Reference[[#This Row],[C-Flex 4000K 3W Part Number]],"40-","xx-")</f>
        <v>RP-T8-4FT-2L-8xx-3W-M-G2</v>
      </c>
      <c r="AF874" s="1" t="str">
        <f>_xlfn.IFNA(VLOOKUP(Master_Reference[[#This Row],[C-Flex 3000K Eco Part Number]],Lutron_CFlex_Lookup[],MATCH("Lutron Kit PN",Lutron_CFlex_Lookup[#Headers],0),FALSE),"")</f>
        <v>ELD4T8-2M30-q</v>
      </c>
      <c r="AG874" s="1" t="str">
        <f>_xlfn.IFNA(VLOOKUP(Master_Reference[[#This Row],[C-Flex 3500K Eco Part Number]],Lutron_CFlex_Lookup[],MATCH("Lutron Kit PN",Lutron_CFlex_Lookup[#Headers],0),FALSE),"")</f>
        <v>ELD4T8-2M35-q</v>
      </c>
      <c r="AH874" s="1" t="str">
        <f>_xlfn.IFNA(VLOOKUP(Master_Reference[[#This Row],[C-Flex 4000K Eco Part Number]],Lutron_CFlex_Lookup[],MATCH("Lutron Kit PN",Lutron_CFlex_Lookup[#Headers],0),FALSE),"")</f>
        <v>ELD4T8-2M40-q</v>
      </c>
      <c r="AI874" s="1" t="str">
        <f>_xlfn.IFNA(VLOOKUP(Master_Reference[[#This Row],[C-Flex 5000K Eco Part Number]],Lutron_CFlex_Lookup[],MATCH("Lutron Kit PN",Lutron_CFlex_Lookup[#Headers],0),FALSE),"")</f>
        <v>ELD4T8-2M50-q</v>
      </c>
      <c r="AJ874" s="1" t="str">
        <f>_xlfn.IFNA(VLOOKUP(Master_Reference[[#This Row],[C-Flex 3000K 3W Part Number]],Lutron_CFlex_Lookup[],MATCH("Lutron Kit PN",Lutron_CFlex_Lookup[#Headers],0),FALSE),"")</f>
        <v>3LD4T8-2M30-q</v>
      </c>
      <c r="AK874" s="1" t="str">
        <f>_xlfn.IFNA(VLOOKUP(Master_Reference[[#This Row],[C-Flex 3500K 3W Part Number]],Lutron_CFlex_Lookup[],MATCH("Lutron Kit PN",Lutron_CFlex_Lookup[#Headers],0),FALSE),"")</f>
        <v>3LD4T8-2M35-q</v>
      </c>
      <c r="AL874" s="1" t="str">
        <f>_xlfn.IFNA(VLOOKUP(Master_Reference[[#This Row],[C-Flex 4000K 3W Part Number]],Lutron_CFlex_Lookup[],MATCH("Lutron Kit PN",Lutron_CFlex_Lookup[#Headers],0),FALSE),"")</f>
        <v>3LD4T8-2M40-q</v>
      </c>
      <c r="AM874" s="1" t="str">
        <f>_xlfn.IFNA(VLOOKUP(Master_Reference[[#This Row],[C-Flex 5000K 3W Part Number]],Lutron_CFlex_Lookup[],MATCH("Lutron Kit PN",Lutron_CFlex_Lookup[#Headers],0),FALSE),"")</f>
        <v>3LD4T8-2M50-q</v>
      </c>
      <c r="AN874" s="1" t="b">
        <f>NOT(ISNA(VLOOKUP(Master_Reference[[#This Row],[Model Number]],ObsoleteModels[],1,FALSE)))</f>
        <v>1</v>
      </c>
      <c r="AO874" s="1" t="str">
        <f>IF(LEFT(Master_Reference[[#This Row],[Model Number]],1)="U",LEFT(Master_Reference[[#This Row],[Model Number]],4),LEFT(Master_Reference[[#This Row],[Model Number]],3))</f>
        <v>H3D</v>
      </c>
    </row>
    <row r="875" spans="1:41" x14ac:dyDescent="0.25">
      <c r="A875" s="2" t="s">
        <v>1179</v>
      </c>
      <c r="B875" s="1" t="b">
        <v>1</v>
      </c>
      <c r="C875" s="1" t="b">
        <v>1</v>
      </c>
      <c r="G875" s="1" t="b">
        <f>IF(OR(LEFT(RIGHT(Master_Reference[[#This Row],[Model Number]],3),1)="C",LEFT(RIGHT(Master_Reference[[#This Row],[Model Number]],4),1)="C"),TRUE,"")</f>
        <v>1</v>
      </c>
      <c r="H875" s="1" t="str">
        <f>IF(LEFT(Master_Reference[[#This Row],[Model Number]],1)="U",TRUE,"")</f>
        <v/>
      </c>
      <c r="I875" s="1" t="b">
        <f>IF(Master_Reference[[#This Row],[Lamp Type]]="T4","",IF(Master_Reference[[#This Row],[Case Type]]="M","",TRUE))</f>
        <v>1</v>
      </c>
      <c r="J875" s="1" t="str">
        <f t="shared" si="13"/>
        <v>T8</v>
      </c>
      <c r="K875" s="1">
        <v>32</v>
      </c>
      <c r="L875" s="1" t="s">
        <v>118</v>
      </c>
      <c r="M875" s="1">
        <v>2</v>
      </c>
      <c r="N875" s="1" t="s">
        <v>149</v>
      </c>
      <c r="O875" s="1" t="s">
        <v>113</v>
      </c>
      <c r="R875" t="b">
        <f>IF(COUNTBLANK(Master_Reference[[#This Row],[C-Flex 3000K Eco Part Number]:[C-Flex 4000K Eco Part Number]])=3,FALSE,TRUE)</f>
        <v>1</v>
      </c>
      <c r="S875" t="b">
        <f>IF(COUNTBLANK(Master_Reference[[#This Row],[C-Flex 3000K 3W Part Number]:[C-Flex 4000K 3W Part Number]])=3,FALSE,TRUE)</f>
        <v>1</v>
      </c>
      <c r="T875" t="b">
        <f>IF(COUNTBLANK(Master_Reference[[#This Row],[Lutron 3000K Eco Part Number]:[Lutron 4000K Eco Part Number]])=3,FALSE,TRUE)</f>
        <v>1</v>
      </c>
      <c r="U875" t="b">
        <f>IF(COUNTBLANK(Master_Reference[[#This Row],[Lutron 3000K 3W Part Number]:[Lutron 4000K 3W Part Number]])=3,FALSE,TRUE)</f>
        <v>1</v>
      </c>
      <c r="V875" s="12" t="s">
        <v>316</v>
      </c>
      <c r="W875" s="12" t="s">
        <v>317</v>
      </c>
      <c r="X875" s="12" t="s">
        <v>318</v>
      </c>
      <c r="Y875" t="s">
        <v>1745</v>
      </c>
      <c r="Z875" s="12" t="s">
        <v>145</v>
      </c>
      <c r="AA875" s="12" t="s">
        <v>146</v>
      </c>
      <c r="AB875" s="12" t="s">
        <v>147</v>
      </c>
      <c r="AC875" t="s">
        <v>1830</v>
      </c>
      <c r="AD875" t="str">
        <f>SUBSTITUTE(Master_Reference[[#This Row],[C-Flex 4000K Eco Part Number]],"40-","xx-")</f>
        <v>RP-T8-4FT-2L-8xx-E1-M-G2</v>
      </c>
      <c r="AE875" t="str">
        <f>SUBSTITUTE(Master_Reference[[#This Row],[C-Flex 4000K 3W Part Number]],"40-","xx-")</f>
        <v>RP-T8-4FT-2L-8xx-3W-M-G2</v>
      </c>
      <c r="AF875" s="1" t="str">
        <f>_xlfn.IFNA(VLOOKUP(Master_Reference[[#This Row],[C-Flex 3000K Eco Part Number]],Lutron_CFlex_Lookup[],MATCH("Lutron Kit PN",Lutron_CFlex_Lookup[#Headers],0),FALSE),"")</f>
        <v>ELD4T8-2M30-q</v>
      </c>
      <c r="AG875" s="1" t="str">
        <f>_xlfn.IFNA(VLOOKUP(Master_Reference[[#This Row],[C-Flex 3500K Eco Part Number]],Lutron_CFlex_Lookup[],MATCH("Lutron Kit PN",Lutron_CFlex_Lookup[#Headers],0),FALSE),"")</f>
        <v>ELD4T8-2M35-q</v>
      </c>
      <c r="AH875" s="1" t="str">
        <f>_xlfn.IFNA(VLOOKUP(Master_Reference[[#This Row],[C-Flex 4000K Eco Part Number]],Lutron_CFlex_Lookup[],MATCH("Lutron Kit PN",Lutron_CFlex_Lookup[#Headers],0),FALSE),"")</f>
        <v>ELD4T8-2M40-q</v>
      </c>
      <c r="AI875" s="1" t="str">
        <f>_xlfn.IFNA(VLOOKUP(Master_Reference[[#This Row],[C-Flex 5000K Eco Part Number]],Lutron_CFlex_Lookup[],MATCH("Lutron Kit PN",Lutron_CFlex_Lookup[#Headers],0),FALSE),"")</f>
        <v>ELD4T8-2M50-q</v>
      </c>
      <c r="AJ875" s="1" t="str">
        <f>_xlfn.IFNA(VLOOKUP(Master_Reference[[#This Row],[C-Flex 3000K 3W Part Number]],Lutron_CFlex_Lookup[],MATCH("Lutron Kit PN",Lutron_CFlex_Lookup[#Headers],0),FALSE),"")</f>
        <v>3LD4T8-2M30-q</v>
      </c>
      <c r="AK875" s="1" t="str">
        <f>_xlfn.IFNA(VLOOKUP(Master_Reference[[#This Row],[C-Flex 3500K 3W Part Number]],Lutron_CFlex_Lookup[],MATCH("Lutron Kit PN",Lutron_CFlex_Lookup[#Headers],0),FALSE),"")</f>
        <v>3LD4T8-2M35-q</v>
      </c>
      <c r="AL875" s="1" t="str">
        <f>_xlfn.IFNA(VLOOKUP(Master_Reference[[#This Row],[C-Flex 4000K 3W Part Number]],Lutron_CFlex_Lookup[],MATCH("Lutron Kit PN",Lutron_CFlex_Lookup[#Headers],0),FALSE),"")</f>
        <v>3LD4T8-2M40-q</v>
      </c>
      <c r="AM875" s="1" t="str">
        <f>_xlfn.IFNA(VLOOKUP(Master_Reference[[#This Row],[C-Flex 5000K 3W Part Number]],Lutron_CFlex_Lookup[],MATCH("Lutron Kit PN",Lutron_CFlex_Lookup[#Headers],0),FALSE),"")</f>
        <v>3LD4T8-2M50-q</v>
      </c>
      <c r="AN875" s="1" t="b">
        <f>NOT(ISNA(VLOOKUP(Master_Reference[[#This Row],[Model Number]],ObsoleteModels[],1,FALSE)))</f>
        <v>1</v>
      </c>
      <c r="AO875" s="1" t="str">
        <f>IF(LEFT(Master_Reference[[#This Row],[Model Number]],1)="U",LEFT(Master_Reference[[#This Row],[Model Number]],4),LEFT(Master_Reference[[#This Row],[Model Number]],3))</f>
        <v>H3D</v>
      </c>
    </row>
    <row r="876" spans="1:41" x14ac:dyDescent="0.25">
      <c r="A876" s="2" t="s">
        <v>1180</v>
      </c>
      <c r="B876" s="1" t="b">
        <v>1</v>
      </c>
      <c r="C876" s="1" t="b">
        <v>1</v>
      </c>
      <c r="G876" s="1" t="str">
        <f>IF(OR(LEFT(RIGHT(Master_Reference[[#This Row],[Model Number]],3),1)="C",LEFT(RIGHT(Master_Reference[[#This Row],[Model Number]],4),1)="C"),TRUE,"")</f>
        <v/>
      </c>
      <c r="H876" s="1" t="str">
        <f>IF(LEFT(Master_Reference[[#This Row],[Model Number]],1)="U",TRUE,"")</f>
        <v/>
      </c>
      <c r="I876" s="1" t="b">
        <f>IF(Master_Reference[[#This Row],[Lamp Type]]="T4","",IF(Master_Reference[[#This Row],[Case Type]]="M","",TRUE))</f>
        <v>1</v>
      </c>
      <c r="J876" s="1" t="str">
        <f t="shared" si="13"/>
        <v>T8</v>
      </c>
      <c r="K876" s="1">
        <v>32</v>
      </c>
      <c r="L876" s="1" t="s">
        <v>118</v>
      </c>
      <c r="M876" s="1">
        <v>1</v>
      </c>
      <c r="N876" s="1" t="s">
        <v>149</v>
      </c>
      <c r="O876" s="1" t="s">
        <v>217</v>
      </c>
      <c r="R876" t="b">
        <f>IF(COUNTBLANK(Master_Reference[[#This Row],[C-Flex 3000K Eco Part Number]:[C-Flex 4000K Eco Part Number]])=3,FALSE,TRUE)</f>
        <v>1</v>
      </c>
      <c r="S876" t="b">
        <f>IF(COUNTBLANK(Master_Reference[[#This Row],[C-Flex 3000K 3W Part Number]:[C-Flex 4000K 3W Part Number]])=3,FALSE,TRUE)</f>
        <v>1</v>
      </c>
      <c r="T876" t="b">
        <f>IF(COUNTBLANK(Master_Reference[[#This Row],[Lutron 3000K Eco Part Number]:[Lutron 4000K Eco Part Number]])=3,FALSE,TRUE)</f>
        <v>1</v>
      </c>
      <c r="U876" t="b">
        <f>IF(COUNTBLANK(Master_Reference[[#This Row],[Lutron 3000K 3W Part Number]:[Lutron 4000K 3W Part Number]])=3,FALSE,TRUE)</f>
        <v>1</v>
      </c>
      <c r="V876" s="12" t="s">
        <v>312</v>
      </c>
      <c r="W876" s="12" t="s">
        <v>313</v>
      </c>
      <c r="X876" s="12" t="s">
        <v>314</v>
      </c>
      <c r="Y876" t="s">
        <v>1744</v>
      </c>
      <c r="Z876" s="12" t="s">
        <v>264</v>
      </c>
      <c r="AA876" s="12" t="s">
        <v>265</v>
      </c>
      <c r="AB876" s="12" t="s">
        <v>266</v>
      </c>
      <c r="AC876" t="s">
        <v>1829</v>
      </c>
      <c r="AD876" t="str">
        <f>SUBSTITUTE(Master_Reference[[#This Row],[C-Flex 4000K Eco Part Number]],"40-","xx-")</f>
        <v>RP-T8-4FT-1L-8xx-E1-M-G2</v>
      </c>
      <c r="AE876" t="str">
        <f>SUBSTITUTE(Master_Reference[[#This Row],[C-Flex 4000K 3W Part Number]],"40-","xx-")</f>
        <v>RP-T8-4FT-1L-8xx-3W-M-G2</v>
      </c>
      <c r="AF876" s="1" t="str">
        <f>_xlfn.IFNA(VLOOKUP(Master_Reference[[#This Row],[C-Flex 3000K Eco Part Number]],Lutron_CFlex_Lookup[],MATCH("Lutron Kit PN",Lutron_CFlex_Lookup[#Headers],0),FALSE),"")</f>
        <v>ELD4T8-1M30-q</v>
      </c>
      <c r="AG876" s="1" t="str">
        <f>_xlfn.IFNA(VLOOKUP(Master_Reference[[#This Row],[C-Flex 3500K Eco Part Number]],Lutron_CFlex_Lookup[],MATCH("Lutron Kit PN",Lutron_CFlex_Lookup[#Headers],0),FALSE),"")</f>
        <v>ELD4T8-1M35-q</v>
      </c>
      <c r="AH876" s="1" t="str">
        <f>_xlfn.IFNA(VLOOKUP(Master_Reference[[#This Row],[C-Flex 4000K Eco Part Number]],Lutron_CFlex_Lookup[],MATCH("Lutron Kit PN",Lutron_CFlex_Lookup[#Headers],0),FALSE),"")</f>
        <v>ELD4T8-1M40-q</v>
      </c>
      <c r="AI876" s="1" t="str">
        <f>_xlfn.IFNA(VLOOKUP(Master_Reference[[#This Row],[C-Flex 5000K Eco Part Number]],Lutron_CFlex_Lookup[],MATCH("Lutron Kit PN",Lutron_CFlex_Lookup[#Headers],0),FALSE),"")</f>
        <v>ELD4T8-1M50-q</v>
      </c>
      <c r="AJ876" s="1" t="str">
        <f>_xlfn.IFNA(VLOOKUP(Master_Reference[[#This Row],[C-Flex 3000K 3W Part Number]],Lutron_CFlex_Lookup[],MATCH("Lutron Kit PN",Lutron_CFlex_Lookup[#Headers],0),FALSE),"")</f>
        <v>3LD4T8-1M30-q</v>
      </c>
      <c r="AK876" s="1" t="str">
        <f>_xlfn.IFNA(VLOOKUP(Master_Reference[[#This Row],[C-Flex 3500K 3W Part Number]],Lutron_CFlex_Lookup[],MATCH("Lutron Kit PN",Lutron_CFlex_Lookup[#Headers],0),FALSE),"")</f>
        <v>3LD4T8-1M35-q</v>
      </c>
      <c r="AL876" s="1" t="str">
        <f>_xlfn.IFNA(VLOOKUP(Master_Reference[[#This Row],[C-Flex 4000K 3W Part Number]],Lutron_CFlex_Lookup[],MATCH("Lutron Kit PN",Lutron_CFlex_Lookup[#Headers],0),FALSE),"")</f>
        <v>3LD4T8-1M40-q</v>
      </c>
      <c r="AM876" s="1" t="str">
        <f>_xlfn.IFNA(VLOOKUP(Master_Reference[[#This Row],[C-Flex 5000K 3W Part Number]],Lutron_CFlex_Lookup[],MATCH("Lutron Kit PN",Lutron_CFlex_Lookup[#Headers],0),FALSE),"")</f>
        <v>3LD4T8-1M50-q</v>
      </c>
      <c r="AN876" s="1" t="b">
        <f>NOT(ISNA(VLOOKUP(Master_Reference[[#This Row],[Model Number]],ObsoleteModels[],1,FALSE)))</f>
        <v>1</v>
      </c>
      <c r="AO876" s="1" t="str">
        <f>IF(LEFT(Master_Reference[[#This Row],[Model Number]],1)="U",LEFT(Master_Reference[[#This Row],[Model Number]],4),LEFT(Master_Reference[[#This Row],[Model Number]],3))</f>
        <v>H3D</v>
      </c>
    </row>
    <row r="877" spans="1:41" x14ac:dyDescent="0.25">
      <c r="A877" s="2" t="s">
        <v>1181</v>
      </c>
      <c r="B877" s="1" t="b">
        <v>1</v>
      </c>
      <c r="C877" s="1" t="b">
        <v>1</v>
      </c>
      <c r="G877" s="1" t="str">
        <f>IF(OR(LEFT(RIGHT(Master_Reference[[#This Row],[Model Number]],3),1)="C",LEFT(RIGHT(Master_Reference[[#This Row],[Model Number]],4),1)="C"),TRUE,"")</f>
        <v/>
      </c>
      <c r="H877" s="1" t="str">
        <f>IF(LEFT(Master_Reference[[#This Row],[Model Number]],1)="U",TRUE,"")</f>
        <v/>
      </c>
      <c r="I877" s="1" t="b">
        <f>IF(Master_Reference[[#This Row],[Lamp Type]]="T4","",IF(Master_Reference[[#This Row],[Case Type]]="M","",TRUE))</f>
        <v>1</v>
      </c>
      <c r="J877" s="1" t="str">
        <f t="shared" si="13"/>
        <v>T8</v>
      </c>
      <c r="K877" s="1">
        <v>32</v>
      </c>
      <c r="L877" s="1" t="s">
        <v>118</v>
      </c>
      <c r="M877" s="1">
        <v>1</v>
      </c>
      <c r="N877" s="1" t="s">
        <v>149</v>
      </c>
      <c r="O877" s="1" t="s">
        <v>217</v>
      </c>
      <c r="Q877" s="1" t="s">
        <v>91</v>
      </c>
      <c r="R877" t="b">
        <f>IF(COUNTBLANK(Master_Reference[[#This Row],[C-Flex 3000K Eco Part Number]:[C-Flex 4000K Eco Part Number]])=3,FALSE,TRUE)</f>
        <v>0</v>
      </c>
      <c r="S877" t="b">
        <f>IF(COUNTBLANK(Master_Reference[[#This Row],[C-Flex 3000K 3W Part Number]:[C-Flex 4000K 3W Part Number]])=3,FALSE,TRUE)</f>
        <v>0</v>
      </c>
      <c r="T877" t="b">
        <f>IF(COUNTBLANK(Master_Reference[[#This Row],[Lutron 3000K Eco Part Number]:[Lutron 4000K Eco Part Number]])=3,FALSE,TRUE)</f>
        <v>0</v>
      </c>
      <c r="U877" t="b">
        <f>IF(COUNTBLANK(Master_Reference[[#This Row],[Lutron 3000K 3W Part Number]:[Lutron 4000K 3W Part Number]])=3,FALSE,TRUE)</f>
        <v>0</v>
      </c>
      <c r="V877" s="12"/>
      <c r="W877" s="12"/>
      <c r="X877" s="12"/>
      <c r="Y877" t="s">
        <v>2125</v>
      </c>
      <c r="Z877" s="12"/>
      <c r="AA877" s="12"/>
      <c r="AB877" s="12"/>
      <c r="AC877" t="s">
        <v>2125</v>
      </c>
      <c r="AD877" t="str">
        <f>SUBSTITUTE(Master_Reference[[#This Row],[C-Flex 4000K Eco Part Number]],"40-","xx-")</f>
        <v/>
      </c>
      <c r="AE877" t="str">
        <f>SUBSTITUTE(Master_Reference[[#This Row],[C-Flex 4000K 3W Part Number]],"40-","xx-")</f>
        <v/>
      </c>
      <c r="AF877" s="1" t="str">
        <f>_xlfn.IFNA(VLOOKUP(Master_Reference[[#This Row],[C-Flex 3000K Eco Part Number]],Lutron_CFlex_Lookup[],MATCH("Lutron Kit PN",Lutron_CFlex_Lookup[#Headers],0),FALSE),"")</f>
        <v/>
      </c>
      <c r="AG877" s="1" t="str">
        <f>_xlfn.IFNA(VLOOKUP(Master_Reference[[#This Row],[C-Flex 3500K Eco Part Number]],Lutron_CFlex_Lookup[],MATCH("Lutron Kit PN",Lutron_CFlex_Lookup[#Headers],0),FALSE),"")</f>
        <v/>
      </c>
      <c r="AH877" s="1" t="str">
        <f>_xlfn.IFNA(VLOOKUP(Master_Reference[[#This Row],[C-Flex 4000K Eco Part Number]],Lutron_CFlex_Lookup[],MATCH("Lutron Kit PN",Lutron_CFlex_Lookup[#Headers],0),FALSE),"")</f>
        <v/>
      </c>
      <c r="AI877" s="1" t="str">
        <f>_xlfn.IFNA(VLOOKUP(Master_Reference[[#This Row],[C-Flex 5000K Eco Part Number]],Lutron_CFlex_Lookup[],MATCH("Lutron Kit PN",Lutron_CFlex_Lookup[#Headers],0),FALSE),"")</f>
        <v/>
      </c>
      <c r="AJ877" s="1" t="str">
        <f>_xlfn.IFNA(VLOOKUP(Master_Reference[[#This Row],[C-Flex 3000K 3W Part Number]],Lutron_CFlex_Lookup[],MATCH("Lutron Kit PN",Lutron_CFlex_Lookup[#Headers],0),FALSE),"")</f>
        <v/>
      </c>
      <c r="AK877" s="1" t="str">
        <f>_xlfn.IFNA(VLOOKUP(Master_Reference[[#This Row],[C-Flex 3500K 3W Part Number]],Lutron_CFlex_Lookup[],MATCH("Lutron Kit PN",Lutron_CFlex_Lookup[#Headers],0),FALSE),"")</f>
        <v/>
      </c>
      <c r="AL877" s="1" t="str">
        <f>_xlfn.IFNA(VLOOKUP(Master_Reference[[#This Row],[C-Flex 4000K 3W Part Number]],Lutron_CFlex_Lookup[],MATCH("Lutron Kit PN",Lutron_CFlex_Lookup[#Headers],0),FALSE),"")</f>
        <v/>
      </c>
      <c r="AM877" s="1" t="str">
        <f>_xlfn.IFNA(VLOOKUP(Master_Reference[[#This Row],[C-Flex 5000K 3W Part Number]],Lutron_CFlex_Lookup[],MATCH("Lutron Kit PN",Lutron_CFlex_Lookup[#Headers],0),FALSE),"")</f>
        <v/>
      </c>
      <c r="AN877" s="1" t="b">
        <f>NOT(ISNA(VLOOKUP(Master_Reference[[#This Row],[Model Number]],ObsoleteModels[],1,FALSE)))</f>
        <v>1</v>
      </c>
      <c r="AO877" s="1" t="str">
        <f>IF(LEFT(Master_Reference[[#This Row],[Model Number]],1)="U",LEFT(Master_Reference[[#This Row],[Model Number]],4),LEFT(Master_Reference[[#This Row],[Model Number]],3))</f>
        <v>H3D</v>
      </c>
    </row>
    <row r="878" spans="1:41" x14ac:dyDescent="0.25">
      <c r="A878" s="2" t="s">
        <v>1182</v>
      </c>
      <c r="B878" s="1" t="b">
        <v>1</v>
      </c>
      <c r="C878" s="1" t="b">
        <v>1</v>
      </c>
      <c r="G878" s="1" t="b">
        <v>1</v>
      </c>
      <c r="H878" s="1" t="str">
        <f>IF(LEFT(Master_Reference[[#This Row],[Model Number]],1)="U",TRUE,"")</f>
        <v/>
      </c>
      <c r="I878" s="1" t="b">
        <f>IF(Master_Reference[[#This Row],[Lamp Type]]="T4","",IF(Master_Reference[[#This Row],[Case Type]]="M","",TRUE))</f>
        <v>1</v>
      </c>
      <c r="J878" s="1" t="str">
        <f t="shared" si="13"/>
        <v>T8</v>
      </c>
      <c r="K878" s="1">
        <v>32</v>
      </c>
      <c r="L878" s="1" t="s">
        <v>118</v>
      </c>
      <c r="M878" s="1">
        <v>1</v>
      </c>
      <c r="N878" s="1" t="s">
        <v>149</v>
      </c>
      <c r="O878" s="1" t="s">
        <v>217</v>
      </c>
      <c r="R878" t="b">
        <f>IF(COUNTBLANK(Master_Reference[[#This Row],[C-Flex 3000K Eco Part Number]:[C-Flex 4000K Eco Part Number]])=3,FALSE,TRUE)</f>
        <v>1</v>
      </c>
      <c r="S878" t="b">
        <f>IF(COUNTBLANK(Master_Reference[[#This Row],[C-Flex 3000K 3W Part Number]:[C-Flex 4000K 3W Part Number]])=3,FALSE,TRUE)</f>
        <v>1</v>
      </c>
      <c r="T878" t="b">
        <f>IF(COUNTBLANK(Master_Reference[[#This Row],[Lutron 3000K Eco Part Number]:[Lutron 4000K Eco Part Number]])=3,FALSE,TRUE)</f>
        <v>1</v>
      </c>
      <c r="U878" t="b">
        <f>IF(COUNTBLANK(Master_Reference[[#This Row],[Lutron 3000K 3W Part Number]:[Lutron 4000K 3W Part Number]])=3,FALSE,TRUE)</f>
        <v>1</v>
      </c>
      <c r="V878" s="12" t="s">
        <v>312</v>
      </c>
      <c r="W878" s="12" t="s">
        <v>313</v>
      </c>
      <c r="X878" s="12" t="s">
        <v>314</v>
      </c>
      <c r="Y878" t="s">
        <v>1744</v>
      </c>
      <c r="Z878" s="12" t="s">
        <v>264</v>
      </c>
      <c r="AA878" s="12" t="s">
        <v>265</v>
      </c>
      <c r="AB878" s="12" t="s">
        <v>266</v>
      </c>
      <c r="AC878" t="s">
        <v>1829</v>
      </c>
      <c r="AD878" t="str">
        <f>SUBSTITUTE(Master_Reference[[#This Row],[C-Flex 4000K Eco Part Number]],"40-","xx-")</f>
        <v>RP-T8-4FT-1L-8xx-E1-M-G2</v>
      </c>
      <c r="AE878" t="str">
        <f>SUBSTITUTE(Master_Reference[[#This Row],[C-Flex 4000K 3W Part Number]],"40-","xx-")</f>
        <v>RP-T8-4FT-1L-8xx-3W-M-G2</v>
      </c>
      <c r="AF878" s="1" t="str">
        <f>_xlfn.IFNA(VLOOKUP(Master_Reference[[#This Row],[C-Flex 3000K Eco Part Number]],Lutron_CFlex_Lookup[],MATCH("Lutron Kit PN",Lutron_CFlex_Lookup[#Headers],0),FALSE),"")</f>
        <v>ELD4T8-1M30-q</v>
      </c>
      <c r="AG878" s="1" t="str">
        <f>_xlfn.IFNA(VLOOKUP(Master_Reference[[#This Row],[C-Flex 3500K Eco Part Number]],Lutron_CFlex_Lookup[],MATCH("Lutron Kit PN",Lutron_CFlex_Lookup[#Headers],0),FALSE),"")</f>
        <v>ELD4T8-1M35-q</v>
      </c>
      <c r="AH878" s="1" t="str">
        <f>_xlfn.IFNA(VLOOKUP(Master_Reference[[#This Row],[C-Flex 4000K Eco Part Number]],Lutron_CFlex_Lookup[],MATCH("Lutron Kit PN",Lutron_CFlex_Lookup[#Headers],0),FALSE),"")</f>
        <v>ELD4T8-1M40-q</v>
      </c>
      <c r="AI878" s="1" t="str">
        <f>_xlfn.IFNA(VLOOKUP(Master_Reference[[#This Row],[C-Flex 5000K Eco Part Number]],Lutron_CFlex_Lookup[],MATCH("Lutron Kit PN",Lutron_CFlex_Lookup[#Headers],0),FALSE),"")</f>
        <v>ELD4T8-1M50-q</v>
      </c>
      <c r="AJ878" s="1" t="str">
        <f>_xlfn.IFNA(VLOOKUP(Master_Reference[[#This Row],[C-Flex 3000K 3W Part Number]],Lutron_CFlex_Lookup[],MATCH("Lutron Kit PN",Lutron_CFlex_Lookup[#Headers],0),FALSE),"")</f>
        <v>3LD4T8-1M30-q</v>
      </c>
      <c r="AK878" s="1" t="str">
        <f>_xlfn.IFNA(VLOOKUP(Master_Reference[[#This Row],[C-Flex 3500K 3W Part Number]],Lutron_CFlex_Lookup[],MATCH("Lutron Kit PN",Lutron_CFlex_Lookup[#Headers],0),FALSE),"")</f>
        <v>3LD4T8-1M35-q</v>
      </c>
      <c r="AL878" s="1" t="str">
        <f>_xlfn.IFNA(VLOOKUP(Master_Reference[[#This Row],[C-Flex 4000K 3W Part Number]],Lutron_CFlex_Lookup[],MATCH("Lutron Kit PN",Lutron_CFlex_Lookup[#Headers],0),FALSE),"")</f>
        <v>3LD4T8-1M40-q</v>
      </c>
      <c r="AM878" s="1" t="str">
        <f>_xlfn.IFNA(VLOOKUP(Master_Reference[[#This Row],[C-Flex 5000K 3W Part Number]],Lutron_CFlex_Lookup[],MATCH("Lutron Kit PN",Lutron_CFlex_Lookup[#Headers],0),FALSE),"")</f>
        <v>3LD4T8-1M50-q</v>
      </c>
      <c r="AN878" s="1" t="b">
        <f>NOT(ISNA(VLOOKUP(Master_Reference[[#This Row],[Model Number]],ObsoleteModels[],1,FALSE)))</f>
        <v>1</v>
      </c>
      <c r="AO878" s="1" t="str">
        <f>IF(LEFT(Master_Reference[[#This Row],[Model Number]],1)="U",LEFT(Master_Reference[[#This Row],[Model Number]],4),LEFT(Master_Reference[[#This Row],[Model Number]],3))</f>
        <v>H3D</v>
      </c>
    </row>
    <row r="879" spans="1:41" x14ac:dyDescent="0.25">
      <c r="A879" s="2" t="s">
        <v>1183</v>
      </c>
      <c r="B879" s="1" t="b">
        <v>1</v>
      </c>
      <c r="C879" s="1" t="b">
        <v>1</v>
      </c>
      <c r="G879" s="1" t="str">
        <f>IF(OR(LEFT(RIGHT(Master_Reference[[#This Row],[Model Number]],3),1)="C",LEFT(RIGHT(Master_Reference[[#This Row],[Model Number]],4),1)="C"),TRUE,"")</f>
        <v/>
      </c>
      <c r="H879" s="1" t="str">
        <f>IF(LEFT(Master_Reference[[#This Row],[Model Number]],1)="U",TRUE,"")</f>
        <v/>
      </c>
      <c r="I879" s="1" t="b">
        <f>IF(Master_Reference[[#This Row],[Lamp Type]]="T4","",IF(Master_Reference[[#This Row],[Case Type]]="M","",TRUE))</f>
        <v>1</v>
      </c>
      <c r="J879" s="1" t="str">
        <f t="shared" si="13"/>
        <v>T8</v>
      </c>
      <c r="K879" s="1">
        <v>32</v>
      </c>
      <c r="L879" s="1" t="s">
        <v>118</v>
      </c>
      <c r="M879" s="1">
        <v>2</v>
      </c>
      <c r="N879" s="1" t="s">
        <v>149</v>
      </c>
      <c r="O879" s="1" t="s">
        <v>217</v>
      </c>
      <c r="R879" t="b">
        <f>IF(COUNTBLANK(Master_Reference[[#This Row],[C-Flex 3000K Eco Part Number]:[C-Flex 4000K Eco Part Number]])=3,FALSE,TRUE)</f>
        <v>1</v>
      </c>
      <c r="S879" t="b">
        <f>IF(COUNTBLANK(Master_Reference[[#This Row],[C-Flex 3000K 3W Part Number]:[C-Flex 4000K 3W Part Number]])=3,FALSE,TRUE)</f>
        <v>1</v>
      </c>
      <c r="T879" t="b">
        <f>IF(COUNTBLANK(Master_Reference[[#This Row],[Lutron 3000K Eco Part Number]:[Lutron 4000K Eco Part Number]])=3,FALSE,TRUE)</f>
        <v>1</v>
      </c>
      <c r="U879" t="b">
        <f>IF(COUNTBLANK(Master_Reference[[#This Row],[Lutron 3000K 3W Part Number]:[Lutron 4000K 3W Part Number]])=3,FALSE,TRUE)</f>
        <v>1</v>
      </c>
      <c r="V879" s="12" t="s">
        <v>316</v>
      </c>
      <c r="W879" s="12" t="s">
        <v>317</v>
      </c>
      <c r="X879" s="12" t="s">
        <v>318</v>
      </c>
      <c r="Y879" t="s">
        <v>1745</v>
      </c>
      <c r="Z879" s="12" t="s">
        <v>145</v>
      </c>
      <c r="AA879" s="12" t="s">
        <v>146</v>
      </c>
      <c r="AB879" s="12" t="s">
        <v>147</v>
      </c>
      <c r="AC879" t="s">
        <v>1830</v>
      </c>
      <c r="AD879" t="str">
        <f>SUBSTITUTE(Master_Reference[[#This Row],[C-Flex 4000K Eco Part Number]],"40-","xx-")</f>
        <v>RP-T8-4FT-2L-8xx-E1-M-G2</v>
      </c>
      <c r="AE879" t="str">
        <f>SUBSTITUTE(Master_Reference[[#This Row],[C-Flex 4000K 3W Part Number]],"40-","xx-")</f>
        <v>RP-T8-4FT-2L-8xx-3W-M-G2</v>
      </c>
      <c r="AF879" s="1" t="str">
        <f>_xlfn.IFNA(VLOOKUP(Master_Reference[[#This Row],[C-Flex 3000K Eco Part Number]],Lutron_CFlex_Lookup[],MATCH("Lutron Kit PN",Lutron_CFlex_Lookup[#Headers],0),FALSE),"")</f>
        <v>ELD4T8-2M30-q</v>
      </c>
      <c r="AG879" s="1" t="str">
        <f>_xlfn.IFNA(VLOOKUP(Master_Reference[[#This Row],[C-Flex 3500K Eco Part Number]],Lutron_CFlex_Lookup[],MATCH("Lutron Kit PN",Lutron_CFlex_Lookup[#Headers],0),FALSE),"")</f>
        <v>ELD4T8-2M35-q</v>
      </c>
      <c r="AH879" s="1" t="str">
        <f>_xlfn.IFNA(VLOOKUP(Master_Reference[[#This Row],[C-Flex 4000K Eco Part Number]],Lutron_CFlex_Lookup[],MATCH("Lutron Kit PN",Lutron_CFlex_Lookup[#Headers],0),FALSE),"")</f>
        <v>ELD4T8-2M40-q</v>
      </c>
      <c r="AI879" s="1" t="str">
        <f>_xlfn.IFNA(VLOOKUP(Master_Reference[[#This Row],[C-Flex 5000K Eco Part Number]],Lutron_CFlex_Lookup[],MATCH("Lutron Kit PN",Lutron_CFlex_Lookup[#Headers],0),FALSE),"")</f>
        <v>ELD4T8-2M50-q</v>
      </c>
      <c r="AJ879" s="1" t="str">
        <f>_xlfn.IFNA(VLOOKUP(Master_Reference[[#This Row],[C-Flex 3000K 3W Part Number]],Lutron_CFlex_Lookup[],MATCH("Lutron Kit PN",Lutron_CFlex_Lookup[#Headers],0),FALSE),"")</f>
        <v>3LD4T8-2M30-q</v>
      </c>
      <c r="AK879" s="1" t="str">
        <f>_xlfn.IFNA(VLOOKUP(Master_Reference[[#This Row],[C-Flex 3500K 3W Part Number]],Lutron_CFlex_Lookup[],MATCH("Lutron Kit PN",Lutron_CFlex_Lookup[#Headers],0),FALSE),"")</f>
        <v>3LD4T8-2M35-q</v>
      </c>
      <c r="AL879" s="1" t="str">
        <f>_xlfn.IFNA(VLOOKUP(Master_Reference[[#This Row],[C-Flex 4000K 3W Part Number]],Lutron_CFlex_Lookup[],MATCH("Lutron Kit PN",Lutron_CFlex_Lookup[#Headers],0),FALSE),"")</f>
        <v>3LD4T8-2M40-q</v>
      </c>
      <c r="AM879" s="1" t="str">
        <f>_xlfn.IFNA(VLOOKUP(Master_Reference[[#This Row],[C-Flex 5000K 3W Part Number]],Lutron_CFlex_Lookup[],MATCH("Lutron Kit PN",Lutron_CFlex_Lookup[#Headers],0),FALSE),"")</f>
        <v>3LD4T8-2M50-q</v>
      </c>
      <c r="AN879" s="1" t="b">
        <f>NOT(ISNA(VLOOKUP(Master_Reference[[#This Row],[Model Number]],ObsoleteModels[],1,FALSE)))</f>
        <v>1</v>
      </c>
      <c r="AO879" s="1" t="str">
        <f>IF(LEFT(Master_Reference[[#This Row],[Model Number]],1)="U",LEFT(Master_Reference[[#This Row],[Model Number]],4),LEFT(Master_Reference[[#This Row],[Model Number]],3))</f>
        <v>H3D</v>
      </c>
    </row>
    <row r="880" spans="1:41" x14ac:dyDescent="0.25">
      <c r="A880" s="2" t="s">
        <v>1184</v>
      </c>
      <c r="B880" s="1" t="b">
        <v>1</v>
      </c>
      <c r="C880" s="1" t="b">
        <v>1</v>
      </c>
      <c r="G880" s="1" t="str">
        <f>IF(OR(LEFT(RIGHT(Master_Reference[[#This Row],[Model Number]],3),1)="C",LEFT(RIGHT(Master_Reference[[#This Row],[Model Number]],4),1)="C"),TRUE,"")</f>
        <v/>
      </c>
      <c r="H880" s="1" t="str">
        <f>IF(LEFT(Master_Reference[[#This Row],[Model Number]],1)="U",TRUE,"")</f>
        <v/>
      </c>
      <c r="I880" s="1" t="b">
        <f>IF(Master_Reference[[#This Row],[Lamp Type]]="T4","",IF(Master_Reference[[#This Row],[Case Type]]="M","",TRUE))</f>
        <v>1</v>
      </c>
      <c r="J880" s="1" t="str">
        <f t="shared" si="13"/>
        <v>T8</v>
      </c>
      <c r="K880" s="1">
        <v>32</v>
      </c>
      <c r="L880" s="1" t="s">
        <v>118</v>
      </c>
      <c r="M880" s="1">
        <v>2</v>
      </c>
      <c r="N880" s="1" t="s">
        <v>149</v>
      </c>
      <c r="O880" s="1" t="s">
        <v>217</v>
      </c>
      <c r="Q880" s="1" t="s">
        <v>91</v>
      </c>
      <c r="R880" t="b">
        <f>IF(COUNTBLANK(Master_Reference[[#This Row],[C-Flex 3000K Eco Part Number]:[C-Flex 4000K Eco Part Number]])=3,FALSE,TRUE)</f>
        <v>0</v>
      </c>
      <c r="S880" t="b">
        <f>IF(COUNTBLANK(Master_Reference[[#This Row],[C-Flex 3000K 3W Part Number]:[C-Flex 4000K 3W Part Number]])=3,FALSE,TRUE)</f>
        <v>0</v>
      </c>
      <c r="T880" t="b">
        <f>IF(COUNTBLANK(Master_Reference[[#This Row],[Lutron 3000K Eco Part Number]:[Lutron 4000K Eco Part Number]])=3,FALSE,TRUE)</f>
        <v>0</v>
      </c>
      <c r="U880" t="b">
        <f>IF(COUNTBLANK(Master_Reference[[#This Row],[Lutron 3000K 3W Part Number]:[Lutron 4000K 3W Part Number]])=3,FALSE,TRUE)</f>
        <v>0</v>
      </c>
      <c r="V880" s="12"/>
      <c r="W880" s="12"/>
      <c r="X880" s="12"/>
      <c r="Y880" t="s">
        <v>2125</v>
      </c>
      <c r="Z880" s="12"/>
      <c r="AA880" s="12"/>
      <c r="AB880" s="12"/>
      <c r="AC880" t="s">
        <v>2125</v>
      </c>
      <c r="AD880" t="str">
        <f>SUBSTITUTE(Master_Reference[[#This Row],[C-Flex 4000K Eco Part Number]],"40-","xx-")</f>
        <v/>
      </c>
      <c r="AE880" t="str">
        <f>SUBSTITUTE(Master_Reference[[#This Row],[C-Flex 4000K 3W Part Number]],"40-","xx-")</f>
        <v/>
      </c>
      <c r="AF880" s="1" t="str">
        <f>_xlfn.IFNA(VLOOKUP(Master_Reference[[#This Row],[C-Flex 3000K Eco Part Number]],Lutron_CFlex_Lookup[],MATCH("Lutron Kit PN",Lutron_CFlex_Lookup[#Headers],0),FALSE),"")</f>
        <v/>
      </c>
      <c r="AG880" s="1" t="str">
        <f>_xlfn.IFNA(VLOOKUP(Master_Reference[[#This Row],[C-Flex 3500K Eco Part Number]],Lutron_CFlex_Lookup[],MATCH("Lutron Kit PN",Lutron_CFlex_Lookup[#Headers],0),FALSE),"")</f>
        <v/>
      </c>
      <c r="AH880" s="1" t="str">
        <f>_xlfn.IFNA(VLOOKUP(Master_Reference[[#This Row],[C-Flex 4000K Eco Part Number]],Lutron_CFlex_Lookup[],MATCH("Lutron Kit PN",Lutron_CFlex_Lookup[#Headers],0),FALSE),"")</f>
        <v/>
      </c>
      <c r="AI880" s="1" t="str">
        <f>_xlfn.IFNA(VLOOKUP(Master_Reference[[#This Row],[C-Flex 5000K Eco Part Number]],Lutron_CFlex_Lookup[],MATCH("Lutron Kit PN",Lutron_CFlex_Lookup[#Headers],0),FALSE),"")</f>
        <v/>
      </c>
      <c r="AJ880" s="1" t="str">
        <f>_xlfn.IFNA(VLOOKUP(Master_Reference[[#This Row],[C-Flex 3000K 3W Part Number]],Lutron_CFlex_Lookup[],MATCH("Lutron Kit PN",Lutron_CFlex_Lookup[#Headers],0),FALSE),"")</f>
        <v/>
      </c>
      <c r="AK880" s="1" t="str">
        <f>_xlfn.IFNA(VLOOKUP(Master_Reference[[#This Row],[C-Flex 3500K 3W Part Number]],Lutron_CFlex_Lookup[],MATCH("Lutron Kit PN",Lutron_CFlex_Lookup[#Headers],0),FALSE),"")</f>
        <v/>
      </c>
      <c r="AL880" s="1" t="str">
        <f>_xlfn.IFNA(VLOOKUP(Master_Reference[[#This Row],[C-Flex 4000K 3W Part Number]],Lutron_CFlex_Lookup[],MATCH("Lutron Kit PN",Lutron_CFlex_Lookup[#Headers],0),FALSE),"")</f>
        <v/>
      </c>
      <c r="AM880" s="1" t="str">
        <f>_xlfn.IFNA(VLOOKUP(Master_Reference[[#This Row],[C-Flex 5000K 3W Part Number]],Lutron_CFlex_Lookup[],MATCH("Lutron Kit PN",Lutron_CFlex_Lookup[#Headers],0),FALSE),"")</f>
        <v/>
      </c>
      <c r="AN880" s="1" t="b">
        <f>NOT(ISNA(VLOOKUP(Master_Reference[[#This Row],[Model Number]],ObsoleteModels[],1,FALSE)))</f>
        <v>1</v>
      </c>
      <c r="AO880" s="1" t="str">
        <f>IF(LEFT(Master_Reference[[#This Row],[Model Number]],1)="U",LEFT(Master_Reference[[#This Row],[Model Number]],4),LEFT(Master_Reference[[#This Row],[Model Number]],3))</f>
        <v>H3D</v>
      </c>
    </row>
    <row r="881" spans="1:41" x14ac:dyDescent="0.25">
      <c r="A881" s="2" t="s">
        <v>1185</v>
      </c>
      <c r="B881" s="1" t="b">
        <v>1</v>
      </c>
      <c r="C881" s="1" t="b">
        <v>1</v>
      </c>
      <c r="G881" s="1" t="b">
        <v>1</v>
      </c>
      <c r="H881" s="1" t="str">
        <f>IF(LEFT(Master_Reference[[#This Row],[Model Number]],1)="U",TRUE,"")</f>
        <v/>
      </c>
      <c r="I881" s="1" t="b">
        <f>IF(Master_Reference[[#This Row],[Lamp Type]]="T4","",IF(Master_Reference[[#This Row],[Case Type]]="M","",TRUE))</f>
        <v>1</v>
      </c>
      <c r="J881" s="1" t="str">
        <f t="shared" ref="J881:J894" si="14">RIGHT(LEFT((A881),5),2)</f>
        <v>T8</v>
      </c>
      <c r="K881" s="1">
        <v>32</v>
      </c>
      <c r="L881" s="1" t="s">
        <v>118</v>
      </c>
      <c r="M881" s="1">
        <v>2</v>
      </c>
      <c r="N881" s="1" t="s">
        <v>149</v>
      </c>
      <c r="O881" s="1" t="s">
        <v>217</v>
      </c>
      <c r="R881" t="b">
        <f>IF(COUNTBLANK(Master_Reference[[#This Row],[C-Flex 3000K Eco Part Number]:[C-Flex 4000K Eco Part Number]])=3,FALSE,TRUE)</f>
        <v>1</v>
      </c>
      <c r="S881" t="b">
        <f>IF(COUNTBLANK(Master_Reference[[#This Row],[C-Flex 3000K 3W Part Number]:[C-Flex 4000K 3W Part Number]])=3,FALSE,TRUE)</f>
        <v>1</v>
      </c>
      <c r="T881" t="b">
        <f>IF(COUNTBLANK(Master_Reference[[#This Row],[Lutron 3000K Eco Part Number]:[Lutron 4000K Eco Part Number]])=3,FALSE,TRUE)</f>
        <v>1</v>
      </c>
      <c r="U881" t="b">
        <f>IF(COUNTBLANK(Master_Reference[[#This Row],[Lutron 3000K 3W Part Number]:[Lutron 4000K 3W Part Number]])=3,FALSE,TRUE)</f>
        <v>1</v>
      </c>
      <c r="V881" s="12" t="s">
        <v>316</v>
      </c>
      <c r="W881" s="12" t="s">
        <v>317</v>
      </c>
      <c r="X881" s="12" t="s">
        <v>318</v>
      </c>
      <c r="Y881" t="s">
        <v>1745</v>
      </c>
      <c r="Z881" s="12" t="s">
        <v>145</v>
      </c>
      <c r="AA881" s="12" t="s">
        <v>146</v>
      </c>
      <c r="AB881" s="12" t="s">
        <v>147</v>
      </c>
      <c r="AC881" t="s">
        <v>1830</v>
      </c>
      <c r="AD881" t="str">
        <f>SUBSTITUTE(Master_Reference[[#This Row],[C-Flex 4000K Eco Part Number]],"40-","xx-")</f>
        <v>RP-T8-4FT-2L-8xx-E1-M-G2</v>
      </c>
      <c r="AE881" t="str">
        <f>SUBSTITUTE(Master_Reference[[#This Row],[C-Flex 4000K 3W Part Number]],"40-","xx-")</f>
        <v>RP-T8-4FT-2L-8xx-3W-M-G2</v>
      </c>
      <c r="AF881" s="1" t="str">
        <f>_xlfn.IFNA(VLOOKUP(Master_Reference[[#This Row],[C-Flex 3000K Eco Part Number]],Lutron_CFlex_Lookup[],MATCH("Lutron Kit PN",Lutron_CFlex_Lookup[#Headers],0),FALSE),"")</f>
        <v>ELD4T8-2M30-q</v>
      </c>
      <c r="AG881" s="1" t="str">
        <f>_xlfn.IFNA(VLOOKUP(Master_Reference[[#This Row],[C-Flex 3500K Eco Part Number]],Lutron_CFlex_Lookup[],MATCH("Lutron Kit PN",Lutron_CFlex_Lookup[#Headers],0),FALSE),"")</f>
        <v>ELD4T8-2M35-q</v>
      </c>
      <c r="AH881" s="1" t="str">
        <f>_xlfn.IFNA(VLOOKUP(Master_Reference[[#This Row],[C-Flex 4000K Eco Part Number]],Lutron_CFlex_Lookup[],MATCH("Lutron Kit PN",Lutron_CFlex_Lookup[#Headers],0),FALSE),"")</f>
        <v>ELD4T8-2M40-q</v>
      </c>
      <c r="AI881" s="1" t="str">
        <f>_xlfn.IFNA(VLOOKUP(Master_Reference[[#This Row],[C-Flex 5000K Eco Part Number]],Lutron_CFlex_Lookup[],MATCH("Lutron Kit PN",Lutron_CFlex_Lookup[#Headers],0),FALSE),"")</f>
        <v>ELD4T8-2M50-q</v>
      </c>
      <c r="AJ881" s="1" t="str">
        <f>_xlfn.IFNA(VLOOKUP(Master_Reference[[#This Row],[C-Flex 3000K 3W Part Number]],Lutron_CFlex_Lookup[],MATCH("Lutron Kit PN",Lutron_CFlex_Lookup[#Headers],0),FALSE),"")</f>
        <v>3LD4T8-2M30-q</v>
      </c>
      <c r="AK881" s="1" t="str">
        <f>_xlfn.IFNA(VLOOKUP(Master_Reference[[#This Row],[C-Flex 3500K 3W Part Number]],Lutron_CFlex_Lookup[],MATCH("Lutron Kit PN",Lutron_CFlex_Lookup[#Headers],0),FALSE),"")</f>
        <v>3LD4T8-2M35-q</v>
      </c>
      <c r="AL881" s="1" t="str">
        <f>_xlfn.IFNA(VLOOKUP(Master_Reference[[#This Row],[C-Flex 4000K 3W Part Number]],Lutron_CFlex_Lookup[],MATCH("Lutron Kit PN",Lutron_CFlex_Lookup[#Headers],0),FALSE),"")</f>
        <v>3LD4T8-2M40-q</v>
      </c>
      <c r="AM881" s="1" t="str">
        <f>_xlfn.IFNA(VLOOKUP(Master_Reference[[#This Row],[C-Flex 5000K 3W Part Number]],Lutron_CFlex_Lookup[],MATCH("Lutron Kit PN",Lutron_CFlex_Lookup[#Headers],0),FALSE),"")</f>
        <v>3LD4T8-2M50-q</v>
      </c>
      <c r="AN881" s="1" t="b">
        <f>NOT(ISNA(VLOOKUP(Master_Reference[[#This Row],[Model Number]],ObsoleteModels[],1,FALSE)))</f>
        <v>1</v>
      </c>
      <c r="AO881" s="1" t="str">
        <f>IF(LEFT(Master_Reference[[#This Row],[Model Number]],1)="U",LEFT(Master_Reference[[#This Row],[Model Number]],4),LEFT(Master_Reference[[#This Row],[Model Number]],3))</f>
        <v>H3D</v>
      </c>
    </row>
    <row r="882" spans="1:41" x14ac:dyDescent="0.25">
      <c r="A882" s="2" t="s">
        <v>1186</v>
      </c>
      <c r="B882" s="1" t="b">
        <v>1</v>
      </c>
      <c r="C882" s="1" t="b">
        <v>1</v>
      </c>
      <c r="G882" s="1" t="str">
        <f>IF(OR(LEFT(RIGHT(Master_Reference[[#This Row],[Model Number]],3),1)="C",LEFT(RIGHT(Master_Reference[[#This Row],[Model Number]],4),1)="C"),TRUE,"")</f>
        <v/>
      </c>
      <c r="H882" s="1" t="str">
        <f>IF(LEFT(Master_Reference[[#This Row],[Model Number]],1)="U",TRUE,"")</f>
        <v/>
      </c>
      <c r="I882" s="1" t="b">
        <f>IF(Master_Reference[[#This Row],[Lamp Type]]="T4","",IF(Master_Reference[[#This Row],[Case Type]]="M","",TRUE))</f>
        <v>1</v>
      </c>
      <c r="J882" s="1" t="str">
        <f t="shared" si="14"/>
        <v>T8</v>
      </c>
      <c r="K882" s="1">
        <v>32</v>
      </c>
      <c r="L882" s="1" t="s">
        <v>118</v>
      </c>
      <c r="M882" s="1">
        <v>3</v>
      </c>
      <c r="N882" s="1" t="s">
        <v>149</v>
      </c>
      <c r="O882" s="1" t="s">
        <v>217</v>
      </c>
      <c r="R882" t="b">
        <f>IF(COUNTBLANK(Master_Reference[[#This Row],[C-Flex 3000K Eco Part Number]:[C-Flex 4000K Eco Part Number]])=3,FALSE,TRUE)</f>
        <v>1</v>
      </c>
      <c r="S882" t="b">
        <f>IF(COUNTBLANK(Master_Reference[[#This Row],[C-Flex 3000K 3W Part Number]:[C-Flex 4000K 3W Part Number]])=3,FALSE,TRUE)</f>
        <v>1</v>
      </c>
      <c r="T882" t="b">
        <f>IF(COUNTBLANK(Master_Reference[[#This Row],[Lutron 3000K Eco Part Number]:[Lutron 4000K Eco Part Number]])=3,FALSE,TRUE)</f>
        <v>1</v>
      </c>
      <c r="U882" t="b">
        <f>IF(COUNTBLANK(Master_Reference[[#This Row],[Lutron 3000K 3W Part Number]:[Lutron 4000K 3W Part Number]])=3,FALSE,TRUE)</f>
        <v>1</v>
      </c>
      <c r="V882" s="12" t="s">
        <v>495</v>
      </c>
      <c r="W882" s="12" t="s">
        <v>496</v>
      </c>
      <c r="X882" s="12" t="s">
        <v>497</v>
      </c>
      <c r="Y882" t="s">
        <v>1746</v>
      </c>
      <c r="Z882" s="12" t="s">
        <v>277</v>
      </c>
      <c r="AA882" s="12" t="s">
        <v>278</v>
      </c>
      <c r="AB882" s="12" t="s">
        <v>279</v>
      </c>
      <c r="AC882" t="s">
        <v>1831</v>
      </c>
      <c r="AD882" t="str">
        <f>SUBSTITUTE(Master_Reference[[#This Row],[C-Flex 4000K Eco Part Number]],"40-","xx-")</f>
        <v>RP-T8-4FT-3L-8xx-E1-M-G2</v>
      </c>
      <c r="AE882" t="str">
        <f>SUBSTITUTE(Master_Reference[[#This Row],[C-Flex 4000K 3W Part Number]],"40-","xx-")</f>
        <v>RP-T8-4FT-3L-8xx-3W-M-G2</v>
      </c>
      <c r="AF882" s="1" t="str">
        <f>_xlfn.IFNA(VLOOKUP(Master_Reference[[#This Row],[C-Flex 3000K Eco Part Number]],Lutron_CFlex_Lookup[],MATCH("Lutron Kit PN",Lutron_CFlex_Lookup[#Headers],0),FALSE),"")</f>
        <v>ELD4T8-3M30-q</v>
      </c>
      <c r="AG882" s="1" t="str">
        <f>_xlfn.IFNA(VLOOKUP(Master_Reference[[#This Row],[C-Flex 3500K Eco Part Number]],Lutron_CFlex_Lookup[],MATCH("Lutron Kit PN",Lutron_CFlex_Lookup[#Headers],0),FALSE),"")</f>
        <v>ELD4T8-3M35-q</v>
      </c>
      <c r="AH882" s="1" t="str">
        <f>_xlfn.IFNA(VLOOKUP(Master_Reference[[#This Row],[C-Flex 4000K Eco Part Number]],Lutron_CFlex_Lookup[],MATCH("Lutron Kit PN",Lutron_CFlex_Lookup[#Headers],0),FALSE),"")</f>
        <v>ELD4T8-3M40-q</v>
      </c>
      <c r="AI882" s="1" t="str">
        <f>_xlfn.IFNA(VLOOKUP(Master_Reference[[#This Row],[C-Flex 5000K Eco Part Number]],Lutron_CFlex_Lookup[],MATCH("Lutron Kit PN",Lutron_CFlex_Lookup[#Headers],0),FALSE),"")</f>
        <v>ELD4T8-3M50-q</v>
      </c>
      <c r="AJ882" s="1" t="str">
        <f>_xlfn.IFNA(VLOOKUP(Master_Reference[[#This Row],[C-Flex 3000K 3W Part Number]],Lutron_CFlex_Lookup[],MATCH("Lutron Kit PN",Lutron_CFlex_Lookup[#Headers],0),FALSE),"")</f>
        <v>3LD4T8-3M30-q</v>
      </c>
      <c r="AK882" s="1" t="str">
        <f>_xlfn.IFNA(VLOOKUP(Master_Reference[[#This Row],[C-Flex 3500K 3W Part Number]],Lutron_CFlex_Lookup[],MATCH("Lutron Kit PN",Lutron_CFlex_Lookup[#Headers],0),FALSE),"")</f>
        <v>3LD4T8-3M35-q</v>
      </c>
      <c r="AL882" s="1" t="str">
        <f>_xlfn.IFNA(VLOOKUP(Master_Reference[[#This Row],[C-Flex 4000K 3W Part Number]],Lutron_CFlex_Lookup[],MATCH("Lutron Kit PN",Lutron_CFlex_Lookup[#Headers],0),FALSE),"")</f>
        <v>3LD4T8-3M40-q</v>
      </c>
      <c r="AM882" s="1" t="str">
        <f>_xlfn.IFNA(VLOOKUP(Master_Reference[[#This Row],[C-Flex 5000K 3W Part Number]],Lutron_CFlex_Lookup[],MATCH("Lutron Kit PN",Lutron_CFlex_Lookup[#Headers],0),FALSE),"")</f>
        <v>3LD4T8-3M50-q</v>
      </c>
      <c r="AN882" s="1" t="b">
        <f>NOT(ISNA(VLOOKUP(Master_Reference[[#This Row],[Model Number]],ObsoleteModels[],1,FALSE)))</f>
        <v>1</v>
      </c>
      <c r="AO882" s="1" t="str">
        <f>IF(LEFT(Master_Reference[[#This Row],[Model Number]],1)="U",LEFT(Master_Reference[[#This Row],[Model Number]],4),LEFT(Master_Reference[[#This Row],[Model Number]],3))</f>
        <v>H3D</v>
      </c>
    </row>
    <row r="883" spans="1:41" x14ac:dyDescent="0.25">
      <c r="A883" s="2" t="s">
        <v>1187</v>
      </c>
      <c r="B883" s="1" t="b">
        <v>1</v>
      </c>
      <c r="C883" s="1" t="b">
        <v>1</v>
      </c>
      <c r="G883" s="1" t="str">
        <f>IF(OR(LEFT(RIGHT(Master_Reference[[#This Row],[Model Number]],3),1)="C",LEFT(RIGHT(Master_Reference[[#This Row],[Model Number]],4),1)="C"),TRUE,"")</f>
        <v/>
      </c>
      <c r="H883" s="1" t="str">
        <f>IF(LEFT(Master_Reference[[#This Row],[Model Number]],1)="U",TRUE,"")</f>
        <v/>
      </c>
      <c r="I883" s="1" t="b">
        <f>IF(Master_Reference[[#This Row],[Lamp Type]]="T4","",IF(Master_Reference[[#This Row],[Case Type]]="M","",TRUE))</f>
        <v>1</v>
      </c>
      <c r="J883" s="1" t="str">
        <f t="shared" si="14"/>
        <v>T8</v>
      </c>
      <c r="K883" s="1">
        <v>32</v>
      </c>
      <c r="L883" s="1" t="s">
        <v>118</v>
      </c>
      <c r="M883" s="1">
        <v>3</v>
      </c>
      <c r="N883" s="1" t="s">
        <v>149</v>
      </c>
      <c r="O883" s="1" t="s">
        <v>217</v>
      </c>
      <c r="Q883" s="1" t="s">
        <v>91</v>
      </c>
      <c r="R883" t="b">
        <f>IF(COUNTBLANK(Master_Reference[[#This Row],[C-Flex 3000K Eco Part Number]:[C-Flex 4000K Eco Part Number]])=3,FALSE,TRUE)</f>
        <v>0</v>
      </c>
      <c r="S883" t="b">
        <f>IF(COUNTBLANK(Master_Reference[[#This Row],[C-Flex 3000K 3W Part Number]:[C-Flex 4000K 3W Part Number]])=3,FALSE,TRUE)</f>
        <v>0</v>
      </c>
      <c r="T883" t="b">
        <f>IF(COUNTBLANK(Master_Reference[[#This Row],[Lutron 3000K Eco Part Number]:[Lutron 4000K Eco Part Number]])=3,FALSE,TRUE)</f>
        <v>0</v>
      </c>
      <c r="U883" t="b">
        <f>IF(COUNTBLANK(Master_Reference[[#This Row],[Lutron 3000K 3W Part Number]:[Lutron 4000K 3W Part Number]])=3,FALSE,TRUE)</f>
        <v>0</v>
      </c>
      <c r="V883" s="12"/>
      <c r="W883" s="12"/>
      <c r="X883" s="12"/>
      <c r="Y883" t="s">
        <v>2125</v>
      </c>
      <c r="Z883" s="12"/>
      <c r="AA883" s="12"/>
      <c r="AB883" s="12"/>
      <c r="AC883" t="s">
        <v>2125</v>
      </c>
      <c r="AD883" t="str">
        <f>SUBSTITUTE(Master_Reference[[#This Row],[C-Flex 4000K Eco Part Number]],"40-","xx-")</f>
        <v/>
      </c>
      <c r="AE883" t="str">
        <f>SUBSTITUTE(Master_Reference[[#This Row],[C-Flex 4000K 3W Part Number]],"40-","xx-")</f>
        <v/>
      </c>
      <c r="AF883" s="1" t="str">
        <f>_xlfn.IFNA(VLOOKUP(Master_Reference[[#This Row],[C-Flex 3000K Eco Part Number]],Lutron_CFlex_Lookup[],MATCH("Lutron Kit PN",Lutron_CFlex_Lookup[#Headers],0),FALSE),"")</f>
        <v/>
      </c>
      <c r="AG883" s="1" t="str">
        <f>_xlfn.IFNA(VLOOKUP(Master_Reference[[#This Row],[C-Flex 3500K Eco Part Number]],Lutron_CFlex_Lookup[],MATCH("Lutron Kit PN",Lutron_CFlex_Lookup[#Headers],0),FALSE),"")</f>
        <v/>
      </c>
      <c r="AH883" s="1" t="str">
        <f>_xlfn.IFNA(VLOOKUP(Master_Reference[[#This Row],[C-Flex 4000K Eco Part Number]],Lutron_CFlex_Lookup[],MATCH("Lutron Kit PN",Lutron_CFlex_Lookup[#Headers],0),FALSE),"")</f>
        <v/>
      </c>
      <c r="AI883" s="1" t="str">
        <f>_xlfn.IFNA(VLOOKUP(Master_Reference[[#This Row],[C-Flex 5000K Eco Part Number]],Lutron_CFlex_Lookup[],MATCH("Lutron Kit PN",Lutron_CFlex_Lookup[#Headers],0),FALSE),"")</f>
        <v/>
      </c>
      <c r="AJ883" s="1" t="str">
        <f>_xlfn.IFNA(VLOOKUP(Master_Reference[[#This Row],[C-Flex 3000K 3W Part Number]],Lutron_CFlex_Lookup[],MATCH("Lutron Kit PN",Lutron_CFlex_Lookup[#Headers],0),FALSE),"")</f>
        <v/>
      </c>
      <c r="AK883" s="1" t="str">
        <f>_xlfn.IFNA(VLOOKUP(Master_Reference[[#This Row],[C-Flex 3500K 3W Part Number]],Lutron_CFlex_Lookup[],MATCH("Lutron Kit PN",Lutron_CFlex_Lookup[#Headers],0),FALSE),"")</f>
        <v/>
      </c>
      <c r="AL883" s="1" t="str">
        <f>_xlfn.IFNA(VLOOKUP(Master_Reference[[#This Row],[C-Flex 4000K 3W Part Number]],Lutron_CFlex_Lookup[],MATCH("Lutron Kit PN",Lutron_CFlex_Lookup[#Headers],0),FALSE),"")</f>
        <v/>
      </c>
      <c r="AM883" s="1" t="str">
        <f>_xlfn.IFNA(VLOOKUP(Master_Reference[[#This Row],[C-Flex 5000K 3W Part Number]],Lutron_CFlex_Lookup[],MATCH("Lutron Kit PN",Lutron_CFlex_Lookup[#Headers],0),FALSE),"")</f>
        <v/>
      </c>
      <c r="AN883" s="1" t="b">
        <f>NOT(ISNA(VLOOKUP(Master_Reference[[#This Row],[Model Number]],ObsoleteModels[],1,FALSE)))</f>
        <v>1</v>
      </c>
      <c r="AO883" s="1" t="str">
        <f>IF(LEFT(Master_Reference[[#This Row],[Model Number]],1)="U",LEFT(Master_Reference[[#This Row],[Model Number]],4),LEFT(Master_Reference[[#This Row],[Model Number]],3))</f>
        <v>H3D</v>
      </c>
    </row>
    <row r="884" spans="1:41" x14ac:dyDescent="0.25">
      <c r="A884" s="2" t="s">
        <v>1188</v>
      </c>
      <c r="B884" s="1" t="b">
        <v>1</v>
      </c>
      <c r="C884" s="1" t="b">
        <v>1</v>
      </c>
      <c r="G884" s="1" t="b">
        <v>1</v>
      </c>
      <c r="H884" s="1" t="str">
        <f>IF(LEFT(Master_Reference[[#This Row],[Model Number]],1)="U",TRUE,"")</f>
        <v/>
      </c>
      <c r="I884" s="1" t="b">
        <f>IF(Master_Reference[[#This Row],[Lamp Type]]="T4","",IF(Master_Reference[[#This Row],[Case Type]]="M","",TRUE))</f>
        <v>1</v>
      </c>
      <c r="J884" s="1" t="str">
        <f t="shared" si="14"/>
        <v>T8</v>
      </c>
      <c r="K884" s="1">
        <v>32</v>
      </c>
      <c r="L884" s="1" t="s">
        <v>118</v>
      </c>
      <c r="M884" s="1">
        <v>3</v>
      </c>
      <c r="N884" s="1" t="s">
        <v>149</v>
      </c>
      <c r="O884" s="1" t="s">
        <v>217</v>
      </c>
      <c r="R884" t="b">
        <f>IF(COUNTBLANK(Master_Reference[[#This Row],[C-Flex 3000K Eco Part Number]:[C-Flex 4000K Eco Part Number]])=3,FALSE,TRUE)</f>
        <v>1</v>
      </c>
      <c r="S884" t="b">
        <f>IF(COUNTBLANK(Master_Reference[[#This Row],[C-Flex 3000K 3W Part Number]:[C-Flex 4000K 3W Part Number]])=3,FALSE,TRUE)</f>
        <v>1</v>
      </c>
      <c r="T884" t="b">
        <f>IF(COUNTBLANK(Master_Reference[[#This Row],[Lutron 3000K Eco Part Number]:[Lutron 4000K Eco Part Number]])=3,FALSE,TRUE)</f>
        <v>1</v>
      </c>
      <c r="U884" t="b">
        <f>IF(COUNTBLANK(Master_Reference[[#This Row],[Lutron 3000K 3W Part Number]:[Lutron 4000K 3W Part Number]])=3,FALSE,TRUE)</f>
        <v>1</v>
      </c>
      <c r="V884" s="12" t="s">
        <v>495</v>
      </c>
      <c r="W884" s="12" t="s">
        <v>496</v>
      </c>
      <c r="X884" s="12" t="s">
        <v>497</v>
      </c>
      <c r="Y884" t="s">
        <v>1746</v>
      </c>
      <c r="Z884" s="12" t="s">
        <v>277</v>
      </c>
      <c r="AA884" s="12" t="s">
        <v>278</v>
      </c>
      <c r="AB884" s="12" t="s">
        <v>279</v>
      </c>
      <c r="AC884" t="s">
        <v>1831</v>
      </c>
      <c r="AD884" t="str">
        <f>SUBSTITUTE(Master_Reference[[#This Row],[C-Flex 4000K Eco Part Number]],"40-","xx-")</f>
        <v>RP-T8-4FT-3L-8xx-E1-M-G2</v>
      </c>
      <c r="AE884" t="str">
        <f>SUBSTITUTE(Master_Reference[[#This Row],[C-Flex 4000K 3W Part Number]],"40-","xx-")</f>
        <v>RP-T8-4FT-3L-8xx-3W-M-G2</v>
      </c>
      <c r="AF884" s="1" t="str">
        <f>_xlfn.IFNA(VLOOKUP(Master_Reference[[#This Row],[C-Flex 3000K Eco Part Number]],Lutron_CFlex_Lookup[],MATCH("Lutron Kit PN",Lutron_CFlex_Lookup[#Headers],0),FALSE),"")</f>
        <v>ELD4T8-3M30-q</v>
      </c>
      <c r="AG884" s="1" t="str">
        <f>_xlfn.IFNA(VLOOKUP(Master_Reference[[#This Row],[C-Flex 3500K Eco Part Number]],Lutron_CFlex_Lookup[],MATCH("Lutron Kit PN",Lutron_CFlex_Lookup[#Headers],0),FALSE),"")</f>
        <v>ELD4T8-3M35-q</v>
      </c>
      <c r="AH884" s="1" t="str">
        <f>_xlfn.IFNA(VLOOKUP(Master_Reference[[#This Row],[C-Flex 4000K Eco Part Number]],Lutron_CFlex_Lookup[],MATCH("Lutron Kit PN",Lutron_CFlex_Lookup[#Headers],0),FALSE),"")</f>
        <v>ELD4T8-3M40-q</v>
      </c>
      <c r="AI884" s="1" t="str">
        <f>_xlfn.IFNA(VLOOKUP(Master_Reference[[#This Row],[C-Flex 5000K Eco Part Number]],Lutron_CFlex_Lookup[],MATCH("Lutron Kit PN",Lutron_CFlex_Lookup[#Headers],0),FALSE),"")</f>
        <v>ELD4T8-3M50-q</v>
      </c>
      <c r="AJ884" s="1" t="str">
        <f>_xlfn.IFNA(VLOOKUP(Master_Reference[[#This Row],[C-Flex 3000K 3W Part Number]],Lutron_CFlex_Lookup[],MATCH("Lutron Kit PN",Lutron_CFlex_Lookup[#Headers],0),FALSE),"")</f>
        <v>3LD4T8-3M30-q</v>
      </c>
      <c r="AK884" s="1" t="str">
        <f>_xlfn.IFNA(VLOOKUP(Master_Reference[[#This Row],[C-Flex 3500K 3W Part Number]],Lutron_CFlex_Lookup[],MATCH("Lutron Kit PN",Lutron_CFlex_Lookup[#Headers],0),FALSE),"")</f>
        <v>3LD4T8-3M35-q</v>
      </c>
      <c r="AL884" s="1" t="str">
        <f>_xlfn.IFNA(VLOOKUP(Master_Reference[[#This Row],[C-Flex 4000K 3W Part Number]],Lutron_CFlex_Lookup[],MATCH("Lutron Kit PN",Lutron_CFlex_Lookup[#Headers],0),FALSE),"")</f>
        <v>3LD4T8-3M40-q</v>
      </c>
      <c r="AM884" s="1" t="str">
        <f>_xlfn.IFNA(VLOOKUP(Master_Reference[[#This Row],[C-Flex 5000K 3W Part Number]],Lutron_CFlex_Lookup[],MATCH("Lutron Kit PN",Lutron_CFlex_Lookup[#Headers],0),FALSE),"")</f>
        <v>3LD4T8-3M50-q</v>
      </c>
      <c r="AN884" s="1" t="b">
        <f>NOT(ISNA(VLOOKUP(Master_Reference[[#This Row],[Model Number]],ObsoleteModels[],1,FALSE)))</f>
        <v>1</v>
      </c>
      <c r="AO884" s="1" t="str">
        <f>IF(LEFT(Master_Reference[[#This Row],[Model Number]],1)="U",LEFT(Master_Reference[[#This Row],[Model Number]],4),LEFT(Master_Reference[[#This Row],[Model Number]],3))</f>
        <v>H3D</v>
      </c>
    </row>
    <row r="885" spans="1:41" x14ac:dyDescent="0.25">
      <c r="A885" s="2" t="s">
        <v>1189</v>
      </c>
      <c r="B885" s="1" t="b">
        <v>1</v>
      </c>
      <c r="C885" s="1" t="b">
        <v>1</v>
      </c>
      <c r="G885" s="1" t="b">
        <f>IF(OR(LEFT(RIGHT(Master_Reference[[#This Row],[Model Number]],3),1)="C",LEFT(RIGHT(Master_Reference[[#This Row],[Model Number]],4),1)="C"),TRUE,"")</f>
        <v>1</v>
      </c>
      <c r="H885" s="1" t="str">
        <f>IF(LEFT(Master_Reference[[#This Row],[Model Number]],1)="U",TRUE,"")</f>
        <v/>
      </c>
      <c r="I885" s="1" t="b">
        <f>IF(Master_Reference[[#This Row],[Lamp Type]]="T4","",IF(Master_Reference[[#This Row],[Case Type]]="M","",TRUE))</f>
        <v>1</v>
      </c>
      <c r="J885" s="1" t="str">
        <f t="shared" si="14"/>
        <v>T8</v>
      </c>
      <c r="K885" s="1">
        <v>32</v>
      </c>
      <c r="L885" s="1" t="s">
        <v>118</v>
      </c>
      <c r="M885" s="1">
        <v>3</v>
      </c>
      <c r="N885" s="1" t="s">
        <v>149</v>
      </c>
      <c r="O885" s="1" t="s">
        <v>217</v>
      </c>
      <c r="R885" t="b">
        <f>IF(COUNTBLANK(Master_Reference[[#This Row],[C-Flex 3000K Eco Part Number]:[C-Flex 4000K Eco Part Number]])=3,FALSE,TRUE)</f>
        <v>1</v>
      </c>
      <c r="S885" t="b">
        <f>IF(COUNTBLANK(Master_Reference[[#This Row],[C-Flex 3000K 3W Part Number]:[C-Flex 4000K 3W Part Number]])=3,FALSE,TRUE)</f>
        <v>1</v>
      </c>
      <c r="T885" t="b">
        <f>IF(COUNTBLANK(Master_Reference[[#This Row],[Lutron 3000K Eco Part Number]:[Lutron 4000K Eco Part Number]])=3,FALSE,TRUE)</f>
        <v>1</v>
      </c>
      <c r="U885" t="b">
        <f>IF(COUNTBLANK(Master_Reference[[#This Row],[Lutron 3000K 3W Part Number]:[Lutron 4000K 3W Part Number]])=3,FALSE,TRUE)</f>
        <v>1</v>
      </c>
      <c r="V885" s="12" t="s">
        <v>495</v>
      </c>
      <c r="W885" s="12" t="s">
        <v>496</v>
      </c>
      <c r="X885" s="12" t="s">
        <v>497</v>
      </c>
      <c r="Y885" t="s">
        <v>1746</v>
      </c>
      <c r="Z885" s="12" t="s">
        <v>277</v>
      </c>
      <c r="AA885" s="12" t="s">
        <v>278</v>
      </c>
      <c r="AB885" s="12" t="s">
        <v>279</v>
      </c>
      <c r="AC885" t="s">
        <v>1831</v>
      </c>
      <c r="AD885" t="str">
        <f>SUBSTITUTE(Master_Reference[[#This Row],[C-Flex 4000K Eco Part Number]],"40-","xx-")</f>
        <v>RP-T8-4FT-3L-8xx-E1-M-G2</v>
      </c>
      <c r="AE885" t="str">
        <f>SUBSTITUTE(Master_Reference[[#This Row],[C-Flex 4000K 3W Part Number]],"40-","xx-")</f>
        <v>RP-T8-4FT-3L-8xx-3W-M-G2</v>
      </c>
      <c r="AF885" s="1" t="str">
        <f>_xlfn.IFNA(VLOOKUP(Master_Reference[[#This Row],[C-Flex 3000K Eco Part Number]],Lutron_CFlex_Lookup[],MATCH("Lutron Kit PN",Lutron_CFlex_Lookup[#Headers],0),FALSE),"")</f>
        <v>ELD4T8-3M30-q</v>
      </c>
      <c r="AG885" s="1" t="str">
        <f>_xlfn.IFNA(VLOOKUP(Master_Reference[[#This Row],[C-Flex 3500K Eco Part Number]],Lutron_CFlex_Lookup[],MATCH("Lutron Kit PN",Lutron_CFlex_Lookup[#Headers],0),FALSE),"")</f>
        <v>ELD4T8-3M35-q</v>
      </c>
      <c r="AH885" s="1" t="str">
        <f>_xlfn.IFNA(VLOOKUP(Master_Reference[[#This Row],[C-Flex 4000K Eco Part Number]],Lutron_CFlex_Lookup[],MATCH("Lutron Kit PN",Lutron_CFlex_Lookup[#Headers],0),FALSE),"")</f>
        <v>ELD4T8-3M40-q</v>
      </c>
      <c r="AI885" s="1" t="str">
        <f>_xlfn.IFNA(VLOOKUP(Master_Reference[[#This Row],[C-Flex 5000K Eco Part Number]],Lutron_CFlex_Lookup[],MATCH("Lutron Kit PN",Lutron_CFlex_Lookup[#Headers],0),FALSE),"")</f>
        <v>ELD4T8-3M50-q</v>
      </c>
      <c r="AJ885" s="1" t="str">
        <f>_xlfn.IFNA(VLOOKUP(Master_Reference[[#This Row],[C-Flex 3000K 3W Part Number]],Lutron_CFlex_Lookup[],MATCH("Lutron Kit PN",Lutron_CFlex_Lookup[#Headers],0),FALSE),"")</f>
        <v>3LD4T8-3M30-q</v>
      </c>
      <c r="AK885" s="1" t="str">
        <f>_xlfn.IFNA(VLOOKUP(Master_Reference[[#This Row],[C-Flex 3500K 3W Part Number]],Lutron_CFlex_Lookup[],MATCH("Lutron Kit PN",Lutron_CFlex_Lookup[#Headers],0),FALSE),"")</f>
        <v>3LD4T8-3M35-q</v>
      </c>
      <c r="AL885" s="1" t="str">
        <f>_xlfn.IFNA(VLOOKUP(Master_Reference[[#This Row],[C-Flex 4000K 3W Part Number]],Lutron_CFlex_Lookup[],MATCH("Lutron Kit PN",Lutron_CFlex_Lookup[#Headers],0),FALSE),"")</f>
        <v>3LD4T8-3M40-q</v>
      </c>
      <c r="AM885" s="1" t="str">
        <f>_xlfn.IFNA(VLOOKUP(Master_Reference[[#This Row],[C-Flex 5000K 3W Part Number]],Lutron_CFlex_Lookup[],MATCH("Lutron Kit PN",Lutron_CFlex_Lookup[#Headers],0),FALSE),"")</f>
        <v>3LD4T8-3M50-q</v>
      </c>
      <c r="AN885" s="1" t="b">
        <f>NOT(ISNA(VLOOKUP(Master_Reference[[#This Row],[Model Number]],ObsoleteModels[],1,FALSE)))</f>
        <v>1</v>
      </c>
      <c r="AO885" s="1" t="str">
        <f>IF(LEFT(Master_Reference[[#This Row],[Model Number]],1)="U",LEFT(Master_Reference[[#This Row],[Model Number]],4),LEFT(Master_Reference[[#This Row],[Model Number]],3))</f>
        <v>H3D</v>
      </c>
    </row>
    <row r="886" spans="1:41" x14ac:dyDescent="0.25">
      <c r="A886" s="2" t="s">
        <v>1190</v>
      </c>
      <c r="B886" s="1" t="b">
        <v>1</v>
      </c>
      <c r="C886" s="1" t="b">
        <v>1</v>
      </c>
      <c r="G886" s="1" t="str">
        <f>IF(OR(LEFT(RIGHT(Master_Reference[[#This Row],[Model Number]],3),1)="C",LEFT(RIGHT(Master_Reference[[#This Row],[Model Number]],4),1)="C"),TRUE,"")</f>
        <v/>
      </c>
      <c r="H886" s="1" t="str">
        <f>IF(LEFT(Master_Reference[[#This Row],[Model Number]],1)="U",TRUE,"")</f>
        <v/>
      </c>
      <c r="I886" s="1" t="b">
        <f>IF(Master_Reference[[#This Row],[Lamp Type]]="T4","",IF(Master_Reference[[#This Row],[Case Type]]="M","",TRUE))</f>
        <v>1</v>
      </c>
      <c r="J886" s="1" t="str">
        <f t="shared" si="14"/>
        <v>T8</v>
      </c>
      <c r="K886" s="1">
        <v>32</v>
      </c>
      <c r="L886" s="1" t="s">
        <v>118</v>
      </c>
      <c r="M886" s="1">
        <v>3</v>
      </c>
      <c r="N886" s="1" t="s">
        <v>149</v>
      </c>
      <c r="O886" s="1" t="s">
        <v>217</v>
      </c>
      <c r="R886" t="b">
        <f>IF(COUNTBLANK(Master_Reference[[#This Row],[C-Flex 3000K Eco Part Number]:[C-Flex 4000K Eco Part Number]])=3,FALSE,TRUE)</f>
        <v>1</v>
      </c>
      <c r="S886" t="b">
        <f>IF(COUNTBLANK(Master_Reference[[#This Row],[C-Flex 3000K 3W Part Number]:[C-Flex 4000K 3W Part Number]])=3,FALSE,TRUE)</f>
        <v>1</v>
      </c>
      <c r="T886" t="b">
        <f>IF(COUNTBLANK(Master_Reference[[#This Row],[Lutron 3000K Eco Part Number]:[Lutron 4000K Eco Part Number]])=3,FALSE,TRUE)</f>
        <v>1</v>
      </c>
      <c r="U886" t="b">
        <f>IF(COUNTBLANK(Master_Reference[[#This Row],[Lutron 3000K 3W Part Number]:[Lutron 4000K 3W Part Number]])=3,FALSE,TRUE)</f>
        <v>1</v>
      </c>
      <c r="V886" s="12" t="s">
        <v>495</v>
      </c>
      <c r="W886" s="12" t="s">
        <v>496</v>
      </c>
      <c r="X886" s="12" t="s">
        <v>497</v>
      </c>
      <c r="Y886" t="s">
        <v>1746</v>
      </c>
      <c r="Z886" s="12" t="s">
        <v>277</v>
      </c>
      <c r="AA886" s="12" t="s">
        <v>278</v>
      </c>
      <c r="AB886" s="12" t="s">
        <v>279</v>
      </c>
      <c r="AC886" t="s">
        <v>1831</v>
      </c>
      <c r="AD886" t="str">
        <f>SUBSTITUTE(Master_Reference[[#This Row],[C-Flex 4000K Eco Part Number]],"40-","xx-")</f>
        <v>RP-T8-4FT-3L-8xx-E1-M-G2</v>
      </c>
      <c r="AE886" t="str">
        <f>SUBSTITUTE(Master_Reference[[#This Row],[C-Flex 4000K 3W Part Number]],"40-","xx-")</f>
        <v>RP-T8-4FT-3L-8xx-3W-M-G2</v>
      </c>
      <c r="AF886" s="1" t="str">
        <f>_xlfn.IFNA(VLOOKUP(Master_Reference[[#This Row],[C-Flex 3000K Eco Part Number]],Lutron_CFlex_Lookup[],MATCH("Lutron Kit PN",Lutron_CFlex_Lookup[#Headers],0),FALSE),"")</f>
        <v>ELD4T8-3M30-q</v>
      </c>
      <c r="AG886" s="1" t="str">
        <f>_xlfn.IFNA(VLOOKUP(Master_Reference[[#This Row],[C-Flex 3500K Eco Part Number]],Lutron_CFlex_Lookup[],MATCH("Lutron Kit PN",Lutron_CFlex_Lookup[#Headers],0),FALSE),"")</f>
        <v>ELD4T8-3M35-q</v>
      </c>
      <c r="AH886" s="1" t="str">
        <f>_xlfn.IFNA(VLOOKUP(Master_Reference[[#This Row],[C-Flex 4000K Eco Part Number]],Lutron_CFlex_Lookup[],MATCH("Lutron Kit PN",Lutron_CFlex_Lookup[#Headers],0),FALSE),"")</f>
        <v>ELD4T8-3M40-q</v>
      </c>
      <c r="AI886" s="1" t="str">
        <f>_xlfn.IFNA(VLOOKUP(Master_Reference[[#This Row],[C-Flex 5000K Eco Part Number]],Lutron_CFlex_Lookup[],MATCH("Lutron Kit PN",Lutron_CFlex_Lookup[#Headers],0),FALSE),"")</f>
        <v>ELD4T8-3M50-q</v>
      </c>
      <c r="AJ886" s="1" t="str">
        <f>_xlfn.IFNA(VLOOKUP(Master_Reference[[#This Row],[C-Flex 3000K 3W Part Number]],Lutron_CFlex_Lookup[],MATCH("Lutron Kit PN",Lutron_CFlex_Lookup[#Headers],0),FALSE),"")</f>
        <v>3LD4T8-3M30-q</v>
      </c>
      <c r="AK886" s="1" t="str">
        <f>_xlfn.IFNA(VLOOKUP(Master_Reference[[#This Row],[C-Flex 3500K 3W Part Number]],Lutron_CFlex_Lookup[],MATCH("Lutron Kit PN",Lutron_CFlex_Lookup[#Headers],0),FALSE),"")</f>
        <v>3LD4T8-3M35-q</v>
      </c>
      <c r="AL886" s="1" t="str">
        <f>_xlfn.IFNA(VLOOKUP(Master_Reference[[#This Row],[C-Flex 4000K 3W Part Number]],Lutron_CFlex_Lookup[],MATCH("Lutron Kit PN",Lutron_CFlex_Lookup[#Headers],0),FALSE),"")</f>
        <v>3LD4T8-3M40-q</v>
      </c>
      <c r="AM886" s="1" t="str">
        <f>_xlfn.IFNA(VLOOKUP(Master_Reference[[#This Row],[C-Flex 5000K 3W Part Number]],Lutron_CFlex_Lookup[],MATCH("Lutron Kit PN",Lutron_CFlex_Lookup[#Headers],0),FALSE),"")</f>
        <v>3LD4T8-3M50-q</v>
      </c>
      <c r="AN886" s="1" t="b">
        <f>NOT(ISNA(VLOOKUP(Master_Reference[[#This Row],[Model Number]],ObsoleteModels[],1,FALSE)))</f>
        <v>1</v>
      </c>
      <c r="AO886" s="1" t="str">
        <f>IF(LEFT(Master_Reference[[#This Row],[Model Number]],1)="U",LEFT(Master_Reference[[#This Row],[Model Number]],4),LEFT(Master_Reference[[#This Row],[Model Number]],3))</f>
        <v>H3D</v>
      </c>
    </row>
    <row r="887" spans="1:41" x14ac:dyDescent="0.25">
      <c r="A887" s="2" t="s">
        <v>1191</v>
      </c>
      <c r="B887" s="1" t="b">
        <v>1</v>
      </c>
      <c r="C887" s="1" t="b">
        <v>1</v>
      </c>
      <c r="G887" s="1" t="b">
        <v>1</v>
      </c>
      <c r="H887" s="1" t="str">
        <f>IF(LEFT(Master_Reference[[#This Row],[Model Number]],1)="U",TRUE,"")</f>
        <v/>
      </c>
      <c r="I887" s="1" t="b">
        <f>IF(Master_Reference[[#This Row],[Lamp Type]]="T4","",IF(Master_Reference[[#This Row],[Case Type]]="M","",TRUE))</f>
        <v>1</v>
      </c>
      <c r="J887" s="1" t="str">
        <f t="shared" si="14"/>
        <v>T8</v>
      </c>
      <c r="K887" s="1">
        <v>32</v>
      </c>
      <c r="L887" s="1" t="s">
        <v>118</v>
      </c>
      <c r="M887" s="1">
        <v>3</v>
      </c>
      <c r="N887" s="1" t="s">
        <v>149</v>
      </c>
      <c r="O887" s="1" t="s">
        <v>217</v>
      </c>
      <c r="R887" t="b">
        <f>IF(COUNTBLANK(Master_Reference[[#This Row],[C-Flex 3000K Eco Part Number]:[C-Flex 4000K Eco Part Number]])=3,FALSE,TRUE)</f>
        <v>1</v>
      </c>
      <c r="S887" t="b">
        <f>IF(COUNTBLANK(Master_Reference[[#This Row],[C-Flex 3000K 3W Part Number]:[C-Flex 4000K 3W Part Number]])=3,FALSE,TRUE)</f>
        <v>1</v>
      </c>
      <c r="T887" t="b">
        <f>IF(COUNTBLANK(Master_Reference[[#This Row],[Lutron 3000K Eco Part Number]:[Lutron 4000K Eco Part Number]])=3,FALSE,TRUE)</f>
        <v>1</v>
      </c>
      <c r="U887" t="b">
        <f>IF(COUNTBLANK(Master_Reference[[#This Row],[Lutron 3000K 3W Part Number]:[Lutron 4000K 3W Part Number]])=3,FALSE,TRUE)</f>
        <v>1</v>
      </c>
      <c r="V887" s="12" t="s">
        <v>495</v>
      </c>
      <c r="W887" s="12" t="s">
        <v>496</v>
      </c>
      <c r="X887" s="12" t="s">
        <v>497</v>
      </c>
      <c r="Y887" t="s">
        <v>1746</v>
      </c>
      <c r="Z887" s="12" t="s">
        <v>277</v>
      </c>
      <c r="AA887" s="12" t="s">
        <v>278</v>
      </c>
      <c r="AB887" s="12" t="s">
        <v>279</v>
      </c>
      <c r="AC887" t="s">
        <v>1831</v>
      </c>
      <c r="AD887" t="str">
        <f>SUBSTITUTE(Master_Reference[[#This Row],[C-Flex 4000K Eco Part Number]],"40-","xx-")</f>
        <v>RP-T8-4FT-3L-8xx-E1-M-G2</v>
      </c>
      <c r="AE887" t="str">
        <f>SUBSTITUTE(Master_Reference[[#This Row],[C-Flex 4000K 3W Part Number]],"40-","xx-")</f>
        <v>RP-T8-4FT-3L-8xx-3W-M-G2</v>
      </c>
      <c r="AF887" s="1" t="str">
        <f>_xlfn.IFNA(VLOOKUP(Master_Reference[[#This Row],[C-Flex 3000K Eco Part Number]],Lutron_CFlex_Lookup[],MATCH("Lutron Kit PN",Lutron_CFlex_Lookup[#Headers],0),FALSE),"")</f>
        <v>ELD4T8-3M30-q</v>
      </c>
      <c r="AG887" s="1" t="str">
        <f>_xlfn.IFNA(VLOOKUP(Master_Reference[[#This Row],[C-Flex 3500K Eco Part Number]],Lutron_CFlex_Lookup[],MATCH("Lutron Kit PN",Lutron_CFlex_Lookup[#Headers],0),FALSE),"")</f>
        <v>ELD4T8-3M35-q</v>
      </c>
      <c r="AH887" s="1" t="str">
        <f>_xlfn.IFNA(VLOOKUP(Master_Reference[[#This Row],[C-Flex 4000K Eco Part Number]],Lutron_CFlex_Lookup[],MATCH("Lutron Kit PN",Lutron_CFlex_Lookup[#Headers],0),FALSE),"")</f>
        <v>ELD4T8-3M40-q</v>
      </c>
      <c r="AI887" s="1" t="str">
        <f>_xlfn.IFNA(VLOOKUP(Master_Reference[[#This Row],[C-Flex 5000K Eco Part Number]],Lutron_CFlex_Lookup[],MATCH("Lutron Kit PN",Lutron_CFlex_Lookup[#Headers],0),FALSE),"")</f>
        <v>ELD4T8-3M50-q</v>
      </c>
      <c r="AJ887" s="1" t="str">
        <f>_xlfn.IFNA(VLOOKUP(Master_Reference[[#This Row],[C-Flex 3000K 3W Part Number]],Lutron_CFlex_Lookup[],MATCH("Lutron Kit PN",Lutron_CFlex_Lookup[#Headers],0),FALSE),"")</f>
        <v>3LD4T8-3M30-q</v>
      </c>
      <c r="AK887" s="1" t="str">
        <f>_xlfn.IFNA(VLOOKUP(Master_Reference[[#This Row],[C-Flex 3500K 3W Part Number]],Lutron_CFlex_Lookup[],MATCH("Lutron Kit PN",Lutron_CFlex_Lookup[#Headers],0),FALSE),"")</f>
        <v>3LD4T8-3M35-q</v>
      </c>
      <c r="AL887" s="1" t="str">
        <f>_xlfn.IFNA(VLOOKUP(Master_Reference[[#This Row],[C-Flex 4000K 3W Part Number]],Lutron_CFlex_Lookup[],MATCH("Lutron Kit PN",Lutron_CFlex_Lookup[#Headers],0),FALSE),"")</f>
        <v>3LD4T8-3M40-q</v>
      </c>
      <c r="AM887" s="1" t="str">
        <f>_xlfn.IFNA(VLOOKUP(Master_Reference[[#This Row],[C-Flex 5000K 3W Part Number]],Lutron_CFlex_Lookup[],MATCH("Lutron Kit PN",Lutron_CFlex_Lookup[#Headers],0),FALSE),"")</f>
        <v>3LD4T8-3M50-q</v>
      </c>
      <c r="AN887" s="1" t="b">
        <f>NOT(ISNA(VLOOKUP(Master_Reference[[#This Row],[Model Number]],ObsoleteModels[],1,FALSE)))</f>
        <v>1</v>
      </c>
      <c r="AO887" s="1" t="str">
        <f>IF(LEFT(Master_Reference[[#This Row],[Model Number]],1)="U",LEFT(Master_Reference[[#This Row],[Model Number]],4),LEFT(Master_Reference[[#This Row],[Model Number]],3))</f>
        <v>H3D</v>
      </c>
    </row>
    <row r="888" spans="1:41" x14ac:dyDescent="0.25">
      <c r="A888" s="2" t="s">
        <v>1192</v>
      </c>
      <c r="B888" s="1" t="b">
        <v>1</v>
      </c>
      <c r="C888" s="1" t="b">
        <v>1</v>
      </c>
      <c r="G888" s="1" t="str">
        <f>IF(OR(LEFT(RIGHT(Master_Reference[[#This Row],[Model Number]],3),1)="C",LEFT(RIGHT(Master_Reference[[#This Row],[Model Number]],4),1)="C"),TRUE,"")</f>
        <v/>
      </c>
      <c r="H888" s="1" t="str">
        <f>IF(LEFT(Master_Reference[[#This Row],[Model Number]],1)="U",TRUE,"")</f>
        <v/>
      </c>
      <c r="I888" s="1" t="str">
        <f>IF(Master_Reference[[#This Row],[Lamp Type]]="T4","",IF(Master_Reference[[#This Row],[Case Type]]="M","",TRUE))</f>
        <v/>
      </c>
      <c r="J888" s="1" t="str">
        <f t="shared" si="14"/>
        <v>T8</v>
      </c>
      <c r="K888" s="1">
        <v>32</v>
      </c>
      <c r="L888" s="1" t="s">
        <v>118</v>
      </c>
      <c r="M888" s="1">
        <v>2</v>
      </c>
      <c r="N888" s="1" t="s">
        <v>149</v>
      </c>
      <c r="O888" s="1" t="s">
        <v>632</v>
      </c>
      <c r="R888" t="b">
        <f>IF(COUNTBLANK(Master_Reference[[#This Row],[C-Flex 3000K Eco Part Number]:[C-Flex 4000K Eco Part Number]])=3,FALSE,TRUE)</f>
        <v>1</v>
      </c>
      <c r="S888" t="b">
        <f>IF(COUNTBLANK(Master_Reference[[#This Row],[C-Flex 3000K 3W Part Number]:[C-Flex 4000K 3W Part Number]])=3,FALSE,TRUE)</f>
        <v>1</v>
      </c>
      <c r="T888" t="b">
        <f>IF(COUNTBLANK(Master_Reference[[#This Row],[Lutron 3000K Eco Part Number]:[Lutron 4000K Eco Part Number]])=3,FALSE,TRUE)</f>
        <v>1</v>
      </c>
      <c r="U888" t="b">
        <f>IF(COUNTBLANK(Master_Reference[[#This Row],[Lutron 3000K 3W Part Number]:[Lutron 4000K 3W Part Number]])=3,FALSE,TRUE)</f>
        <v>1</v>
      </c>
      <c r="V888" s="12" t="s">
        <v>316</v>
      </c>
      <c r="W888" s="12" t="s">
        <v>317</v>
      </c>
      <c r="X888" s="12" t="s">
        <v>318</v>
      </c>
      <c r="Y888" t="s">
        <v>1745</v>
      </c>
      <c r="Z888" s="12" t="s">
        <v>145</v>
      </c>
      <c r="AA888" s="12" t="s">
        <v>146</v>
      </c>
      <c r="AB888" s="12" t="s">
        <v>147</v>
      </c>
      <c r="AC888" t="s">
        <v>1830</v>
      </c>
      <c r="AD888" t="str">
        <f>SUBSTITUTE(Master_Reference[[#This Row],[C-Flex 4000K Eco Part Number]],"40-","xx-")</f>
        <v>RP-T8-4FT-2L-8xx-E1-M-G2</v>
      </c>
      <c r="AE888" t="str">
        <f>SUBSTITUTE(Master_Reference[[#This Row],[C-Flex 4000K 3W Part Number]],"40-","xx-")</f>
        <v>RP-T8-4FT-2L-8xx-3W-M-G2</v>
      </c>
      <c r="AF888" s="1" t="str">
        <f>_xlfn.IFNA(VLOOKUP(Master_Reference[[#This Row],[C-Flex 3000K Eco Part Number]],Lutron_CFlex_Lookup[],MATCH("Lutron Kit PN",Lutron_CFlex_Lookup[#Headers],0),FALSE),"")</f>
        <v>ELD4T8-2M30-q</v>
      </c>
      <c r="AG888" s="1" t="str">
        <f>_xlfn.IFNA(VLOOKUP(Master_Reference[[#This Row],[C-Flex 3500K Eco Part Number]],Lutron_CFlex_Lookup[],MATCH("Lutron Kit PN",Lutron_CFlex_Lookup[#Headers],0),FALSE),"")</f>
        <v>ELD4T8-2M35-q</v>
      </c>
      <c r="AH888" s="1" t="str">
        <f>_xlfn.IFNA(VLOOKUP(Master_Reference[[#This Row],[C-Flex 4000K Eco Part Number]],Lutron_CFlex_Lookup[],MATCH("Lutron Kit PN",Lutron_CFlex_Lookup[#Headers],0),FALSE),"")</f>
        <v>ELD4T8-2M40-q</v>
      </c>
      <c r="AI888" s="1" t="str">
        <f>_xlfn.IFNA(VLOOKUP(Master_Reference[[#This Row],[C-Flex 5000K Eco Part Number]],Lutron_CFlex_Lookup[],MATCH("Lutron Kit PN",Lutron_CFlex_Lookup[#Headers],0),FALSE),"")</f>
        <v>ELD4T8-2M50-q</v>
      </c>
      <c r="AJ888" s="1" t="str">
        <f>_xlfn.IFNA(VLOOKUP(Master_Reference[[#This Row],[C-Flex 3000K 3W Part Number]],Lutron_CFlex_Lookup[],MATCH("Lutron Kit PN",Lutron_CFlex_Lookup[#Headers],0),FALSE),"")</f>
        <v>3LD4T8-2M30-q</v>
      </c>
      <c r="AK888" s="1" t="str">
        <f>_xlfn.IFNA(VLOOKUP(Master_Reference[[#This Row],[C-Flex 3500K 3W Part Number]],Lutron_CFlex_Lookup[],MATCH("Lutron Kit PN",Lutron_CFlex_Lookup[#Headers],0),FALSE),"")</f>
        <v>3LD4T8-2M35-q</v>
      </c>
      <c r="AL888" s="1" t="str">
        <f>_xlfn.IFNA(VLOOKUP(Master_Reference[[#This Row],[C-Flex 4000K 3W Part Number]],Lutron_CFlex_Lookup[],MATCH("Lutron Kit PN",Lutron_CFlex_Lookup[#Headers],0),FALSE),"")</f>
        <v>3LD4T8-2M40-q</v>
      </c>
      <c r="AM888" s="1" t="str">
        <f>_xlfn.IFNA(VLOOKUP(Master_Reference[[#This Row],[C-Flex 5000K 3W Part Number]],Lutron_CFlex_Lookup[],MATCH("Lutron Kit PN",Lutron_CFlex_Lookup[#Headers],0),FALSE),"")</f>
        <v>3LD4T8-2M50-q</v>
      </c>
      <c r="AN888" s="1" t="b">
        <f>NOT(ISNA(VLOOKUP(Master_Reference[[#This Row],[Model Number]],ObsoleteModels[],1,FALSE)))</f>
        <v>1</v>
      </c>
      <c r="AO888" s="1" t="str">
        <f>IF(LEFT(Master_Reference[[#This Row],[Model Number]],1)="U",LEFT(Master_Reference[[#This Row],[Model Number]],4),LEFT(Master_Reference[[#This Row],[Model Number]],3))</f>
        <v>H3D</v>
      </c>
    </row>
    <row r="889" spans="1:41" x14ac:dyDescent="0.25">
      <c r="A889" s="2" t="s">
        <v>1193</v>
      </c>
      <c r="B889" s="1" t="b">
        <v>1</v>
      </c>
      <c r="C889" s="1" t="b">
        <v>1</v>
      </c>
      <c r="G889" s="1" t="str">
        <f>IF(OR(LEFT(RIGHT(Master_Reference[[#This Row],[Model Number]],3),1)="C",LEFT(RIGHT(Master_Reference[[#This Row],[Model Number]],4),1)="C"),TRUE,"")</f>
        <v/>
      </c>
      <c r="H889" s="1" t="str">
        <f>IF(LEFT(Master_Reference[[#This Row],[Model Number]],1)="U",TRUE,"")</f>
        <v/>
      </c>
      <c r="I889" s="1" t="b">
        <f>IF(Master_Reference[[#This Row],[Lamp Type]]="T4","",IF(Master_Reference[[#This Row],[Case Type]]="M","",TRUE))</f>
        <v>1</v>
      </c>
      <c r="J889" s="1" t="str">
        <f t="shared" si="14"/>
        <v>T8</v>
      </c>
      <c r="K889" s="1">
        <v>40</v>
      </c>
      <c r="L889" s="1" t="s">
        <v>220</v>
      </c>
      <c r="M889" s="1">
        <v>1</v>
      </c>
      <c r="N889" s="1" t="s">
        <v>149</v>
      </c>
      <c r="O889" s="1" t="s">
        <v>113</v>
      </c>
      <c r="R889" t="b">
        <f>IF(COUNTBLANK(Master_Reference[[#This Row],[C-Flex 3000K Eco Part Number]:[C-Flex 4000K Eco Part Number]])=3,FALSE,TRUE)</f>
        <v>0</v>
      </c>
      <c r="S889" t="b">
        <f>IF(COUNTBLANK(Master_Reference[[#This Row],[C-Flex 3000K 3W Part Number]:[C-Flex 4000K 3W Part Number]])=3,FALSE,TRUE)</f>
        <v>0</v>
      </c>
      <c r="T889" t="b">
        <f>IF(COUNTBLANK(Master_Reference[[#This Row],[Lutron 3000K Eco Part Number]:[Lutron 4000K Eco Part Number]])=3,FALSE,TRUE)</f>
        <v>0</v>
      </c>
      <c r="U889" t="b">
        <f>IF(COUNTBLANK(Master_Reference[[#This Row],[Lutron 3000K 3W Part Number]:[Lutron 4000K 3W Part Number]])=3,FALSE,TRUE)</f>
        <v>0</v>
      </c>
      <c r="V889" s="12"/>
      <c r="W889" s="12"/>
      <c r="X889" s="12"/>
      <c r="Y889" t="s">
        <v>2125</v>
      </c>
      <c r="Z889" s="12"/>
      <c r="AA889" s="12"/>
      <c r="AB889" s="12"/>
      <c r="AC889" t="s">
        <v>2125</v>
      </c>
      <c r="AD889" t="str">
        <f>SUBSTITUTE(Master_Reference[[#This Row],[C-Flex 4000K Eco Part Number]],"40-","xx-")</f>
        <v/>
      </c>
      <c r="AE889" t="str">
        <f>SUBSTITUTE(Master_Reference[[#This Row],[C-Flex 4000K 3W Part Number]],"40-","xx-")</f>
        <v/>
      </c>
      <c r="AF889" s="1" t="str">
        <f>_xlfn.IFNA(VLOOKUP(Master_Reference[[#This Row],[C-Flex 3000K Eco Part Number]],Lutron_CFlex_Lookup[],MATCH("Lutron Kit PN",Lutron_CFlex_Lookup[#Headers],0),FALSE),"")</f>
        <v/>
      </c>
      <c r="AG889" s="1" t="str">
        <f>_xlfn.IFNA(VLOOKUP(Master_Reference[[#This Row],[C-Flex 3500K Eco Part Number]],Lutron_CFlex_Lookup[],MATCH("Lutron Kit PN",Lutron_CFlex_Lookup[#Headers],0),FALSE),"")</f>
        <v/>
      </c>
      <c r="AH889" s="1" t="str">
        <f>_xlfn.IFNA(VLOOKUP(Master_Reference[[#This Row],[C-Flex 4000K Eco Part Number]],Lutron_CFlex_Lookup[],MATCH("Lutron Kit PN",Lutron_CFlex_Lookup[#Headers],0),FALSE),"")</f>
        <v/>
      </c>
      <c r="AI889" s="1" t="str">
        <f>_xlfn.IFNA(VLOOKUP(Master_Reference[[#This Row],[C-Flex 5000K Eco Part Number]],Lutron_CFlex_Lookup[],MATCH("Lutron Kit PN",Lutron_CFlex_Lookup[#Headers],0),FALSE),"")</f>
        <v/>
      </c>
      <c r="AJ889" s="1" t="str">
        <f>_xlfn.IFNA(VLOOKUP(Master_Reference[[#This Row],[C-Flex 3000K 3W Part Number]],Lutron_CFlex_Lookup[],MATCH("Lutron Kit PN",Lutron_CFlex_Lookup[#Headers],0),FALSE),"")</f>
        <v/>
      </c>
      <c r="AK889" s="1" t="str">
        <f>_xlfn.IFNA(VLOOKUP(Master_Reference[[#This Row],[C-Flex 3500K 3W Part Number]],Lutron_CFlex_Lookup[],MATCH("Lutron Kit PN",Lutron_CFlex_Lookup[#Headers],0),FALSE),"")</f>
        <v/>
      </c>
      <c r="AL889" s="1" t="str">
        <f>_xlfn.IFNA(VLOOKUP(Master_Reference[[#This Row],[C-Flex 4000K 3W Part Number]],Lutron_CFlex_Lookup[],MATCH("Lutron Kit PN",Lutron_CFlex_Lookup[#Headers],0),FALSE),"")</f>
        <v/>
      </c>
      <c r="AM889" s="1" t="str">
        <f>_xlfn.IFNA(VLOOKUP(Master_Reference[[#This Row],[C-Flex 5000K 3W Part Number]],Lutron_CFlex_Lookup[],MATCH("Lutron Kit PN",Lutron_CFlex_Lookup[#Headers],0),FALSE),"")</f>
        <v/>
      </c>
      <c r="AN889" s="1" t="b">
        <f>NOT(ISNA(VLOOKUP(Master_Reference[[#This Row],[Model Number]],ObsoleteModels[],1,FALSE)))</f>
        <v>1</v>
      </c>
      <c r="AO889" s="1" t="str">
        <f>IF(LEFT(Master_Reference[[#This Row],[Model Number]],1)="U",LEFT(Master_Reference[[#This Row],[Model Number]],4),LEFT(Master_Reference[[#This Row],[Model Number]],3))</f>
        <v>H3D</v>
      </c>
    </row>
    <row r="890" spans="1:41" x14ac:dyDescent="0.25">
      <c r="A890" s="2" t="s">
        <v>1194</v>
      </c>
      <c r="B890" s="1" t="b">
        <v>1</v>
      </c>
      <c r="C890" s="1" t="b">
        <v>1</v>
      </c>
      <c r="G890" s="1" t="b">
        <v>1</v>
      </c>
      <c r="H890" s="1" t="str">
        <f>IF(LEFT(Master_Reference[[#This Row],[Model Number]],1)="U",TRUE,"")</f>
        <v/>
      </c>
      <c r="I890" s="1" t="b">
        <f>IF(Master_Reference[[#This Row],[Lamp Type]]="T4","",IF(Master_Reference[[#This Row],[Case Type]]="M","",TRUE))</f>
        <v>1</v>
      </c>
      <c r="J890" s="1" t="str">
        <f t="shared" si="14"/>
        <v>T8</v>
      </c>
      <c r="K890" s="1">
        <v>40</v>
      </c>
      <c r="L890" s="1" t="s">
        <v>220</v>
      </c>
      <c r="M890" s="1">
        <v>1</v>
      </c>
      <c r="N890" s="1" t="s">
        <v>149</v>
      </c>
      <c r="O890" s="1" t="s">
        <v>113</v>
      </c>
      <c r="R890" t="b">
        <f>IF(COUNTBLANK(Master_Reference[[#This Row],[C-Flex 3000K Eco Part Number]:[C-Flex 4000K Eco Part Number]])=3,FALSE,TRUE)</f>
        <v>0</v>
      </c>
      <c r="S890" t="b">
        <f>IF(COUNTBLANK(Master_Reference[[#This Row],[C-Flex 3000K 3W Part Number]:[C-Flex 4000K 3W Part Number]])=3,FALSE,TRUE)</f>
        <v>0</v>
      </c>
      <c r="T890" t="b">
        <f>IF(COUNTBLANK(Master_Reference[[#This Row],[Lutron 3000K Eco Part Number]:[Lutron 4000K Eco Part Number]])=3,FALSE,TRUE)</f>
        <v>0</v>
      </c>
      <c r="U890" t="b">
        <f>IF(COUNTBLANK(Master_Reference[[#This Row],[Lutron 3000K 3W Part Number]:[Lutron 4000K 3W Part Number]])=3,FALSE,TRUE)</f>
        <v>0</v>
      </c>
      <c r="V890" s="12"/>
      <c r="W890" s="12"/>
      <c r="X890" s="12"/>
      <c r="Y890" t="s">
        <v>2125</v>
      </c>
      <c r="Z890" s="12"/>
      <c r="AA890" s="12"/>
      <c r="AB890" s="12"/>
      <c r="AC890" t="s">
        <v>2125</v>
      </c>
      <c r="AD890" t="str">
        <f>SUBSTITUTE(Master_Reference[[#This Row],[C-Flex 4000K Eco Part Number]],"40-","xx-")</f>
        <v/>
      </c>
      <c r="AE890" t="str">
        <f>SUBSTITUTE(Master_Reference[[#This Row],[C-Flex 4000K 3W Part Number]],"40-","xx-")</f>
        <v/>
      </c>
      <c r="AF890" s="1" t="str">
        <f>_xlfn.IFNA(VLOOKUP(Master_Reference[[#This Row],[C-Flex 3000K Eco Part Number]],Lutron_CFlex_Lookup[],MATCH("Lutron Kit PN",Lutron_CFlex_Lookup[#Headers],0),FALSE),"")</f>
        <v/>
      </c>
      <c r="AG890" s="1" t="str">
        <f>_xlfn.IFNA(VLOOKUP(Master_Reference[[#This Row],[C-Flex 3500K Eco Part Number]],Lutron_CFlex_Lookup[],MATCH("Lutron Kit PN",Lutron_CFlex_Lookup[#Headers],0),FALSE),"")</f>
        <v/>
      </c>
      <c r="AH890" s="1" t="str">
        <f>_xlfn.IFNA(VLOOKUP(Master_Reference[[#This Row],[C-Flex 4000K Eco Part Number]],Lutron_CFlex_Lookup[],MATCH("Lutron Kit PN",Lutron_CFlex_Lookup[#Headers],0),FALSE),"")</f>
        <v/>
      </c>
      <c r="AI890" s="1" t="str">
        <f>_xlfn.IFNA(VLOOKUP(Master_Reference[[#This Row],[C-Flex 5000K Eco Part Number]],Lutron_CFlex_Lookup[],MATCH("Lutron Kit PN",Lutron_CFlex_Lookup[#Headers],0),FALSE),"")</f>
        <v/>
      </c>
      <c r="AJ890" s="1" t="str">
        <f>_xlfn.IFNA(VLOOKUP(Master_Reference[[#This Row],[C-Flex 3000K 3W Part Number]],Lutron_CFlex_Lookup[],MATCH("Lutron Kit PN",Lutron_CFlex_Lookup[#Headers],0),FALSE),"")</f>
        <v/>
      </c>
      <c r="AK890" s="1" t="str">
        <f>_xlfn.IFNA(VLOOKUP(Master_Reference[[#This Row],[C-Flex 3500K 3W Part Number]],Lutron_CFlex_Lookup[],MATCH("Lutron Kit PN",Lutron_CFlex_Lookup[#Headers],0),FALSE),"")</f>
        <v/>
      </c>
      <c r="AL890" s="1" t="str">
        <f>_xlfn.IFNA(VLOOKUP(Master_Reference[[#This Row],[C-Flex 4000K 3W Part Number]],Lutron_CFlex_Lookup[],MATCH("Lutron Kit PN",Lutron_CFlex_Lookup[#Headers],0),FALSE),"")</f>
        <v/>
      </c>
      <c r="AM890" s="1" t="str">
        <f>_xlfn.IFNA(VLOOKUP(Master_Reference[[#This Row],[C-Flex 5000K 3W Part Number]],Lutron_CFlex_Lookup[],MATCH("Lutron Kit PN",Lutron_CFlex_Lookup[#Headers],0),FALSE),"")</f>
        <v/>
      </c>
      <c r="AN890" s="1" t="b">
        <f>NOT(ISNA(VLOOKUP(Master_Reference[[#This Row],[Model Number]],ObsoleteModels[],1,FALSE)))</f>
        <v>1</v>
      </c>
      <c r="AO890" s="1" t="str">
        <f>IF(LEFT(Master_Reference[[#This Row],[Model Number]],1)="U",LEFT(Master_Reference[[#This Row],[Model Number]],4),LEFT(Master_Reference[[#This Row],[Model Number]],3))</f>
        <v>H3D</v>
      </c>
    </row>
    <row r="891" spans="1:41" x14ac:dyDescent="0.25">
      <c r="A891" s="2" t="s">
        <v>1195</v>
      </c>
      <c r="B891" s="1" t="b">
        <v>1</v>
      </c>
      <c r="C891" s="1" t="b">
        <v>1</v>
      </c>
      <c r="G891" s="1" t="b">
        <f>IF(OR(LEFT(RIGHT(Master_Reference[[#This Row],[Model Number]],3),1)="C",LEFT(RIGHT(Master_Reference[[#This Row],[Model Number]],4),1)="C"),TRUE,"")</f>
        <v>1</v>
      </c>
      <c r="H891" s="1" t="str">
        <f>IF(LEFT(Master_Reference[[#This Row],[Model Number]],1)="U",TRUE,"")</f>
        <v/>
      </c>
      <c r="I891" s="1" t="b">
        <f>IF(Master_Reference[[#This Row],[Lamp Type]]="T4","",IF(Master_Reference[[#This Row],[Case Type]]="M","",TRUE))</f>
        <v>1</v>
      </c>
      <c r="J891" s="1" t="str">
        <f t="shared" si="14"/>
        <v>T8</v>
      </c>
      <c r="K891" s="1">
        <v>40</v>
      </c>
      <c r="L891" s="1" t="s">
        <v>220</v>
      </c>
      <c r="M891" s="1">
        <v>1</v>
      </c>
      <c r="N891" s="1" t="s">
        <v>149</v>
      </c>
      <c r="O891" s="1" t="s">
        <v>113</v>
      </c>
      <c r="R891" t="b">
        <f>IF(COUNTBLANK(Master_Reference[[#This Row],[C-Flex 3000K Eco Part Number]:[C-Flex 4000K Eco Part Number]])=3,FALSE,TRUE)</f>
        <v>0</v>
      </c>
      <c r="S891" t="b">
        <f>IF(COUNTBLANK(Master_Reference[[#This Row],[C-Flex 3000K 3W Part Number]:[C-Flex 4000K 3W Part Number]])=3,FALSE,TRUE)</f>
        <v>0</v>
      </c>
      <c r="T891" t="b">
        <f>IF(COUNTBLANK(Master_Reference[[#This Row],[Lutron 3000K Eco Part Number]:[Lutron 4000K Eco Part Number]])=3,FALSE,TRUE)</f>
        <v>0</v>
      </c>
      <c r="U891" t="b">
        <f>IF(COUNTBLANK(Master_Reference[[#This Row],[Lutron 3000K 3W Part Number]:[Lutron 4000K 3W Part Number]])=3,FALSE,TRUE)</f>
        <v>0</v>
      </c>
      <c r="V891" s="12"/>
      <c r="W891" s="12"/>
      <c r="X891" s="12"/>
      <c r="Y891" t="s">
        <v>2125</v>
      </c>
      <c r="Z891" s="12"/>
      <c r="AA891" s="12"/>
      <c r="AB891" s="12"/>
      <c r="AC891" t="s">
        <v>2125</v>
      </c>
      <c r="AD891" t="str">
        <f>SUBSTITUTE(Master_Reference[[#This Row],[C-Flex 4000K Eco Part Number]],"40-","xx-")</f>
        <v/>
      </c>
      <c r="AE891" t="str">
        <f>SUBSTITUTE(Master_Reference[[#This Row],[C-Flex 4000K 3W Part Number]],"40-","xx-")</f>
        <v/>
      </c>
      <c r="AF891" s="1" t="str">
        <f>_xlfn.IFNA(VLOOKUP(Master_Reference[[#This Row],[C-Flex 3000K Eco Part Number]],Lutron_CFlex_Lookup[],MATCH("Lutron Kit PN",Lutron_CFlex_Lookup[#Headers],0),FALSE),"")</f>
        <v/>
      </c>
      <c r="AG891" s="1" t="str">
        <f>_xlfn.IFNA(VLOOKUP(Master_Reference[[#This Row],[C-Flex 3500K Eco Part Number]],Lutron_CFlex_Lookup[],MATCH("Lutron Kit PN",Lutron_CFlex_Lookup[#Headers],0),FALSE),"")</f>
        <v/>
      </c>
      <c r="AH891" s="1" t="str">
        <f>_xlfn.IFNA(VLOOKUP(Master_Reference[[#This Row],[C-Flex 4000K Eco Part Number]],Lutron_CFlex_Lookup[],MATCH("Lutron Kit PN",Lutron_CFlex_Lookup[#Headers],0),FALSE),"")</f>
        <v/>
      </c>
      <c r="AI891" s="1" t="str">
        <f>_xlfn.IFNA(VLOOKUP(Master_Reference[[#This Row],[C-Flex 5000K Eco Part Number]],Lutron_CFlex_Lookup[],MATCH("Lutron Kit PN",Lutron_CFlex_Lookup[#Headers],0),FALSE),"")</f>
        <v/>
      </c>
      <c r="AJ891" s="1" t="str">
        <f>_xlfn.IFNA(VLOOKUP(Master_Reference[[#This Row],[C-Flex 3000K 3W Part Number]],Lutron_CFlex_Lookup[],MATCH("Lutron Kit PN",Lutron_CFlex_Lookup[#Headers],0),FALSE),"")</f>
        <v/>
      </c>
      <c r="AK891" s="1" t="str">
        <f>_xlfn.IFNA(VLOOKUP(Master_Reference[[#This Row],[C-Flex 3500K 3W Part Number]],Lutron_CFlex_Lookup[],MATCH("Lutron Kit PN",Lutron_CFlex_Lookup[#Headers],0),FALSE),"")</f>
        <v/>
      </c>
      <c r="AL891" s="1" t="str">
        <f>_xlfn.IFNA(VLOOKUP(Master_Reference[[#This Row],[C-Flex 4000K 3W Part Number]],Lutron_CFlex_Lookup[],MATCH("Lutron Kit PN",Lutron_CFlex_Lookup[#Headers],0),FALSE),"")</f>
        <v/>
      </c>
      <c r="AM891" s="1" t="str">
        <f>_xlfn.IFNA(VLOOKUP(Master_Reference[[#This Row],[C-Flex 5000K 3W Part Number]],Lutron_CFlex_Lookup[],MATCH("Lutron Kit PN",Lutron_CFlex_Lookup[#Headers],0),FALSE),"")</f>
        <v/>
      </c>
      <c r="AN891" s="1" t="b">
        <f>NOT(ISNA(VLOOKUP(Master_Reference[[#This Row],[Model Number]],ObsoleteModels[],1,FALSE)))</f>
        <v>1</v>
      </c>
      <c r="AO891" s="1" t="str">
        <f>IF(LEFT(Master_Reference[[#This Row],[Model Number]],1)="U",LEFT(Master_Reference[[#This Row],[Model Number]],4),LEFT(Master_Reference[[#This Row],[Model Number]],3))</f>
        <v>H3D</v>
      </c>
    </row>
    <row r="892" spans="1:41" x14ac:dyDescent="0.25">
      <c r="A892" s="2" t="s">
        <v>1196</v>
      </c>
      <c r="B892" s="1" t="b">
        <v>1</v>
      </c>
      <c r="C892" s="1" t="b">
        <v>1</v>
      </c>
      <c r="G892" s="1" t="str">
        <f>IF(OR(LEFT(RIGHT(Master_Reference[[#This Row],[Model Number]],3),1)="C",LEFT(RIGHT(Master_Reference[[#This Row],[Model Number]],4),1)="C"),TRUE,"")</f>
        <v/>
      </c>
      <c r="H892" s="1" t="str">
        <f>IF(LEFT(Master_Reference[[#This Row],[Model Number]],1)="U",TRUE,"")</f>
        <v/>
      </c>
      <c r="I892" s="1" t="b">
        <f>IF(Master_Reference[[#This Row],[Lamp Type]]="T4","",IF(Master_Reference[[#This Row],[Case Type]]="M","",TRUE))</f>
        <v>1</v>
      </c>
      <c r="J892" s="1" t="str">
        <f t="shared" si="14"/>
        <v>T8</v>
      </c>
      <c r="K892" s="1">
        <v>40</v>
      </c>
      <c r="L892" s="1" t="s">
        <v>220</v>
      </c>
      <c r="M892" s="1">
        <v>2</v>
      </c>
      <c r="N892" s="1" t="s">
        <v>149</v>
      </c>
      <c r="O892" s="1" t="s">
        <v>113</v>
      </c>
      <c r="R892" t="b">
        <f>IF(COUNTBLANK(Master_Reference[[#This Row],[C-Flex 3000K Eco Part Number]:[C-Flex 4000K Eco Part Number]])=3,FALSE,TRUE)</f>
        <v>0</v>
      </c>
      <c r="S892" t="b">
        <f>IF(COUNTBLANK(Master_Reference[[#This Row],[C-Flex 3000K 3W Part Number]:[C-Flex 4000K 3W Part Number]])=3,FALSE,TRUE)</f>
        <v>0</v>
      </c>
      <c r="T892" t="b">
        <f>IF(COUNTBLANK(Master_Reference[[#This Row],[Lutron 3000K Eco Part Number]:[Lutron 4000K Eco Part Number]])=3,FALSE,TRUE)</f>
        <v>0</v>
      </c>
      <c r="U892" t="b">
        <f>IF(COUNTBLANK(Master_Reference[[#This Row],[Lutron 3000K 3W Part Number]:[Lutron 4000K 3W Part Number]])=3,FALSE,TRUE)</f>
        <v>0</v>
      </c>
      <c r="V892" s="12"/>
      <c r="W892" s="12"/>
      <c r="X892" s="12"/>
      <c r="Y892" t="s">
        <v>2125</v>
      </c>
      <c r="Z892" s="12"/>
      <c r="AA892" s="12"/>
      <c r="AB892" s="12"/>
      <c r="AC892" t="s">
        <v>2125</v>
      </c>
      <c r="AD892" t="str">
        <f>SUBSTITUTE(Master_Reference[[#This Row],[C-Flex 4000K Eco Part Number]],"40-","xx-")</f>
        <v/>
      </c>
      <c r="AE892" t="str">
        <f>SUBSTITUTE(Master_Reference[[#This Row],[C-Flex 4000K 3W Part Number]],"40-","xx-")</f>
        <v/>
      </c>
      <c r="AF892" s="1" t="str">
        <f>_xlfn.IFNA(VLOOKUP(Master_Reference[[#This Row],[C-Flex 3000K Eco Part Number]],Lutron_CFlex_Lookup[],MATCH("Lutron Kit PN",Lutron_CFlex_Lookup[#Headers],0),FALSE),"")</f>
        <v/>
      </c>
      <c r="AG892" s="1" t="str">
        <f>_xlfn.IFNA(VLOOKUP(Master_Reference[[#This Row],[C-Flex 3500K Eco Part Number]],Lutron_CFlex_Lookup[],MATCH("Lutron Kit PN",Lutron_CFlex_Lookup[#Headers],0),FALSE),"")</f>
        <v/>
      </c>
      <c r="AH892" s="1" t="str">
        <f>_xlfn.IFNA(VLOOKUP(Master_Reference[[#This Row],[C-Flex 4000K Eco Part Number]],Lutron_CFlex_Lookup[],MATCH("Lutron Kit PN",Lutron_CFlex_Lookup[#Headers],0),FALSE),"")</f>
        <v/>
      </c>
      <c r="AI892" s="1" t="str">
        <f>_xlfn.IFNA(VLOOKUP(Master_Reference[[#This Row],[C-Flex 5000K Eco Part Number]],Lutron_CFlex_Lookup[],MATCH("Lutron Kit PN",Lutron_CFlex_Lookup[#Headers],0),FALSE),"")</f>
        <v/>
      </c>
      <c r="AJ892" s="1" t="str">
        <f>_xlfn.IFNA(VLOOKUP(Master_Reference[[#This Row],[C-Flex 3000K 3W Part Number]],Lutron_CFlex_Lookup[],MATCH("Lutron Kit PN",Lutron_CFlex_Lookup[#Headers],0),FALSE),"")</f>
        <v/>
      </c>
      <c r="AK892" s="1" t="str">
        <f>_xlfn.IFNA(VLOOKUP(Master_Reference[[#This Row],[C-Flex 3500K 3W Part Number]],Lutron_CFlex_Lookup[],MATCH("Lutron Kit PN",Lutron_CFlex_Lookup[#Headers],0),FALSE),"")</f>
        <v/>
      </c>
      <c r="AL892" s="1" t="str">
        <f>_xlfn.IFNA(VLOOKUP(Master_Reference[[#This Row],[C-Flex 4000K 3W Part Number]],Lutron_CFlex_Lookup[],MATCH("Lutron Kit PN",Lutron_CFlex_Lookup[#Headers],0),FALSE),"")</f>
        <v/>
      </c>
      <c r="AM892" s="1" t="str">
        <f>_xlfn.IFNA(VLOOKUP(Master_Reference[[#This Row],[C-Flex 5000K 3W Part Number]],Lutron_CFlex_Lookup[],MATCH("Lutron Kit PN",Lutron_CFlex_Lookup[#Headers],0),FALSE),"")</f>
        <v/>
      </c>
      <c r="AN892" s="1" t="b">
        <f>NOT(ISNA(VLOOKUP(Master_Reference[[#This Row],[Model Number]],ObsoleteModels[],1,FALSE)))</f>
        <v>1</v>
      </c>
      <c r="AO892" s="1" t="str">
        <f>IF(LEFT(Master_Reference[[#This Row],[Model Number]],1)="U",LEFT(Master_Reference[[#This Row],[Model Number]],4),LEFT(Master_Reference[[#This Row],[Model Number]],3))</f>
        <v>H3D</v>
      </c>
    </row>
    <row r="893" spans="1:41" x14ac:dyDescent="0.25">
      <c r="A893" s="2" t="s">
        <v>1197</v>
      </c>
      <c r="B893" s="1" t="b">
        <v>1</v>
      </c>
      <c r="C893" s="1" t="b">
        <v>1</v>
      </c>
      <c r="G893" s="1" t="b">
        <v>1</v>
      </c>
      <c r="H893" s="1" t="str">
        <f>IF(LEFT(Master_Reference[[#This Row],[Model Number]],1)="U",TRUE,"")</f>
        <v/>
      </c>
      <c r="I893" s="1" t="b">
        <f>IF(Master_Reference[[#This Row],[Lamp Type]]="T4","",IF(Master_Reference[[#This Row],[Case Type]]="M","",TRUE))</f>
        <v>1</v>
      </c>
      <c r="J893" s="1" t="str">
        <f t="shared" si="14"/>
        <v>T8</v>
      </c>
      <c r="K893" s="1">
        <v>40</v>
      </c>
      <c r="L893" s="1" t="s">
        <v>220</v>
      </c>
      <c r="M893" s="1">
        <v>2</v>
      </c>
      <c r="N893" s="1" t="s">
        <v>149</v>
      </c>
      <c r="O893" s="1" t="s">
        <v>113</v>
      </c>
      <c r="R893" t="b">
        <f>IF(COUNTBLANK(Master_Reference[[#This Row],[C-Flex 3000K Eco Part Number]:[C-Flex 4000K Eco Part Number]])=3,FALSE,TRUE)</f>
        <v>0</v>
      </c>
      <c r="S893" t="b">
        <f>IF(COUNTBLANK(Master_Reference[[#This Row],[C-Flex 3000K 3W Part Number]:[C-Flex 4000K 3W Part Number]])=3,FALSE,TRUE)</f>
        <v>0</v>
      </c>
      <c r="T893" t="b">
        <f>IF(COUNTBLANK(Master_Reference[[#This Row],[Lutron 3000K Eco Part Number]:[Lutron 4000K Eco Part Number]])=3,FALSE,TRUE)</f>
        <v>0</v>
      </c>
      <c r="U893" t="b">
        <f>IF(COUNTBLANK(Master_Reference[[#This Row],[Lutron 3000K 3W Part Number]:[Lutron 4000K 3W Part Number]])=3,FALSE,TRUE)</f>
        <v>0</v>
      </c>
      <c r="V893" s="12"/>
      <c r="W893" s="12"/>
      <c r="X893" s="12"/>
      <c r="Y893" t="s">
        <v>2125</v>
      </c>
      <c r="Z893" s="12"/>
      <c r="AA893" s="12"/>
      <c r="AB893" s="12"/>
      <c r="AC893" t="s">
        <v>2125</v>
      </c>
      <c r="AD893" t="str">
        <f>SUBSTITUTE(Master_Reference[[#This Row],[C-Flex 4000K Eco Part Number]],"40-","xx-")</f>
        <v/>
      </c>
      <c r="AE893" t="str">
        <f>SUBSTITUTE(Master_Reference[[#This Row],[C-Flex 4000K 3W Part Number]],"40-","xx-")</f>
        <v/>
      </c>
      <c r="AF893" s="1" t="str">
        <f>_xlfn.IFNA(VLOOKUP(Master_Reference[[#This Row],[C-Flex 3000K Eco Part Number]],Lutron_CFlex_Lookup[],MATCH("Lutron Kit PN",Lutron_CFlex_Lookup[#Headers],0),FALSE),"")</f>
        <v/>
      </c>
      <c r="AG893" s="1" t="str">
        <f>_xlfn.IFNA(VLOOKUP(Master_Reference[[#This Row],[C-Flex 3500K Eco Part Number]],Lutron_CFlex_Lookup[],MATCH("Lutron Kit PN",Lutron_CFlex_Lookup[#Headers],0),FALSE),"")</f>
        <v/>
      </c>
      <c r="AH893" s="1" t="str">
        <f>_xlfn.IFNA(VLOOKUP(Master_Reference[[#This Row],[C-Flex 4000K Eco Part Number]],Lutron_CFlex_Lookup[],MATCH("Lutron Kit PN",Lutron_CFlex_Lookup[#Headers],0),FALSE),"")</f>
        <v/>
      </c>
      <c r="AI893" s="1" t="str">
        <f>_xlfn.IFNA(VLOOKUP(Master_Reference[[#This Row],[C-Flex 5000K Eco Part Number]],Lutron_CFlex_Lookup[],MATCH("Lutron Kit PN",Lutron_CFlex_Lookup[#Headers],0),FALSE),"")</f>
        <v/>
      </c>
      <c r="AJ893" s="1" t="str">
        <f>_xlfn.IFNA(VLOOKUP(Master_Reference[[#This Row],[C-Flex 3000K 3W Part Number]],Lutron_CFlex_Lookup[],MATCH("Lutron Kit PN",Lutron_CFlex_Lookup[#Headers],0),FALSE),"")</f>
        <v/>
      </c>
      <c r="AK893" s="1" t="str">
        <f>_xlfn.IFNA(VLOOKUP(Master_Reference[[#This Row],[C-Flex 3500K 3W Part Number]],Lutron_CFlex_Lookup[],MATCH("Lutron Kit PN",Lutron_CFlex_Lookup[#Headers],0),FALSE),"")</f>
        <v/>
      </c>
      <c r="AL893" s="1" t="str">
        <f>_xlfn.IFNA(VLOOKUP(Master_Reference[[#This Row],[C-Flex 4000K 3W Part Number]],Lutron_CFlex_Lookup[],MATCH("Lutron Kit PN",Lutron_CFlex_Lookup[#Headers],0),FALSE),"")</f>
        <v/>
      </c>
      <c r="AM893" s="1" t="str">
        <f>_xlfn.IFNA(VLOOKUP(Master_Reference[[#This Row],[C-Flex 5000K 3W Part Number]],Lutron_CFlex_Lookup[],MATCH("Lutron Kit PN",Lutron_CFlex_Lookup[#Headers],0),FALSE),"")</f>
        <v/>
      </c>
      <c r="AN893" s="1" t="b">
        <f>NOT(ISNA(VLOOKUP(Master_Reference[[#This Row],[Model Number]],ObsoleteModels[],1,FALSE)))</f>
        <v>1</v>
      </c>
      <c r="AO893" s="1" t="str">
        <f>IF(LEFT(Master_Reference[[#This Row],[Model Number]],1)="U",LEFT(Master_Reference[[#This Row],[Model Number]],4),LEFT(Master_Reference[[#This Row],[Model Number]],3))</f>
        <v>H3D</v>
      </c>
    </row>
    <row r="894" spans="1:41" x14ac:dyDescent="0.25">
      <c r="A894" s="2" t="s">
        <v>1198</v>
      </c>
      <c r="B894" s="1" t="b">
        <v>1</v>
      </c>
      <c r="C894" s="1" t="b">
        <v>1</v>
      </c>
      <c r="G894" s="1" t="b">
        <f>IF(OR(LEFT(RIGHT(Master_Reference[[#This Row],[Model Number]],3),1)="C",LEFT(RIGHT(Master_Reference[[#This Row],[Model Number]],4),1)="C"),TRUE,"")</f>
        <v>1</v>
      </c>
      <c r="H894" s="1" t="str">
        <f>IF(LEFT(Master_Reference[[#This Row],[Model Number]],1)="U",TRUE,"")</f>
        <v/>
      </c>
      <c r="I894" s="1" t="b">
        <f>IF(Master_Reference[[#This Row],[Lamp Type]]="T4","",IF(Master_Reference[[#This Row],[Case Type]]="M","",TRUE))</f>
        <v>1</v>
      </c>
      <c r="J894" s="1" t="str">
        <f t="shared" si="14"/>
        <v>T8</v>
      </c>
      <c r="K894" s="1">
        <v>40</v>
      </c>
      <c r="L894" s="1" t="s">
        <v>220</v>
      </c>
      <c r="M894" s="1">
        <v>2</v>
      </c>
      <c r="N894" s="1" t="s">
        <v>149</v>
      </c>
      <c r="O894" s="1" t="s">
        <v>113</v>
      </c>
      <c r="R894" t="b">
        <f>IF(COUNTBLANK(Master_Reference[[#This Row],[C-Flex 3000K Eco Part Number]:[C-Flex 4000K Eco Part Number]])=3,FALSE,TRUE)</f>
        <v>0</v>
      </c>
      <c r="S894" t="b">
        <f>IF(COUNTBLANK(Master_Reference[[#This Row],[C-Flex 3000K 3W Part Number]:[C-Flex 4000K 3W Part Number]])=3,FALSE,TRUE)</f>
        <v>0</v>
      </c>
      <c r="T894" t="b">
        <f>IF(COUNTBLANK(Master_Reference[[#This Row],[Lutron 3000K Eco Part Number]:[Lutron 4000K Eco Part Number]])=3,FALSE,TRUE)</f>
        <v>0</v>
      </c>
      <c r="U894" t="b">
        <f>IF(COUNTBLANK(Master_Reference[[#This Row],[Lutron 3000K 3W Part Number]:[Lutron 4000K 3W Part Number]])=3,FALSE,TRUE)</f>
        <v>0</v>
      </c>
      <c r="V894" s="12"/>
      <c r="W894" s="12"/>
      <c r="X894" s="12"/>
      <c r="Y894" t="s">
        <v>2125</v>
      </c>
      <c r="Z894" s="12"/>
      <c r="AA894" s="12"/>
      <c r="AB894" s="12"/>
      <c r="AC894" t="s">
        <v>2125</v>
      </c>
      <c r="AD894" t="str">
        <f>SUBSTITUTE(Master_Reference[[#This Row],[C-Flex 4000K Eco Part Number]],"40-","xx-")</f>
        <v/>
      </c>
      <c r="AE894" t="str">
        <f>SUBSTITUTE(Master_Reference[[#This Row],[C-Flex 4000K 3W Part Number]],"40-","xx-")</f>
        <v/>
      </c>
      <c r="AF894" s="1" t="str">
        <f>_xlfn.IFNA(VLOOKUP(Master_Reference[[#This Row],[C-Flex 3000K Eco Part Number]],Lutron_CFlex_Lookup[],MATCH("Lutron Kit PN",Lutron_CFlex_Lookup[#Headers],0),FALSE),"")</f>
        <v/>
      </c>
      <c r="AG894" s="1" t="str">
        <f>_xlfn.IFNA(VLOOKUP(Master_Reference[[#This Row],[C-Flex 3500K Eco Part Number]],Lutron_CFlex_Lookup[],MATCH("Lutron Kit PN",Lutron_CFlex_Lookup[#Headers],0),FALSE),"")</f>
        <v/>
      </c>
      <c r="AH894" s="1" t="str">
        <f>_xlfn.IFNA(VLOOKUP(Master_Reference[[#This Row],[C-Flex 4000K Eco Part Number]],Lutron_CFlex_Lookup[],MATCH("Lutron Kit PN",Lutron_CFlex_Lookup[#Headers],0),FALSE),"")</f>
        <v/>
      </c>
      <c r="AI894" s="1" t="str">
        <f>_xlfn.IFNA(VLOOKUP(Master_Reference[[#This Row],[C-Flex 5000K Eco Part Number]],Lutron_CFlex_Lookup[],MATCH("Lutron Kit PN",Lutron_CFlex_Lookup[#Headers],0),FALSE),"")</f>
        <v/>
      </c>
      <c r="AJ894" s="1" t="str">
        <f>_xlfn.IFNA(VLOOKUP(Master_Reference[[#This Row],[C-Flex 3000K 3W Part Number]],Lutron_CFlex_Lookup[],MATCH("Lutron Kit PN",Lutron_CFlex_Lookup[#Headers],0),FALSE),"")</f>
        <v/>
      </c>
      <c r="AK894" s="1" t="str">
        <f>_xlfn.IFNA(VLOOKUP(Master_Reference[[#This Row],[C-Flex 3500K 3W Part Number]],Lutron_CFlex_Lookup[],MATCH("Lutron Kit PN",Lutron_CFlex_Lookup[#Headers],0),FALSE),"")</f>
        <v/>
      </c>
      <c r="AL894" s="1" t="str">
        <f>_xlfn.IFNA(VLOOKUP(Master_Reference[[#This Row],[C-Flex 4000K 3W Part Number]],Lutron_CFlex_Lookup[],MATCH("Lutron Kit PN",Lutron_CFlex_Lookup[#Headers],0),FALSE),"")</f>
        <v/>
      </c>
      <c r="AM894" s="1" t="str">
        <f>_xlfn.IFNA(VLOOKUP(Master_Reference[[#This Row],[C-Flex 5000K 3W Part Number]],Lutron_CFlex_Lookup[],MATCH("Lutron Kit PN",Lutron_CFlex_Lookup[#Headers],0),FALSE),"")</f>
        <v/>
      </c>
      <c r="AN894" s="1" t="b">
        <f>NOT(ISNA(VLOOKUP(Master_Reference[[#This Row],[Model Number]],ObsoleteModels[],1,FALSE)))</f>
        <v>1</v>
      </c>
      <c r="AO894" s="1" t="str">
        <f>IF(LEFT(Master_Reference[[#This Row],[Model Number]],1)="U",LEFT(Master_Reference[[#This Row],[Model Number]],4),LEFT(Master_Reference[[#This Row],[Model Number]],3))</f>
        <v>H3D</v>
      </c>
    </row>
    <row r="895" spans="1:41" x14ac:dyDescent="0.25">
      <c r="A895" s="2" t="s">
        <v>1199</v>
      </c>
      <c r="B895" s="1"/>
      <c r="C895" s="1" t="b">
        <v>1</v>
      </c>
      <c r="G895" s="1" t="str">
        <f>IF(OR(LEFT(RIGHT(Master_Reference[[#This Row],[Model Number]],3),1)="C",LEFT(RIGHT(Master_Reference[[#This Row],[Model Number]],4),1)="C"),TRUE,"")</f>
        <v/>
      </c>
      <c r="H895" s="1" t="str">
        <f>IF(LEFT(Master_Reference[[#This Row],[Model Number]],1)="U",TRUE,"")</f>
        <v/>
      </c>
      <c r="I895" s="1" t="str">
        <f>IF(Master_Reference[[#This Row],[Lamp Type]]="T4","",IF(Master_Reference[[#This Row],[Case Type]]="M","",TRUE))</f>
        <v/>
      </c>
      <c r="J895" s="1" t="s">
        <v>87</v>
      </c>
      <c r="K895" s="1">
        <v>32</v>
      </c>
      <c r="L895" s="1" t="s">
        <v>88</v>
      </c>
      <c r="M895" s="1">
        <v>1</v>
      </c>
      <c r="N895" s="1" t="s">
        <v>149</v>
      </c>
      <c r="O895" s="1" t="s">
        <v>150</v>
      </c>
      <c r="P895" s="1" t="b">
        <v>1</v>
      </c>
      <c r="Q895" s="1" t="s">
        <v>892</v>
      </c>
      <c r="R895" t="b">
        <f>IF(COUNTBLANK(Master_Reference[[#This Row],[C-Flex 3000K Eco Part Number]:[C-Flex 4000K Eco Part Number]])=3,FALSE,TRUE)</f>
        <v>0</v>
      </c>
      <c r="S895" t="b">
        <f>IF(COUNTBLANK(Master_Reference[[#This Row],[C-Flex 3000K Eco Part Number]:[C-Flex 4000K Eco Part Number]])=3,FALSE,TRUE)</f>
        <v>0</v>
      </c>
      <c r="T895" t="b">
        <f>IF(COUNTBLANK(Master_Reference[[#This Row],[Lutron 3000K Eco Part Number]:[Lutron 4000K Eco Part Number]])=3,FALSE,TRUE)</f>
        <v>0</v>
      </c>
      <c r="U895" t="b">
        <f>IF(COUNTBLANK(Master_Reference[[#This Row],[Lutron 3000K 3W Part Number]:[Lutron 4000K 3W Part Number]])=3,FALSE,TRUE)</f>
        <v>0</v>
      </c>
      <c r="V895" s="12"/>
      <c r="W895" s="12"/>
      <c r="X895" s="12"/>
      <c r="Y895" t="s">
        <v>2125</v>
      </c>
      <c r="Z895" s="12"/>
      <c r="AA895" s="12"/>
      <c r="AB895" s="12"/>
      <c r="AC895" t="s">
        <v>2125</v>
      </c>
      <c r="AD895" t="str">
        <f>SUBSTITUTE(Master_Reference[[#This Row],[C-Flex 4000K Eco Part Number]],"40-","xx-")</f>
        <v/>
      </c>
      <c r="AE895" t="str">
        <f>SUBSTITUTE(Master_Reference[[#This Row],[C-Flex 4000K 3W Part Number]],"40-","xx-")</f>
        <v/>
      </c>
      <c r="AF895" s="1" t="str">
        <f>_xlfn.IFNA(VLOOKUP(Master_Reference[[#This Row],[C-Flex 3000K Eco Part Number]],Lutron_CFlex_Lookup[],MATCH("Lutron Kit PN",Lutron_CFlex_Lookup[#Headers],0),FALSE),"")</f>
        <v/>
      </c>
      <c r="AG895" s="1" t="str">
        <f>_xlfn.IFNA(VLOOKUP(Master_Reference[[#This Row],[C-Flex 3500K Eco Part Number]],Lutron_CFlex_Lookup[],MATCH("Lutron Kit PN",Lutron_CFlex_Lookup[#Headers],0),FALSE),"")</f>
        <v/>
      </c>
      <c r="AH895" s="1" t="str">
        <f>_xlfn.IFNA(VLOOKUP(Master_Reference[[#This Row],[C-Flex 4000K Eco Part Number]],Lutron_CFlex_Lookup[],MATCH("Lutron Kit PN",Lutron_CFlex_Lookup[#Headers],0),FALSE),"")</f>
        <v/>
      </c>
      <c r="AI895" s="1" t="str">
        <f>_xlfn.IFNA(VLOOKUP(Master_Reference[[#This Row],[C-Flex 5000K Eco Part Number]],Lutron_CFlex_Lookup[],MATCH("Lutron Kit PN",Lutron_CFlex_Lookup[#Headers],0),FALSE),"")</f>
        <v/>
      </c>
      <c r="AJ895" s="1" t="str">
        <f>_xlfn.IFNA(VLOOKUP(Master_Reference[[#This Row],[C-Flex 3000K 3W Part Number]],Lutron_CFlex_Lookup[],MATCH("Lutron Kit PN",Lutron_CFlex_Lookup[#Headers],0),FALSE),"")</f>
        <v/>
      </c>
      <c r="AK895" s="1" t="str">
        <f>_xlfn.IFNA(VLOOKUP(Master_Reference[[#This Row],[C-Flex 3500K 3W Part Number]],Lutron_CFlex_Lookup[],MATCH("Lutron Kit PN",Lutron_CFlex_Lookup[#Headers],0),FALSE),"")</f>
        <v/>
      </c>
      <c r="AL895" s="1" t="str">
        <f>_xlfn.IFNA(VLOOKUP(Master_Reference[[#This Row],[C-Flex 4000K 3W Part Number]],Lutron_CFlex_Lookup[],MATCH("Lutron Kit PN",Lutron_CFlex_Lookup[#Headers],0),FALSE),"")</f>
        <v/>
      </c>
      <c r="AM895" s="1" t="str">
        <f>_xlfn.IFNA(VLOOKUP(Master_Reference[[#This Row],[C-Flex 5000K 3W Part Number]],Lutron_CFlex_Lookup[],MATCH("Lutron Kit PN",Lutron_CFlex_Lookup[#Headers],0),FALSE),"")</f>
        <v/>
      </c>
      <c r="AN895" s="1" t="b">
        <f>NOT(ISNA(VLOOKUP(Master_Reference[[#This Row],[Model Number]],ObsoleteModels[],1,FALSE)))</f>
        <v>1</v>
      </c>
      <c r="AO895" s="1" t="str">
        <f>IF(LEFT(Master_Reference[[#This Row],[Model Number]],1)="U",LEFT(Master_Reference[[#This Row],[Model Number]],4),LEFT(Master_Reference[[#This Row],[Model Number]],3))</f>
        <v>H3T</v>
      </c>
    </row>
    <row r="896" spans="1:41" x14ac:dyDescent="0.25">
      <c r="A896" s="2" t="s">
        <v>1200</v>
      </c>
      <c r="B896" s="1"/>
      <c r="C896" s="1" t="b">
        <v>1</v>
      </c>
      <c r="G896" s="1" t="str">
        <f>IF(OR(LEFT(RIGHT(Master_Reference[[#This Row],[Model Number]],3),1)="C",LEFT(RIGHT(Master_Reference[[#This Row],[Model Number]],4),1)="C"),TRUE,"")</f>
        <v/>
      </c>
      <c r="H896" s="1" t="str">
        <f>IF(LEFT(Master_Reference[[#This Row],[Model Number]],1)="U",TRUE,"")</f>
        <v/>
      </c>
      <c r="I896" s="1" t="b">
        <f>IF(Master_Reference[[#This Row],[Lamp Type]]="T4","",IF(Master_Reference[[#This Row],[Case Type]]="M","",TRUE))</f>
        <v>1</v>
      </c>
      <c r="J896" s="1" t="str">
        <f t="shared" ref="J896:J901" si="15">RIGHT(LEFT((A896),4),2)</f>
        <v>T8</v>
      </c>
      <c r="K896" s="1">
        <v>32</v>
      </c>
      <c r="L896" s="1" t="s">
        <v>118</v>
      </c>
      <c r="M896" s="1">
        <v>2</v>
      </c>
      <c r="N896" s="1" t="s">
        <v>149</v>
      </c>
      <c r="O896" s="1" t="s">
        <v>113</v>
      </c>
      <c r="Q896" s="1" t="s">
        <v>892</v>
      </c>
      <c r="R896" t="b">
        <f>IF(COUNTBLANK(Master_Reference[[#This Row],[C-Flex 3000K Eco Part Number]:[C-Flex 4000K Eco Part Number]])=3,FALSE,TRUE)</f>
        <v>0</v>
      </c>
      <c r="S896" t="b">
        <f>IF(COUNTBLANK(Master_Reference[[#This Row],[C-Flex 3000K 3W Part Number]:[C-Flex 4000K 3W Part Number]])=3,FALSE,TRUE)</f>
        <v>0</v>
      </c>
      <c r="T896" t="b">
        <f>IF(COUNTBLANK(Master_Reference[[#This Row],[Lutron 3000K Eco Part Number]:[Lutron 4000K Eco Part Number]])=3,FALSE,TRUE)</f>
        <v>0</v>
      </c>
      <c r="U896" t="b">
        <f>IF(COUNTBLANK(Master_Reference[[#This Row],[Lutron 3000K 3W Part Number]:[Lutron 4000K 3W Part Number]])=3,FALSE,TRUE)</f>
        <v>0</v>
      </c>
      <c r="V896" s="12"/>
      <c r="W896" s="12"/>
      <c r="X896" s="12"/>
      <c r="Y896" t="s">
        <v>2125</v>
      </c>
      <c r="Z896" s="12"/>
      <c r="AA896" s="12"/>
      <c r="AB896" s="12"/>
      <c r="AC896" t="s">
        <v>2125</v>
      </c>
      <c r="AD896" t="str">
        <f>SUBSTITUTE(Master_Reference[[#This Row],[C-Flex 4000K Eco Part Number]],"40-","xx-")</f>
        <v/>
      </c>
      <c r="AE896" t="str">
        <f>SUBSTITUTE(Master_Reference[[#This Row],[C-Flex 4000K 3W Part Number]],"40-","xx-")</f>
        <v/>
      </c>
      <c r="AF896" s="1" t="str">
        <f>_xlfn.IFNA(VLOOKUP(Master_Reference[[#This Row],[C-Flex 3000K Eco Part Number]],Lutron_CFlex_Lookup[],MATCH("Lutron Kit PN",Lutron_CFlex_Lookup[#Headers],0),FALSE),"")</f>
        <v/>
      </c>
      <c r="AG896" s="1" t="str">
        <f>_xlfn.IFNA(VLOOKUP(Master_Reference[[#This Row],[C-Flex 3500K Eco Part Number]],Lutron_CFlex_Lookup[],MATCH("Lutron Kit PN",Lutron_CFlex_Lookup[#Headers],0),FALSE),"")</f>
        <v/>
      </c>
      <c r="AH896" s="1" t="str">
        <f>_xlfn.IFNA(VLOOKUP(Master_Reference[[#This Row],[C-Flex 4000K Eco Part Number]],Lutron_CFlex_Lookup[],MATCH("Lutron Kit PN",Lutron_CFlex_Lookup[#Headers],0),FALSE),"")</f>
        <v/>
      </c>
      <c r="AI896" s="1" t="str">
        <f>_xlfn.IFNA(VLOOKUP(Master_Reference[[#This Row],[C-Flex 5000K Eco Part Number]],Lutron_CFlex_Lookup[],MATCH("Lutron Kit PN",Lutron_CFlex_Lookup[#Headers],0),FALSE),"")</f>
        <v/>
      </c>
      <c r="AJ896" s="1" t="str">
        <f>_xlfn.IFNA(VLOOKUP(Master_Reference[[#This Row],[C-Flex 3000K 3W Part Number]],Lutron_CFlex_Lookup[],MATCH("Lutron Kit PN",Lutron_CFlex_Lookup[#Headers],0),FALSE),"")</f>
        <v/>
      </c>
      <c r="AK896" s="1" t="str">
        <f>_xlfn.IFNA(VLOOKUP(Master_Reference[[#This Row],[C-Flex 3500K 3W Part Number]],Lutron_CFlex_Lookup[],MATCH("Lutron Kit PN",Lutron_CFlex_Lookup[#Headers],0),FALSE),"")</f>
        <v/>
      </c>
      <c r="AL896" s="1" t="str">
        <f>_xlfn.IFNA(VLOOKUP(Master_Reference[[#This Row],[C-Flex 4000K 3W Part Number]],Lutron_CFlex_Lookup[],MATCH("Lutron Kit PN",Lutron_CFlex_Lookup[#Headers],0),FALSE),"")</f>
        <v/>
      </c>
      <c r="AM896" s="1" t="str">
        <f>_xlfn.IFNA(VLOOKUP(Master_Reference[[#This Row],[C-Flex 5000K 3W Part Number]],Lutron_CFlex_Lookup[],MATCH("Lutron Kit PN",Lutron_CFlex_Lookup[#Headers],0),FALSE),"")</f>
        <v/>
      </c>
      <c r="AN896" s="1" t="b">
        <f>NOT(ISNA(VLOOKUP(Master_Reference[[#This Row],[Model Number]],ObsoleteModels[],1,FALSE)))</f>
        <v>1</v>
      </c>
      <c r="AO896" s="1" t="str">
        <f>IF(LEFT(Master_Reference[[#This Row],[Model Number]],1)="U",LEFT(Master_Reference[[#This Row],[Model Number]],4),LEFT(Master_Reference[[#This Row],[Model Number]],3))</f>
        <v>H3T</v>
      </c>
    </row>
    <row r="897" spans="1:41" x14ac:dyDescent="0.25">
      <c r="A897" s="2" t="s">
        <v>1201</v>
      </c>
      <c r="B897" s="1"/>
      <c r="C897" s="1" t="b">
        <v>1</v>
      </c>
      <c r="G897" s="1" t="str">
        <f>IF(OR(LEFT(RIGHT(Master_Reference[[#This Row],[Model Number]],3),1)="C",LEFT(RIGHT(Master_Reference[[#This Row],[Model Number]],4),1)="C"),TRUE,"")</f>
        <v/>
      </c>
      <c r="H897" s="1" t="str">
        <f>IF(LEFT(Master_Reference[[#This Row],[Model Number]],1)="U",TRUE,"")</f>
        <v/>
      </c>
      <c r="I897" s="1" t="b">
        <f>IF(Master_Reference[[#This Row],[Lamp Type]]="T4","",IF(Master_Reference[[#This Row],[Case Type]]="M","",TRUE))</f>
        <v>1</v>
      </c>
      <c r="J897" s="1" t="str">
        <f t="shared" si="15"/>
        <v>T8</v>
      </c>
      <c r="K897" s="1">
        <v>32</v>
      </c>
      <c r="L897" s="1" t="s">
        <v>118</v>
      </c>
      <c r="M897" s="1">
        <v>3</v>
      </c>
      <c r="N897" s="1" t="s">
        <v>149</v>
      </c>
      <c r="O897" s="1" t="s">
        <v>217</v>
      </c>
      <c r="R897" t="b">
        <f>IF(COUNTBLANK(Master_Reference[[#This Row],[C-Flex 3000K Eco Part Number]:[C-Flex 4000K Eco Part Number]])=3,FALSE,TRUE)</f>
        <v>0</v>
      </c>
      <c r="S897" t="b">
        <f>IF(COUNTBLANK(Master_Reference[[#This Row],[C-Flex 3000K 3W Part Number]:[C-Flex 4000K 3W Part Number]])=3,FALSE,TRUE)</f>
        <v>1</v>
      </c>
      <c r="T897" t="b">
        <f>IF(COUNTBLANK(Master_Reference[[#This Row],[Lutron 3000K Eco Part Number]:[Lutron 4000K Eco Part Number]])=3,FALSE,TRUE)</f>
        <v>0</v>
      </c>
      <c r="U897" t="b">
        <f>IF(COUNTBLANK(Master_Reference[[#This Row],[Lutron 3000K 3W Part Number]:[Lutron 4000K 3W Part Number]])=3,FALSE,TRUE)</f>
        <v>1</v>
      </c>
      <c r="V897" s="12"/>
      <c r="W897" s="12"/>
      <c r="X897" s="12"/>
      <c r="Y897" t="s">
        <v>2125</v>
      </c>
      <c r="Z897" s="12" t="s">
        <v>277</v>
      </c>
      <c r="AA897" s="12" t="s">
        <v>278</v>
      </c>
      <c r="AB897" s="12" t="s">
        <v>279</v>
      </c>
      <c r="AC897" t="s">
        <v>1831</v>
      </c>
      <c r="AD897" t="str">
        <f>SUBSTITUTE(Master_Reference[[#This Row],[C-Flex 4000K Eco Part Number]],"40-","xx-")</f>
        <v/>
      </c>
      <c r="AE897" t="str">
        <f>SUBSTITUTE(Master_Reference[[#This Row],[C-Flex 4000K 3W Part Number]],"40-","xx-")</f>
        <v>RP-T8-4FT-3L-8xx-3W-M-G2</v>
      </c>
      <c r="AF897" s="1" t="str">
        <f>_xlfn.IFNA(VLOOKUP(Master_Reference[[#This Row],[C-Flex 3000K Eco Part Number]],Lutron_CFlex_Lookup[],MATCH("Lutron Kit PN",Lutron_CFlex_Lookup[#Headers],0),FALSE),"")</f>
        <v/>
      </c>
      <c r="AG897" s="1" t="str">
        <f>_xlfn.IFNA(VLOOKUP(Master_Reference[[#This Row],[C-Flex 3500K Eco Part Number]],Lutron_CFlex_Lookup[],MATCH("Lutron Kit PN",Lutron_CFlex_Lookup[#Headers],0),FALSE),"")</f>
        <v/>
      </c>
      <c r="AH897" s="1" t="str">
        <f>_xlfn.IFNA(VLOOKUP(Master_Reference[[#This Row],[C-Flex 4000K Eco Part Number]],Lutron_CFlex_Lookup[],MATCH("Lutron Kit PN",Lutron_CFlex_Lookup[#Headers],0),FALSE),"")</f>
        <v/>
      </c>
      <c r="AI897" s="1" t="str">
        <f>_xlfn.IFNA(VLOOKUP(Master_Reference[[#This Row],[C-Flex 5000K Eco Part Number]],Lutron_CFlex_Lookup[],MATCH("Lutron Kit PN",Lutron_CFlex_Lookup[#Headers],0),FALSE),"")</f>
        <v/>
      </c>
      <c r="AJ897" s="1" t="str">
        <f>_xlfn.IFNA(VLOOKUP(Master_Reference[[#This Row],[C-Flex 3000K 3W Part Number]],Lutron_CFlex_Lookup[],MATCH("Lutron Kit PN",Lutron_CFlex_Lookup[#Headers],0),FALSE),"")</f>
        <v>3LD4T8-3M30-q</v>
      </c>
      <c r="AK897" s="1" t="str">
        <f>_xlfn.IFNA(VLOOKUP(Master_Reference[[#This Row],[C-Flex 3500K 3W Part Number]],Lutron_CFlex_Lookup[],MATCH("Lutron Kit PN",Lutron_CFlex_Lookup[#Headers],0),FALSE),"")</f>
        <v>3LD4T8-3M35-q</v>
      </c>
      <c r="AL897" s="1" t="str">
        <f>_xlfn.IFNA(VLOOKUP(Master_Reference[[#This Row],[C-Flex 4000K 3W Part Number]],Lutron_CFlex_Lookup[],MATCH("Lutron Kit PN",Lutron_CFlex_Lookup[#Headers],0),FALSE),"")</f>
        <v>3LD4T8-3M40-q</v>
      </c>
      <c r="AM897" s="1" t="str">
        <f>_xlfn.IFNA(VLOOKUP(Master_Reference[[#This Row],[C-Flex 5000K 3W Part Number]],Lutron_CFlex_Lookup[],MATCH("Lutron Kit PN",Lutron_CFlex_Lookup[#Headers],0),FALSE),"")</f>
        <v>3LD4T8-3M50-q</v>
      </c>
      <c r="AN897" s="1" t="b">
        <f>NOT(ISNA(VLOOKUP(Master_Reference[[#This Row],[Model Number]],ObsoleteModels[],1,FALSE)))</f>
        <v>1</v>
      </c>
      <c r="AO897" s="1" t="str">
        <f>IF(LEFT(Master_Reference[[#This Row],[Model Number]],1)="U",LEFT(Master_Reference[[#This Row],[Model Number]],4),LEFT(Master_Reference[[#This Row],[Model Number]],3))</f>
        <v>H3T</v>
      </c>
    </row>
    <row r="898" spans="1:41" x14ac:dyDescent="0.25">
      <c r="A898" s="2" t="s">
        <v>1202</v>
      </c>
      <c r="B898" s="1"/>
      <c r="C898" s="1" t="b">
        <v>1</v>
      </c>
      <c r="G898" s="1" t="str">
        <f>IF(OR(LEFT(RIGHT(Master_Reference[[#This Row],[Model Number]],3),1)="C",LEFT(RIGHT(Master_Reference[[#This Row],[Model Number]],4),1)="C"),TRUE,"")</f>
        <v/>
      </c>
      <c r="H898" s="1" t="str">
        <f>IF(LEFT(Master_Reference[[#This Row],[Model Number]],1)="U",TRUE,"")</f>
        <v/>
      </c>
      <c r="I898" s="1" t="b">
        <f>IF(Master_Reference[[#This Row],[Lamp Type]]="T4","",IF(Master_Reference[[#This Row],[Case Type]]="M","",TRUE))</f>
        <v>1</v>
      </c>
      <c r="J898" s="1" t="str">
        <f t="shared" si="15"/>
        <v>T8</v>
      </c>
      <c r="K898" s="1">
        <v>32</v>
      </c>
      <c r="L898" s="1" t="s">
        <v>118</v>
      </c>
      <c r="M898" s="1">
        <v>3</v>
      </c>
      <c r="N898" s="1" t="s">
        <v>149</v>
      </c>
      <c r="O898" s="1" t="s">
        <v>217</v>
      </c>
      <c r="R898" t="b">
        <f>IF(COUNTBLANK(Master_Reference[[#This Row],[C-Flex 3000K Eco Part Number]:[C-Flex 4000K Eco Part Number]])=3,FALSE,TRUE)</f>
        <v>0</v>
      </c>
      <c r="S898" t="b">
        <f>IF(COUNTBLANK(Master_Reference[[#This Row],[C-Flex 3000K 3W Part Number]:[C-Flex 4000K 3W Part Number]])=3,FALSE,TRUE)</f>
        <v>1</v>
      </c>
      <c r="T898" t="b">
        <f>IF(COUNTBLANK(Master_Reference[[#This Row],[Lutron 3000K Eco Part Number]:[Lutron 4000K Eco Part Number]])=3,FALSE,TRUE)</f>
        <v>0</v>
      </c>
      <c r="U898" t="b">
        <f>IF(COUNTBLANK(Master_Reference[[#This Row],[Lutron 3000K 3W Part Number]:[Lutron 4000K 3W Part Number]])=3,FALSE,TRUE)</f>
        <v>1</v>
      </c>
      <c r="V898" s="12"/>
      <c r="W898" s="12"/>
      <c r="X898" s="12"/>
      <c r="Y898" t="s">
        <v>2125</v>
      </c>
      <c r="Z898" s="12" t="s">
        <v>277</v>
      </c>
      <c r="AA898" s="12" t="s">
        <v>278</v>
      </c>
      <c r="AB898" s="12" t="s">
        <v>279</v>
      </c>
      <c r="AC898" t="s">
        <v>1831</v>
      </c>
      <c r="AD898" t="str">
        <f>SUBSTITUTE(Master_Reference[[#This Row],[C-Flex 4000K Eco Part Number]],"40-","xx-")</f>
        <v/>
      </c>
      <c r="AE898" t="str">
        <f>SUBSTITUTE(Master_Reference[[#This Row],[C-Flex 4000K 3W Part Number]],"40-","xx-")</f>
        <v>RP-T8-4FT-3L-8xx-3W-M-G2</v>
      </c>
      <c r="AF898" s="1" t="str">
        <f>_xlfn.IFNA(VLOOKUP(Master_Reference[[#This Row],[C-Flex 3000K Eco Part Number]],Lutron_CFlex_Lookup[],MATCH("Lutron Kit PN",Lutron_CFlex_Lookup[#Headers],0),FALSE),"")</f>
        <v/>
      </c>
      <c r="AG898" s="1" t="str">
        <f>_xlfn.IFNA(VLOOKUP(Master_Reference[[#This Row],[C-Flex 3500K Eco Part Number]],Lutron_CFlex_Lookup[],MATCH("Lutron Kit PN",Lutron_CFlex_Lookup[#Headers],0),FALSE),"")</f>
        <v/>
      </c>
      <c r="AH898" s="1" t="str">
        <f>_xlfn.IFNA(VLOOKUP(Master_Reference[[#This Row],[C-Flex 4000K Eco Part Number]],Lutron_CFlex_Lookup[],MATCH("Lutron Kit PN",Lutron_CFlex_Lookup[#Headers],0),FALSE),"")</f>
        <v/>
      </c>
      <c r="AI898" s="1" t="str">
        <f>_xlfn.IFNA(VLOOKUP(Master_Reference[[#This Row],[C-Flex 5000K Eco Part Number]],Lutron_CFlex_Lookup[],MATCH("Lutron Kit PN",Lutron_CFlex_Lookup[#Headers],0),FALSE),"")</f>
        <v/>
      </c>
      <c r="AJ898" s="1" t="str">
        <f>_xlfn.IFNA(VLOOKUP(Master_Reference[[#This Row],[C-Flex 3000K 3W Part Number]],Lutron_CFlex_Lookup[],MATCH("Lutron Kit PN",Lutron_CFlex_Lookup[#Headers],0),FALSE),"")</f>
        <v>3LD4T8-3M30-q</v>
      </c>
      <c r="AK898" s="1" t="str">
        <f>_xlfn.IFNA(VLOOKUP(Master_Reference[[#This Row],[C-Flex 3500K 3W Part Number]],Lutron_CFlex_Lookup[],MATCH("Lutron Kit PN",Lutron_CFlex_Lookup[#Headers],0),FALSE),"")</f>
        <v>3LD4T8-3M35-q</v>
      </c>
      <c r="AL898" s="1" t="str">
        <f>_xlfn.IFNA(VLOOKUP(Master_Reference[[#This Row],[C-Flex 4000K 3W Part Number]],Lutron_CFlex_Lookup[],MATCH("Lutron Kit PN",Lutron_CFlex_Lookup[#Headers],0),FALSE),"")</f>
        <v>3LD4T8-3M40-q</v>
      </c>
      <c r="AM898" s="1" t="str">
        <f>_xlfn.IFNA(VLOOKUP(Master_Reference[[#This Row],[C-Flex 5000K 3W Part Number]],Lutron_CFlex_Lookup[],MATCH("Lutron Kit PN",Lutron_CFlex_Lookup[#Headers],0),FALSE),"")</f>
        <v>3LD4T8-3M50-q</v>
      </c>
      <c r="AN898" s="1" t="b">
        <f>NOT(ISNA(VLOOKUP(Master_Reference[[#This Row],[Model Number]],ObsoleteModels[],1,FALSE)))</f>
        <v>1</v>
      </c>
      <c r="AO898" s="1" t="str">
        <f>IF(LEFT(Master_Reference[[#This Row],[Model Number]],1)="U",LEFT(Master_Reference[[#This Row],[Model Number]],4),LEFT(Master_Reference[[#This Row],[Model Number]],3))</f>
        <v>H3T</v>
      </c>
    </row>
    <row r="899" spans="1:41" x14ac:dyDescent="0.25">
      <c r="A899" s="2" t="s">
        <v>1203</v>
      </c>
      <c r="B899" s="1"/>
      <c r="C899" s="1" t="b">
        <v>1</v>
      </c>
      <c r="G899" s="1" t="b">
        <f>IF(OR(LEFT(RIGHT(Master_Reference[[#This Row],[Model Number]],3),1)="C",LEFT(RIGHT(Master_Reference[[#This Row],[Model Number]],4),1)="C"),TRUE,"")</f>
        <v>1</v>
      </c>
      <c r="H899" s="1" t="str">
        <f>IF(LEFT(Master_Reference[[#This Row],[Model Number]],1)="U",TRUE,"")</f>
        <v/>
      </c>
      <c r="I899" s="1" t="b">
        <f>IF(Master_Reference[[#This Row],[Lamp Type]]="T4","",IF(Master_Reference[[#This Row],[Case Type]]="M","",TRUE))</f>
        <v>1</v>
      </c>
      <c r="J899" s="1" t="str">
        <f t="shared" si="15"/>
        <v>T8</v>
      </c>
      <c r="K899" s="1">
        <v>32</v>
      </c>
      <c r="L899" s="1" t="s">
        <v>118</v>
      </c>
      <c r="M899" s="1">
        <v>3</v>
      </c>
      <c r="N899" s="1" t="s">
        <v>149</v>
      </c>
      <c r="O899" s="1" t="s">
        <v>217</v>
      </c>
      <c r="R899" t="b">
        <f>IF(COUNTBLANK(Master_Reference[[#This Row],[C-Flex 3000K Eco Part Number]:[C-Flex 4000K Eco Part Number]])=3,FALSE,TRUE)</f>
        <v>0</v>
      </c>
      <c r="S899" t="b">
        <f>IF(COUNTBLANK(Master_Reference[[#This Row],[C-Flex 3000K 3W Part Number]:[C-Flex 4000K 3W Part Number]])=3,FALSE,TRUE)</f>
        <v>1</v>
      </c>
      <c r="T899" t="b">
        <f>IF(COUNTBLANK(Master_Reference[[#This Row],[Lutron 3000K Eco Part Number]:[Lutron 4000K Eco Part Number]])=3,FALSE,TRUE)</f>
        <v>0</v>
      </c>
      <c r="U899" t="b">
        <f>IF(COUNTBLANK(Master_Reference[[#This Row],[Lutron 3000K 3W Part Number]:[Lutron 4000K 3W Part Number]])=3,FALSE,TRUE)</f>
        <v>1</v>
      </c>
      <c r="V899" s="12"/>
      <c r="W899" s="12"/>
      <c r="X899" s="12"/>
      <c r="Y899" t="s">
        <v>2125</v>
      </c>
      <c r="Z899" s="12" t="s">
        <v>277</v>
      </c>
      <c r="AA899" s="12" t="s">
        <v>278</v>
      </c>
      <c r="AB899" s="12" t="s">
        <v>279</v>
      </c>
      <c r="AC899" t="s">
        <v>1831</v>
      </c>
      <c r="AD899" t="str">
        <f>SUBSTITUTE(Master_Reference[[#This Row],[C-Flex 4000K Eco Part Number]],"40-","xx-")</f>
        <v/>
      </c>
      <c r="AE899" t="str">
        <f>SUBSTITUTE(Master_Reference[[#This Row],[C-Flex 4000K 3W Part Number]],"40-","xx-")</f>
        <v>RP-T8-4FT-3L-8xx-3W-M-G2</v>
      </c>
      <c r="AF899" s="1" t="str">
        <f>_xlfn.IFNA(VLOOKUP(Master_Reference[[#This Row],[C-Flex 3000K Eco Part Number]],Lutron_CFlex_Lookup[],MATCH("Lutron Kit PN",Lutron_CFlex_Lookup[#Headers],0),FALSE),"")</f>
        <v/>
      </c>
      <c r="AG899" s="1" t="str">
        <f>_xlfn.IFNA(VLOOKUP(Master_Reference[[#This Row],[C-Flex 3500K Eco Part Number]],Lutron_CFlex_Lookup[],MATCH("Lutron Kit PN",Lutron_CFlex_Lookup[#Headers],0),FALSE),"")</f>
        <v/>
      </c>
      <c r="AH899" s="1" t="str">
        <f>_xlfn.IFNA(VLOOKUP(Master_Reference[[#This Row],[C-Flex 4000K Eco Part Number]],Lutron_CFlex_Lookup[],MATCH("Lutron Kit PN",Lutron_CFlex_Lookup[#Headers],0),FALSE),"")</f>
        <v/>
      </c>
      <c r="AI899" s="1" t="str">
        <f>_xlfn.IFNA(VLOOKUP(Master_Reference[[#This Row],[C-Flex 5000K Eco Part Number]],Lutron_CFlex_Lookup[],MATCH("Lutron Kit PN",Lutron_CFlex_Lookup[#Headers],0),FALSE),"")</f>
        <v/>
      </c>
      <c r="AJ899" s="1" t="str">
        <f>_xlfn.IFNA(VLOOKUP(Master_Reference[[#This Row],[C-Flex 3000K 3W Part Number]],Lutron_CFlex_Lookup[],MATCH("Lutron Kit PN",Lutron_CFlex_Lookup[#Headers],0),FALSE),"")</f>
        <v>3LD4T8-3M30-q</v>
      </c>
      <c r="AK899" s="1" t="str">
        <f>_xlfn.IFNA(VLOOKUP(Master_Reference[[#This Row],[C-Flex 3500K 3W Part Number]],Lutron_CFlex_Lookup[],MATCH("Lutron Kit PN",Lutron_CFlex_Lookup[#Headers],0),FALSE),"")</f>
        <v>3LD4T8-3M35-q</v>
      </c>
      <c r="AL899" s="1" t="str">
        <f>_xlfn.IFNA(VLOOKUP(Master_Reference[[#This Row],[C-Flex 4000K 3W Part Number]],Lutron_CFlex_Lookup[],MATCH("Lutron Kit PN",Lutron_CFlex_Lookup[#Headers],0),FALSE),"")</f>
        <v>3LD4T8-3M40-q</v>
      </c>
      <c r="AM899" s="1" t="str">
        <f>_xlfn.IFNA(VLOOKUP(Master_Reference[[#This Row],[C-Flex 5000K 3W Part Number]],Lutron_CFlex_Lookup[],MATCH("Lutron Kit PN",Lutron_CFlex_Lookup[#Headers],0),FALSE),"")</f>
        <v>3LD4T8-3M50-q</v>
      </c>
      <c r="AN899" s="1" t="b">
        <f>NOT(ISNA(VLOOKUP(Master_Reference[[#This Row],[Model Number]],ObsoleteModels[],1,FALSE)))</f>
        <v>1</v>
      </c>
      <c r="AO899" s="1" t="str">
        <f>IF(LEFT(Master_Reference[[#This Row],[Model Number]],1)="U",LEFT(Master_Reference[[#This Row],[Model Number]],4),LEFT(Master_Reference[[#This Row],[Model Number]],3))</f>
        <v>H3T</v>
      </c>
    </row>
    <row r="900" spans="1:41" x14ac:dyDescent="0.25">
      <c r="A900" s="2" t="s">
        <v>1204</v>
      </c>
      <c r="B900" s="1"/>
      <c r="C900" s="1" t="b">
        <v>1</v>
      </c>
      <c r="G900" s="1" t="str">
        <f>IF(OR(LEFT(RIGHT(Master_Reference[[#This Row],[Model Number]],3),1)="C",LEFT(RIGHT(Master_Reference[[#This Row],[Model Number]],4),1)="C"),TRUE,"")</f>
        <v/>
      </c>
      <c r="H900" s="1" t="str">
        <f>IF(LEFT(Master_Reference[[#This Row],[Model Number]],1)="U",TRUE,"")</f>
        <v/>
      </c>
      <c r="I900" s="1" t="b">
        <f>IF(Master_Reference[[#This Row],[Lamp Type]]="T4","",IF(Master_Reference[[#This Row],[Case Type]]="M","",TRUE))</f>
        <v>1</v>
      </c>
      <c r="J900" s="1" t="str">
        <f t="shared" si="15"/>
        <v>T8</v>
      </c>
      <c r="K900" s="1">
        <v>32</v>
      </c>
      <c r="L900" s="1" t="s">
        <v>118</v>
      </c>
      <c r="M900" s="1">
        <v>1</v>
      </c>
      <c r="N900" s="1" t="s">
        <v>149</v>
      </c>
      <c r="O900" s="1" t="s">
        <v>217</v>
      </c>
      <c r="Q900" s="1" t="s">
        <v>892</v>
      </c>
      <c r="R900" t="b">
        <f>IF(COUNTBLANK(Master_Reference[[#This Row],[C-Flex 3000K Eco Part Number]:[C-Flex 4000K Eco Part Number]])=3,FALSE,TRUE)</f>
        <v>0</v>
      </c>
      <c r="S900" t="b">
        <f>IF(COUNTBLANK(Master_Reference[[#This Row],[C-Flex 3000K 3W Part Number]:[C-Flex 4000K 3W Part Number]])=3,FALSE,TRUE)</f>
        <v>0</v>
      </c>
      <c r="T900" t="b">
        <f>IF(COUNTBLANK(Master_Reference[[#This Row],[Lutron 3000K Eco Part Number]:[Lutron 4000K Eco Part Number]])=3,FALSE,TRUE)</f>
        <v>0</v>
      </c>
      <c r="U900" t="b">
        <f>IF(COUNTBLANK(Master_Reference[[#This Row],[Lutron 3000K 3W Part Number]:[Lutron 4000K 3W Part Number]])=3,FALSE,TRUE)</f>
        <v>0</v>
      </c>
      <c r="V900" s="12"/>
      <c r="W900" s="12"/>
      <c r="X900" s="12"/>
      <c r="Y900" t="s">
        <v>2125</v>
      </c>
      <c r="Z900" s="12"/>
      <c r="AA900" s="12"/>
      <c r="AB900" s="12"/>
      <c r="AC900" t="s">
        <v>2125</v>
      </c>
      <c r="AD900" t="str">
        <f>SUBSTITUTE(Master_Reference[[#This Row],[C-Flex 4000K Eco Part Number]],"40-","xx-")</f>
        <v/>
      </c>
      <c r="AE900" t="str">
        <f>SUBSTITUTE(Master_Reference[[#This Row],[C-Flex 4000K 3W Part Number]],"40-","xx-")</f>
        <v/>
      </c>
      <c r="AF900" s="1" t="str">
        <f>_xlfn.IFNA(VLOOKUP(Master_Reference[[#This Row],[C-Flex 3000K Eco Part Number]],Lutron_CFlex_Lookup[],MATCH("Lutron Kit PN",Lutron_CFlex_Lookup[#Headers],0),FALSE),"")</f>
        <v/>
      </c>
      <c r="AG900" s="1" t="str">
        <f>_xlfn.IFNA(VLOOKUP(Master_Reference[[#This Row],[C-Flex 3500K Eco Part Number]],Lutron_CFlex_Lookup[],MATCH("Lutron Kit PN",Lutron_CFlex_Lookup[#Headers],0),FALSE),"")</f>
        <v/>
      </c>
      <c r="AH900" s="1" t="str">
        <f>_xlfn.IFNA(VLOOKUP(Master_Reference[[#This Row],[C-Flex 4000K Eco Part Number]],Lutron_CFlex_Lookup[],MATCH("Lutron Kit PN",Lutron_CFlex_Lookup[#Headers],0),FALSE),"")</f>
        <v/>
      </c>
      <c r="AI900" s="1" t="str">
        <f>_xlfn.IFNA(VLOOKUP(Master_Reference[[#This Row],[C-Flex 5000K Eco Part Number]],Lutron_CFlex_Lookup[],MATCH("Lutron Kit PN",Lutron_CFlex_Lookup[#Headers],0),FALSE),"")</f>
        <v/>
      </c>
      <c r="AJ900" s="1" t="str">
        <f>_xlfn.IFNA(VLOOKUP(Master_Reference[[#This Row],[C-Flex 3000K 3W Part Number]],Lutron_CFlex_Lookup[],MATCH("Lutron Kit PN",Lutron_CFlex_Lookup[#Headers],0),FALSE),"")</f>
        <v/>
      </c>
      <c r="AK900" s="1" t="str">
        <f>_xlfn.IFNA(VLOOKUP(Master_Reference[[#This Row],[C-Flex 3500K 3W Part Number]],Lutron_CFlex_Lookup[],MATCH("Lutron Kit PN",Lutron_CFlex_Lookup[#Headers],0),FALSE),"")</f>
        <v/>
      </c>
      <c r="AL900" s="1" t="str">
        <f>_xlfn.IFNA(VLOOKUP(Master_Reference[[#This Row],[C-Flex 4000K 3W Part Number]],Lutron_CFlex_Lookup[],MATCH("Lutron Kit PN",Lutron_CFlex_Lookup[#Headers],0),FALSE),"")</f>
        <v/>
      </c>
      <c r="AM900" s="1" t="str">
        <f>_xlfn.IFNA(VLOOKUP(Master_Reference[[#This Row],[C-Flex 5000K 3W Part Number]],Lutron_CFlex_Lookup[],MATCH("Lutron Kit PN",Lutron_CFlex_Lookup[#Headers],0),FALSE),"")</f>
        <v/>
      </c>
      <c r="AN900" s="1" t="b">
        <f>NOT(ISNA(VLOOKUP(Master_Reference[[#This Row],[Model Number]],ObsoleteModels[],1,FALSE)))</f>
        <v>1</v>
      </c>
      <c r="AO900" s="1" t="str">
        <f>IF(LEFT(Master_Reference[[#This Row],[Model Number]],1)="U",LEFT(Master_Reference[[#This Row],[Model Number]],4),LEFT(Master_Reference[[#This Row],[Model Number]],3))</f>
        <v>H3T</v>
      </c>
    </row>
    <row r="901" spans="1:41" x14ac:dyDescent="0.25">
      <c r="A901" s="2" t="s">
        <v>1205</v>
      </c>
      <c r="B901" s="1"/>
      <c r="C901" s="1" t="b">
        <v>1</v>
      </c>
      <c r="G901" s="1" t="str">
        <f>IF(OR(LEFT(RIGHT(Master_Reference[[#This Row],[Model Number]],3),1)="C",LEFT(RIGHT(Master_Reference[[#This Row],[Model Number]],4),1)="C"),TRUE,"")</f>
        <v/>
      </c>
      <c r="H901" s="1" t="str">
        <f>IF(LEFT(Master_Reference[[#This Row],[Model Number]],1)="U",TRUE,"")</f>
        <v/>
      </c>
      <c r="I901" s="1" t="b">
        <f>IF(Master_Reference[[#This Row],[Lamp Type]]="T4","",IF(Master_Reference[[#This Row],[Case Type]]="M","",TRUE))</f>
        <v>1</v>
      </c>
      <c r="J901" s="1" t="str">
        <f t="shared" si="15"/>
        <v>T8</v>
      </c>
      <c r="K901" s="1">
        <v>32</v>
      </c>
      <c r="L901" s="1" t="s">
        <v>118</v>
      </c>
      <c r="M901" s="1">
        <v>2</v>
      </c>
      <c r="N901" s="1" t="s">
        <v>149</v>
      </c>
      <c r="O901" s="1" t="s">
        <v>217</v>
      </c>
      <c r="Q901" s="1" t="s">
        <v>892</v>
      </c>
      <c r="R901" t="b">
        <f>IF(COUNTBLANK(Master_Reference[[#This Row],[C-Flex 3000K Eco Part Number]:[C-Flex 4000K Eco Part Number]])=3,FALSE,TRUE)</f>
        <v>0</v>
      </c>
      <c r="S901" t="b">
        <f>IF(COUNTBLANK(Master_Reference[[#This Row],[C-Flex 3000K 3W Part Number]:[C-Flex 4000K 3W Part Number]])=3,FALSE,TRUE)</f>
        <v>0</v>
      </c>
      <c r="T901" t="b">
        <f>IF(COUNTBLANK(Master_Reference[[#This Row],[Lutron 3000K Eco Part Number]:[Lutron 4000K Eco Part Number]])=3,FALSE,TRUE)</f>
        <v>0</v>
      </c>
      <c r="U901" t="b">
        <f>IF(COUNTBLANK(Master_Reference[[#This Row],[Lutron 3000K 3W Part Number]:[Lutron 4000K 3W Part Number]])=3,FALSE,TRUE)</f>
        <v>0</v>
      </c>
      <c r="V901" s="12"/>
      <c r="W901" s="12"/>
      <c r="X901" s="12"/>
      <c r="Y901" t="s">
        <v>2125</v>
      </c>
      <c r="Z901" s="12"/>
      <c r="AA901" s="12"/>
      <c r="AB901" s="12"/>
      <c r="AC901" t="s">
        <v>2125</v>
      </c>
      <c r="AD901" t="str">
        <f>SUBSTITUTE(Master_Reference[[#This Row],[C-Flex 4000K Eco Part Number]],"40-","xx-")</f>
        <v/>
      </c>
      <c r="AE901" t="str">
        <f>SUBSTITUTE(Master_Reference[[#This Row],[C-Flex 4000K 3W Part Number]],"40-","xx-")</f>
        <v/>
      </c>
      <c r="AF901" s="1" t="str">
        <f>_xlfn.IFNA(VLOOKUP(Master_Reference[[#This Row],[C-Flex 3000K Eco Part Number]],Lutron_CFlex_Lookup[],MATCH("Lutron Kit PN",Lutron_CFlex_Lookup[#Headers],0),FALSE),"")</f>
        <v/>
      </c>
      <c r="AG901" s="1" t="str">
        <f>_xlfn.IFNA(VLOOKUP(Master_Reference[[#This Row],[C-Flex 3500K Eco Part Number]],Lutron_CFlex_Lookup[],MATCH("Lutron Kit PN",Lutron_CFlex_Lookup[#Headers],0),FALSE),"")</f>
        <v/>
      </c>
      <c r="AH901" s="1" t="str">
        <f>_xlfn.IFNA(VLOOKUP(Master_Reference[[#This Row],[C-Flex 4000K Eco Part Number]],Lutron_CFlex_Lookup[],MATCH("Lutron Kit PN",Lutron_CFlex_Lookup[#Headers],0),FALSE),"")</f>
        <v/>
      </c>
      <c r="AI901" s="1" t="str">
        <f>_xlfn.IFNA(VLOOKUP(Master_Reference[[#This Row],[C-Flex 5000K Eco Part Number]],Lutron_CFlex_Lookup[],MATCH("Lutron Kit PN",Lutron_CFlex_Lookup[#Headers],0),FALSE),"")</f>
        <v/>
      </c>
      <c r="AJ901" s="1" t="str">
        <f>_xlfn.IFNA(VLOOKUP(Master_Reference[[#This Row],[C-Flex 3000K 3W Part Number]],Lutron_CFlex_Lookup[],MATCH("Lutron Kit PN",Lutron_CFlex_Lookup[#Headers],0),FALSE),"")</f>
        <v/>
      </c>
      <c r="AK901" s="1" t="str">
        <f>_xlfn.IFNA(VLOOKUP(Master_Reference[[#This Row],[C-Flex 3500K 3W Part Number]],Lutron_CFlex_Lookup[],MATCH("Lutron Kit PN",Lutron_CFlex_Lookup[#Headers],0),FALSE),"")</f>
        <v/>
      </c>
      <c r="AL901" s="1" t="str">
        <f>_xlfn.IFNA(VLOOKUP(Master_Reference[[#This Row],[C-Flex 4000K 3W Part Number]],Lutron_CFlex_Lookup[],MATCH("Lutron Kit PN",Lutron_CFlex_Lookup[#Headers],0),FALSE),"")</f>
        <v/>
      </c>
      <c r="AM901" s="1" t="str">
        <f>_xlfn.IFNA(VLOOKUP(Master_Reference[[#This Row],[C-Flex 5000K 3W Part Number]],Lutron_CFlex_Lookup[],MATCH("Lutron Kit PN",Lutron_CFlex_Lookup[#Headers],0),FALSE),"")</f>
        <v/>
      </c>
      <c r="AN901" s="1" t="b">
        <f>NOT(ISNA(VLOOKUP(Master_Reference[[#This Row],[Model Number]],ObsoleteModels[],1,FALSE)))</f>
        <v>1</v>
      </c>
      <c r="AO901" s="1" t="str">
        <f>IF(LEFT(Master_Reference[[#This Row],[Model Number]],1)="U",LEFT(Master_Reference[[#This Row],[Model Number]],4),LEFT(Master_Reference[[#This Row],[Model Number]],3))</f>
        <v>H3T</v>
      </c>
    </row>
    <row r="902" spans="1:41" x14ac:dyDescent="0.25">
      <c r="A902" s="2" t="s">
        <v>1206</v>
      </c>
      <c r="B902" s="1"/>
      <c r="C902" s="1" t="b">
        <v>1</v>
      </c>
      <c r="G902" s="1" t="str">
        <f>IF(OR(LEFT(RIGHT(Master_Reference[[#This Row],[Model Number]],3),1)="C",LEFT(RIGHT(Master_Reference[[#This Row],[Model Number]],4),1)="C"),TRUE,"")</f>
        <v/>
      </c>
      <c r="H902" s="1" t="str">
        <f>IF(LEFT(Master_Reference[[#This Row],[Model Number]],1)="U",TRUE,"")</f>
        <v/>
      </c>
      <c r="I902" s="1" t="str">
        <f>IF(Master_Reference[[#This Row],[Lamp Type]]="T4","",IF(Master_Reference[[#This Row],[Case Type]]="M","",TRUE))</f>
        <v/>
      </c>
      <c r="J902" s="1" t="s">
        <v>87</v>
      </c>
      <c r="K902" s="1">
        <v>26</v>
      </c>
      <c r="L902" s="1" t="s">
        <v>88</v>
      </c>
      <c r="M902" s="1">
        <v>1</v>
      </c>
      <c r="N902" s="1">
        <v>120</v>
      </c>
      <c r="O902" s="1" t="s">
        <v>89</v>
      </c>
      <c r="R902" t="b">
        <f>IF(COUNTBLANK(Master_Reference[[#This Row],[C-Flex 3000K Eco Part Number]:[C-Flex 4000K Eco Part Number]])=3,FALSE,TRUE)</f>
        <v>0</v>
      </c>
      <c r="S902" t="b">
        <f>IF(COUNTBLANK(Master_Reference[[#This Row],[C-Flex 3000K 3W Part Number]:[C-Flex 4000K 3W Part Number]])=3,FALSE,TRUE)</f>
        <v>1</v>
      </c>
      <c r="T902" t="b">
        <f>IF(COUNTBLANK(Master_Reference[[#This Row],[Lutron 3000K Eco Part Number]:[Lutron 4000K Eco Part Number]])=3,FALSE,TRUE)</f>
        <v>0</v>
      </c>
      <c r="U902" t="b">
        <f>IF(COUNTBLANK(Master_Reference[[#This Row],[Lutron 3000K 3W Part Number]:[Lutron 4000K 3W Part Number]])=3,FALSE,TRUE)</f>
        <v>0</v>
      </c>
      <c r="V902" s="12"/>
      <c r="W902" s="12"/>
      <c r="X902" s="12"/>
      <c r="Y902" t="s">
        <v>2125</v>
      </c>
      <c r="Z902" s="12" t="s">
        <v>154</v>
      </c>
      <c r="AA902" s="12" t="s">
        <v>155</v>
      </c>
      <c r="AB902" s="12" t="s">
        <v>156</v>
      </c>
      <c r="AC902" t="s">
        <v>2125</v>
      </c>
      <c r="AD902" t="str">
        <f>SUBSTITUTE(Master_Reference[[#This Row],[C-Flex 4000K Eco Part Number]],"40-","xx-")</f>
        <v/>
      </c>
      <c r="AE902" t="str">
        <f>SUBSTITUTE(Master_Reference[[#This Row],[C-Flex 4000K 3W Part Number]],"40-","xx-")</f>
        <v>RP-G24Q-126m-1L-8xx-3W-KN-G2</v>
      </c>
      <c r="AF902" s="1" t="str">
        <f>_xlfn.IFNA(VLOOKUP(Master_Reference[[#This Row],[C-Flex 3000K Eco Part Number]],Lutron_CFlex_Lookup[],MATCH("Lutron Kit PN",Lutron_CFlex_Lookup[#Headers],0),FALSE),"")</f>
        <v/>
      </c>
      <c r="AG902" s="1" t="str">
        <f>_xlfn.IFNA(VLOOKUP(Master_Reference[[#This Row],[C-Flex 3500K Eco Part Number]],Lutron_CFlex_Lookup[],MATCH("Lutron Kit PN",Lutron_CFlex_Lookup[#Headers],0),FALSE),"")</f>
        <v/>
      </c>
      <c r="AH902" s="1" t="str">
        <f>_xlfn.IFNA(VLOOKUP(Master_Reference[[#This Row],[C-Flex 4000K Eco Part Number]],Lutron_CFlex_Lookup[],MATCH("Lutron Kit PN",Lutron_CFlex_Lookup[#Headers],0),FALSE),"")</f>
        <v/>
      </c>
      <c r="AI902" s="1" t="str">
        <f>_xlfn.IFNA(VLOOKUP(Master_Reference[[#This Row],[C-Flex 5000K Eco Part Number]],Lutron_CFlex_Lookup[],MATCH("Lutron Kit PN",Lutron_CFlex_Lookup[#Headers],0),FALSE),"")</f>
        <v/>
      </c>
      <c r="AJ902" s="1" t="str">
        <f>_xlfn.IFNA(VLOOKUP(Master_Reference[[#This Row],[C-Flex 3000K 3W Part Number]],Lutron_CFlex_Lookup[],MATCH("Lutron Kit PN",Lutron_CFlex_Lookup[#Headers],0),FALSE),"")</f>
        <v/>
      </c>
      <c r="AK902" s="1" t="str">
        <f>_xlfn.IFNA(VLOOKUP(Master_Reference[[#This Row],[C-Flex 3500K 3W Part Number]],Lutron_CFlex_Lookup[],MATCH("Lutron Kit PN",Lutron_CFlex_Lookup[#Headers],0),FALSE),"")</f>
        <v/>
      </c>
      <c r="AL902" s="1" t="str">
        <f>_xlfn.IFNA(VLOOKUP(Master_Reference[[#This Row],[C-Flex 4000K 3W Part Number]],Lutron_CFlex_Lookup[],MATCH("Lutron Kit PN",Lutron_CFlex_Lookup[#Headers],0),FALSE),"")</f>
        <v/>
      </c>
      <c r="AM902" s="1" t="str">
        <f>_xlfn.IFNA(VLOOKUP(Master_Reference[[#This Row],[C-Flex 5000K 3W Part Number]],Lutron_CFlex_Lookup[],MATCH("Lutron Kit PN",Lutron_CFlex_Lookup[#Headers],0),FALSE),"")</f>
        <v/>
      </c>
      <c r="AN902" s="1" t="b">
        <f>NOT(ISNA(VLOOKUP(Master_Reference[[#This Row],[Model Number]],ObsoleteModels[],1,FALSE)))</f>
        <v>1</v>
      </c>
      <c r="AO902" s="1" t="str">
        <f>IF(LEFT(Master_Reference[[#This Row],[Model Number]],1)="U",LEFT(Master_Reference[[#This Row],[Model Number]],4),LEFT(Master_Reference[[#This Row],[Model Number]],3))</f>
        <v>HL3</v>
      </c>
    </row>
    <row r="903" spans="1:41" x14ac:dyDescent="0.25">
      <c r="A903" s="2" t="s">
        <v>1207</v>
      </c>
      <c r="B903" s="1"/>
      <c r="C903" s="1" t="b">
        <v>1</v>
      </c>
      <c r="G903" s="1" t="str">
        <f>IF(OR(LEFT(RIGHT(Master_Reference[[#This Row],[Model Number]],3),1)="C",LEFT(RIGHT(Master_Reference[[#This Row],[Model Number]],4),1)="C"),TRUE,"")</f>
        <v/>
      </c>
      <c r="H903" s="1" t="str">
        <f>IF(LEFT(Master_Reference[[#This Row],[Model Number]],1)="U",TRUE,"")</f>
        <v/>
      </c>
      <c r="I903" s="1" t="str">
        <f>IF(Master_Reference[[#This Row],[Lamp Type]]="T4","",IF(Master_Reference[[#This Row],[Case Type]]="M","",TRUE))</f>
        <v/>
      </c>
      <c r="J903" s="1" t="s">
        <v>87</v>
      </c>
      <c r="K903" s="1">
        <v>26</v>
      </c>
      <c r="L903" s="1" t="s">
        <v>88</v>
      </c>
      <c r="M903" s="1">
        <v>1</v>
      </c>
      <c r="N903" s="1">
        <v>120</v>
      </c>
      <c r="O903" s="1" t="s">
        <v>89</v>
      </c>
      <c r="P903" s="1" t="b">
        <v>1</v>
      </c>
      <c r="R903" t="b">
        <f>IF(COUNTBLANK(Master_Reference[[#This Row],[C-Flex 3000K Eco Part Number]:[C-Flex 4000K Eco Part Number]])=3,FALSE,TRUE)</f>
        <v>0</v>
      </c>
      <c r="S903" t="b">
        <f>IF(COUNTBLANK(Master_Reference[[#This Row],[C-Flex 3000K 3W Part Number]:[C-Flex 4000K 3W Part Number]])=3,FALSE,TRUE)</f>
        <v>1</v>
      </c>
      <c r="T903" t="b">
        <f>IF(COUNTBLANK(Master_Reference[[#This Row],[Lutron 3000K Eco Part Number]:[Lutron 4000K Eco Part Number]])=3,FALSE,TRUE)</f>
        <v>0</v>
      </c>
      <c r="U903" t="b">
        <f>IF(COUNTBLANK(Master_Reference[[#This Row],[Lutron 3000K 3W Part Number]:[Lutron 4000K 3W Part Number]])=3,FALSE,TRUE)</f>
        <v>0</v>
      </c>
      <c r="V903" s="12"/>
      <c r="W903" s="12"/>
      <c r="X903" s="12"/>
      <c r="Y903" t="s">
        <v>2125</v>
      </c>
      <c r="Z903" s="12" t="s">
        <v>161</v>
      </c>
      <c r="AA903" s="12" t="s">
        <v>162</v>
      </c>
      <c r="AB903" s="12" t="s">
        <v>163</v>
      </c>
      <c r="AC903" t="s">
        <v>2125</v>
      </c>
      <c r="AD903" t="str">
        <f>SUBSTITUTE(Master_Reference[[#This Row],[C-Flex 4000K Eco Part Number]],"40-","xx-")</f>
        <v/>
      </c>
      <c r="AE903" t="str">
        <f>SUBSTITUTE(Master_Reference[[#This Row],[C-Flex 4000K 3W Part Number]],"40-","xx-")</f>
        <v>RP-G24Q-126m-1L-8xx-3W-K-G2</v>
      </c>
      <c r="AF903" s="1" t="str">
        <f>_xlfn.IFNA(VLOOKUP(Master_Reference[[#This Row],[C-Flex 3000K Eco Part Number]],Lutron_CFlex_Lookup[],MATCH("Lutron Kit PN",Lutron_CFlex_Lookup[#Headers],0),FALSE),"")</f>
        <v/>
      </c>
      <c r="AG903" s="1" t="str">
        <f>_xlfn.IFNA(VLOOKUP(Master_Reference[[#This Row],[C-Flex 3500K Eco Part Number]],Lutron_CFlex_Lookup[],MATCH("Lutron Kit PN",Lutron_CFlex_Lookup[#Headers],0),FALSE),"")</f>
        <v/>
      </c>
      <c r="AH903" s="1" t="str">
        <f>_xlfn.IFNA(VLOOKUP(Master_Reference[[#This Row],[C-Flex 4000K Eco Part Number]],Lutron_CFlex_Lookup[],MATCH("Lutron Kit PN",Lutron_CFlex_Lookup[#Headers],0),FALSE),"")</f>
        <v/>
      </c>
      <c r="AI903" s="1" t="str">
        <f>_xlfn.IFNA(VLOOKUP(Master_Reference[[#This Row],[C-Flex 5000K Eco Part Number]],Lutron_CFlex_Lookup[],MATCH("Lutron Kit PN",Lutron_CFlex_Lookup[#Headers],0),FALSE),"")</f>
        <v/>
      </c>
      <c r="AJ903" s="1" t="str">
        <f>_xlfn.IFNA(VLOOKUP(Master_Reference[[#This Row],[C-Flex 3000K 3W Part Number]],Lutron_CFlex_Lookup[],MATCH("Lutron Kit PN",Lutron_CFlex_Lookup[#Headers],0),FALSE),"")</f>
        <v/>
      </c>
      <c r="AK903" s="1" t="str">
        <f>_xlfn.IFNA(VLOOKUP(Master_Reference[[#This Row],[C-Flex 3500K 3W Part Number]],Lutron_CFlex_Lookup[],MATCH("Lutron Kit PN",Lutron_CFlex_Lookup[#Headers],0),FALSE),"")</f>
        <v/>
      </c>
      <c r="AL903" s="1" t="str">
        <f>_xlfn.IFNA(VLOOKUP(Master_Reference[[#This Row],[C-Flex 4000K 3W Part Number]],Lutron_CFlex_Lookup[],MATCH("Lutron Kit PN",Lutron_CFlex_Lookup[#Headers],0),FALSE),"")</f>
        <v/>
      </c>
      <c r="AM903" s="1" t="str">
        <f>_xlfn.IFNA(VLOOKUP(Master_Reference[[#This Row],[C-Flex 5000K 3W Part Number]],Lutron_CFlex_Lookup[],MATCH("Lutron Kit PN",Lutron_CFlex_Lookup[#Headers],0),FALSE),"")</f>
        <v/>
      </c>
      <c r="AN903" s="1" t="b">
        <f>NOT(ISNA(VLOOKUP(Master_Reference[[#This Row],[Model Number]],ObsoleteModels[],1,FALSE)))</f>
        <v>1</v>
      </c>
      <c r="AO903" s="1" t="str">
        <f>IF(LEFT(Master_Reference[[#This Row],[Model Number]],1)="U",LEFT(Master_Reference[[#This Row],[Model Number]],4),LEFT(Master_Reference[[#This Row],[Model Number]],3))</f>
        <v>HL3</v>
      </c>
    </row>
    <row r="904" spans="1:41" x14ac:dyDescent="0.25">
      <c r="A904" s="2" t="s">
        <v>1208</v>
      </c>
      <c r="B904" s="1"/>
      <c r="C904" s="1" t="b">
        <v>1</v>
      </c>
      <c r="G904" s="1" t="str">
        <f>IF(OR(LEFT(RIGHT(Master_Reference[[#This Row],[Model Number]],3),1)="C",LEFT(RIGHT(Master_Reference[[#This Row],[Model Number]],4),1)="C"),TRUE,"")</f>
        <v/>
      </c>
      <c r="H904" s="1" t="str">
        <f>IF(LEFT(Master_Reference[[#This Row],[Model Number]],1)="U",TRUE,"")</f>
        <v/>
      </c>
      <c r="I904" s="1" t="str">
        <f>IF(Master_Reference[[#This Row],[Lamp Type]]="T4","",IF(Master_Reference[[#This Row],[Case Type]]="M","",TRUE))</f>
        <v/>
      </c>
      <c r="J904" s="1" t="s">
        <v>87</v>
      </c>
      <c r="K904" s="1">
        <v>26</v>
      </c>
      <c r="L904" s="1" t="s">
        <v>88</v>
      </c>
      <c r="M904" s="1">
        <v>1</v>
      </c>
      <c r="N904" s="1">
        <v>277</v>
      </c>
      <c r="O904" s="1" t="s">
        <v>89</v>
      </c>
      <c r="R904" t="b">
        <f>IF(COUNTBLANK(Master_Reference[[#This Row],[C-Flex 3000K Eco Part Number]:[C-Flex 4000K Eco Part Number]])=3,FALSE,TRUE)</f>
        <v>0</v>
      </c>
      <c r="S904" t="b">
        <f>IF(COUNTBLANK(Master_Reference[[#This Row],[C-Flex 3000K 3W Part Number]:[C-Flex 4000K 3W Part Number]])=3,FALSE,TRUE)</f>
        <v>1</v>
      </c>
      <c r="T904" t="b">
        <f>IF(COUNTBLANK(Master_Reference[[#This Row],[Lutron 3000K Eco Part Number]:[Lutron 4000K Eco Part Number]])=3,FALSE,TRUE)</f>
        <v>0</v>
      </c>
      <c r="U904" t="b">
        <f>IF(COUNTBLANK(Master_Reference[[#This Row],[Lutron 3000K 3W Part Number]:[Lutron 4000K 3W Part Number]])=3,FALSE,TRUE)</f>
        <v>0</v>
      </c>
      <c r="V904" s="12"/>
      <c r="W904" s="12"/>
      <c r="X904" s="12"/>
      <c r="Y904" t="s">
        <v>2125</v>
      </c>
      <c r="Z904" s="12" t="s">
        <v>154</v>
      </c>
      <c r="AA904" s="12" t="s">
        <v>155</v>
      </c>
      <c r="AB904" s="12" t="s">
        <v>156</v>
      </c>
      <c r="AC904" t="s">
        <v>2125</v>
      </c>
      <c r="AD904" t="str">
        <f>SUBSTITUTE(Master_Reference[[#This Row],[C-Flex 4000K Eco Part Number]],"40-","xx-")</f>
        <v/>
      </c>
      <c r="AE904" t="str">
        <f>SUBSTITUTE(Master_Reference[[#This Row],[C-Flex 4000K 3W Part Number]],"40-","xx-")</f>
        <v>RP-G24Q-126m-1L-8xx-3W-KN-G2</v>
      </c>
      <c r="AF904" s="1" t="str">
        <f>_xlfn.IFNA(VLOOKUP(Master_Reference[[#This Row],[C-Flex 3000K Eco Part Number]],Lutron_CFlex_Lookup[],MATCH("Lutron Kit PN",Lutron_CFlex_Lookup[#Headers],0),FALSE),"")</f>
        <v/>
      </c>
      <c r="AG904" s="1" t="str">
        <f>_xlfn.IFNA(VLOOKUP(Master_Reference[[#This Row],[C-Flex 3500K Eco Part Number]],Lutron_CFlex_Lookup[],MATCH("Lutron Kit PN",Lutron_CFlex_Lookup[#Headers],0),FALSE),"")</f>
        <v/>
      </c>
      <c r="AH904" s="1" t="str">
        <f>_xlfn.IFNA(VLOOKUP(Master_Reference[[#This Row],[C-Flex 4000K Eco Part Number]],Lutron_CFlex_Lookup[],MATCH("Lutron Kit PN",Lutron_CFlex_Lookup[#Headers],0),FALSE),"")</f>
        <v/>
      </c>
      <c r="AI904" s="1" t="str">
        <f>_xlfn.IFNA(VLOOKUP(Master_Reference[[#This Row],[C-Flex 5000K Eco Part Number]],Lutron_CFlex_Lookup[],MATCH("Lutron Kit PN",Lutron_CFlex_Lookup[#Headers],0),FALSE),"")</f>
        <v/>
      </c>
      <c r="AJ904" s="1" t="str">
        <f>_xlfn.IFNA(VLOOKUP(Master_Reference[[#This Row],[C-Flex 3000K 3W Part Number]],Lutron_CFlex_Lookup[],MATCH("Lutron Kit PN",Lutron_CFlex_Lookup[#Headers],0),FALSE),"")</f>
        <v/>
      </c>
      <c r="AK904" s="1" t="str">
        <f>_xlfn.IFNA(VLOOKUP(Master_Reference[[#This Row],[C-Flex 3500K 3W Part Number]],Lutron_CFlex_Lookup[],MATCH("Lutron Kit PN",Lutron_CFlex_Lookup[#Headers],0),FALSE),"")</f>
        <v/>
      </c>
      <c r="AL904" s="1" t="str">
        <f>_xlfn.IFNA(VLOOKUP(Master_Reference[[#This Row],[C-Flex 4000K 3W Part Number]],Lutron_CFlex_Lookup[],MATCH("Lutron Kit PN",Lutron_CFlex_Lookup[#Headers],0),FALSE),"")</f>
        <v/>
      </c>
      <c r="AM904" s="1" t="str">
        <f>_xlfn.IFNA(VLOOKUP(Master_Reference[[#This Row],[C-Flex 5000K 3W Part Number]],Lutron_CFlex_Lookup[],MATCH("Lutron Kit PN",Lutron_CFlex_Lookup[#Headers],0),FALSE),"")</f>
        <v/>
      </c>
      <c r="AN904" s="1" t="b">
        <f>NOT(ISNA(VLOOKUP(Master_Reference[[#This Row],[Model Number]],ObsoleteModels[],1,FALSE)))</f>
        <v>1</v>
      </c>
      <c r="AO904" s="1" t="str">
        <f>IF(LEFT(Master_Reference[[#This Row],[Model Number]],1)="U",LEFT(Master_Reference[[#This Row],[Model Number]],4),LEFT(Master_Reference[[#This Row],[Model Number]],3))</f>
        <v>HL3</v>
      </c>
    </row>
    <row r="905" spans="1:41" x14ac:dyDescent="0.25">
      <c r="A905" s="2" t="s">
        <v>1209</v>
      </c>
      <c r="B905" s="1"/>
      <c r="C905" s="1" t="b">
        <v>1</v>
      </c>
      <c r="G905" s="1" t="str">
        <f>IF(OR(LEFT(RIGHT(Master_Reference[[#This Row],[Model Number]],3),1)="C",LEFT(RIGHT(Master_Reference[[#This Row],[Model Number]],4),1)="C"),TRUE,"")</f>
        <v/>
      </c>
      <c r="H905" s="1" t="str">
        <f>IF(LEFT(Master_Reference[[#This Row],[Model Number]],1)="U",TRUE,"")</f>
        <v/>
      </c>
      <c r="I905" s="1" t="str">
        <f>IF(Master_Reference[[#This Row],[Lamp Type]]="T4","",IF(Master_Reference[[#This Row],[Case Type]]="M","",TRUE))</f>
        <v/>
      </c>
      <c r="J905" s="1" t="s">
        <v>87</v>
      </c>
      <c r="K905" s="1">
        <v>26</v>
      </c>
      <c r="L905" s="1" t="s">
        <v>88</v>
      </c>
      <c r="M905" s="1">
        <v>1</v>
      </c>
      <c r="N905" s="1">
        <v>277</v>
      </c>
      <c r="O905" s="1" t="s">
        <v>89</v>
      </c>
      <c r="P905" s="1" t="b">
        <v>1</v>
      </c>
      <c r="R905" t="b">
        <f>IF(COUNTBLANK(Master_Reference[[#This Row],[C-Flex 3000K Eco Part Number]:[C-Flex 4000K Eco Part Number]])=3,FALSE,TRUE)</f>
        <v>0</v>
      </c>
      <c r="S905" t="b">
        <f>IF(COUNTBLANK(Master_Reference[[#This Row],[C-Flex 3000K 3W Part Number]:[C-Flex 4000K 3W Part Number]])=3,FALSE,TRUE)</f>
        <v>1</v>
      </c>
      <c r="T905" t="b">
        <f>IF(COUNTBLANK(Master_Reference[[#This Row],[Lutron 3000K Eco Part Number]:[Lutron 4000K Eco Part Number]])=3,FALSE,TRUE)</f>
        <v>0</v>
      </c>
      <c r="U905" t="b">
        <f>IF(COUNTBLANK(Master_Reference[[#This Row],[Lutron 3000K 3W Part Number]:[Lutron 4000K 3W Part Number]])=3,FALSE,TRUE)</f>
        <v>0</v>
      </c>
      <c r="V905" s="12"/>
      <c r="W905" s="12"/>
      <c r="X905" s="12"/>
      <c r="Y905" t="s">
        <v>2125</v>
      </c>
      <c r="Z905" s="12" t="s">
        <v>161</v>
      </c>
      <c r="AA905" s="12" t="s">
        <v>162</v>
      </c>
      <c r="AB905" s="12" t="s">
        <v>163</v>
      </c>
      <c r="AC905" t="s">
        <v>2125</v>
      </c>
      <c r="AD905" t="str">
        <f>SUBSTITUTE(Master_Reference[[#This Row],[C-Flex 4000K Eco Part Number]],"40-","xx-")</f>
        <v/>
      </c>
      <c r="AE905" t="str">
        <f>SUBSTITUTE(Master_Reference[[#This Row],[C-Flex 4000K 3W Part Number]],"40-","xx-")</f>
        <v>RP-G24Q-126m-1L-8xx-3W-K-G2</v>
      </c>
      <c r="AF905" s="1" t="str">
        <f>_xlfn.IFNA(VLOOKUP(Master_Reference[[#This Row],[C-Flex 3000K Eco Part Number]],Lutron_CFlex_Lookup[],MATCH("Lutron Kit PN",Lutron_CFlex_Lookup[#Headers],0),FALSE),"")</f>
        <v/>
      </c>
      <c r="AG905" s="1" t="str">
        <f>_xlfn.IFNA(VLOOKUP(Master_Reference[[#This Row],[C-Flex 3500K Eco Part Number]],Lutron_CFlex_Lookup[],MATCH("Lutron Kit PN",Lutron_CFlex_Lookup[#Headers],0),FALSE),"")</f>
        <v/>
      </c>
      <c r="AH905" s="1" t="str">
        <f>_xlfn.IFNA(VLOOKUP(Master_Reference[[#This Row],[C-Flex 4000K Eco Part Number]],Lutron_CFlex_Lookup[],MATCH("Lutron Kit PN",Lutron_CFlex_Lookup[#Headers],0),FALSE),"")</f>
        <v/>
      </c>
      <c r="AI905" s="1" t="str">
        <f>_xlfn.IFNA(VLOOKUP(Master_Reference[[#This Row],[C-Flex 5000K Eco Part Number]],Lutron_CFlex_Lookup[],MATCH("Lutron Kit PN",Lutron_CFlex_Lookup[#Headers],0),FALSE),"")</f>
        <v/>
      </c>
      <c r="AJ905" s="1" t="str">
        <f>_xlfn.IFNA(VLOOKUP(Master_Reference[[#This Row],[C-Flex 3000K 3W Part Number]],Lutron_CFlex_Lookup[],MATCH("Lutron Kit PN",Lutron_CFlex_Lookup[#Headers],0),FALSE),"")</f>
        <v/>
      </c>
      <c r="AK905" s="1" t="str">
        <f>_xlfn.IFNA(VLOOKUP(Master_Reference[[#This Row],[C-Flex 3500K 3W Part Number]],Lutron_CFlex_Lookup[],MATCH("Lutron Kit PN",Lutron_CFlex_Lookup[#Headers],0),FALSE),"")</f>
        <v/>
      </c>
      <c r="AL905" s="1" t="str">
        <f>_xlfn.IFNA(VLOOKUP(Master_Reference[[#This Row],[C-Flex 4000K 3W Part Number]],Lutron_CFlex_Lookup[],MATCH("Lutron Kit PN",Lutron_CFlex_Lookup[#Headers],0),FALSE),"")</f>
        <v/>
      </c>
      <c r="AM905" s="1" t="str">
        <f>_xlfn.IFNA(VLOOKUP(Master_Reference[[#This Row],[C-Flex 5000K 3W Part Number]],Lutron_CFlex_Lookup[],MATCH("Lutron Kit PN",Lutron_CFlex_Lookup[#Headers],0),FALSE),"")</f>
        <v/>
      </c>
      <c r="AN905" s="1" t="b">
        <f>NOT(ISNA(VLOOKUP(Master_Reference[[#This Row],[Model Number]],ObsoleteModels[],1,FALSE)))</f>
        <v>1</v>
      </c>
      <c r="AO905" s="1" t="str">
        <f>IF(LEFT(Master_Reference[[#This Row],[Model Number]],1)="U",LEFT(Master_Reference[[#This Row],[Model Number]],4),LEFT(Master_Reference[[#This Row],[Model Number]],3))</f>
        <v>HL3</v>
      </c>
    </row>
    <row r="906" spans="1:41" x14ac:dyDescent="0.25">
      <c r="A906" s="2" t="s">
        <v>1210</v>
      </c>
      <c r="B906" s="1"/>
      <c r="C906" s="1" t="b">
        <v>1</v>
      </c>
      <c r="G906" s="1" t="str">
        <f>IF(OR(LEFT(RIGHT(Master_Reference[[#This Row],[Model Number]],3),1)="C",LEFT(RIGHT(Master_Reference[[#This Row],[Model Number]],4),1)="C"),TRUE,"")</f>
        <v/>
      </c>
      <c r="H906" s="1" t="str">
        <f>IF(LEFT(Master_Reference[[#This Row],[Model Number]],1)="U",TRUE,"")</f>
        <v/>
      </c>
      <c r="I906" s="1" t="str">
        <f>IF(Master_Reference[[#This Row],[Lamp Type]]="T4","",IF(Master_Reference[[#This Row],[Case Type]]="M","",TRUE))</f>
        <v/>
      </c>
      <c r="J906" s="1" t="s">
        <v>87</v>
      </c>
      <c r="K906" s="1">
        <v>32</v>
      </c>
      <c r="L906" s="1" t="s">
        <v>88</v>
      </c>
      <c r="M906" s="1">
        <v>1</v>
      </c>
      <c r="N906" s="1">
        <v>120</v>
      </c>
      <c r="O906" s="1" t="s">
        <v>89</v>
      </c>
      <c r="R906" t="b">
        <f>IF(COUNTBLANK(Master_Reference[[#This Row],[C-Flex 3000K Eco Part Number]:[C-Flex 4000K Eco Part Number]])=3,FALSE,TRUE)</f>
        <v>0</v>
      </c>
      <c r="S906" t="b">
        <f>IF(COUNTBLANK(Master_Reference[[#This Row],[C-Flex 3000K 3W Part Number]:[C-Flex 4000K 3W Part Number]])=3,FALSE,TRUE)</f>
        <v>1</v>
      </c>
      <c r="T906" t="b">
        <f>IF(COUNTBLANK(Master_Reference[[#This Row],[Lutron 3000K Eco Part Number]:[Lutron 4000K Eco Part Number]])=3,FALSE,TRUE)</f>
        <v>0</v>
      </c>
      <c r="U906" t="b">
        <f>IF(COUNTBLANK(Master_Reference[[#This Row],[Lutron 3000K 3W Part Number]:[Lutron 4000K 3W Part Number]])=3,FALSE,TRUE)</f>
        <v>0</v>
      </c>
      <c r="V906" s="12"/>
      <c r="W906" s="12"/>
      <c r="X906" s="12"/>
      <c r="Y906" t="s">
        <v>2125</v>
      </c>
      <c r="Z906" s="12" t="s">
        <v>952</v>
      </c>
      <c r="AA906" s="12" t="s">
        <v>953</v>
      </c>
      <c r="AB906" s="12" t="s">
        <v>954</v>
      </c>
      <c r="AC906" t="s">
        <v>2125</v>
      </c>
      <c r="AD906" t="str">
        <f>SUBSTITUTE(Master_Reference[[#This Row],[C-Flex 4000K Eco Part Number]],"40-","xx-")</f>
        <v/>
      </c>
      <c r="AE906" t="str">
        <f>SUBSTITUTE(Master_Reference[[#This Row],[C-Flex 4000K 3W Part Number]],"40-","xx-")</f>
        <v>RP-G24Q-132m-1L-8xx-3W-KN-G2</v>
      </c>
      <c r="AF906" s="1" t="str">
        <f>_xlfn.IFNA(VLOOKUP(Master_Reference[[#This Row],[C-Flex 3000K Eco Part Number]],Lutron_CFlex_Lookup[],MATCH("Lutron Kit PN",Lutron_CFlex_Lookup[#Headers],0),FALSE),"")</f>
        <v/>
      </c>
      <c r="AG906" s="1" t="str">
        <f>_xlfn.IFNA(VLOOKUP(Master_Reference[[#This Row],[C-Flex 3500K Eco Part Number]],Lutron_CFlex_Lookup[],MATCH("Lutron Kit PN",Lutron_CFlex_Lookup[#Headers],0),FALSE),"")</f>
        <v/>
      </c>
      <c r="AH906" s="1" t="str">
        <f>_xlfn.IFNA(VLOOKUP(Master_Reference[[#This Row],[C-Flex 4000K Eco Part Number]],Lutron_CFlex_Lookup[],MATCH("Lutron Kit PN",Lutron_CFlex_Lookup[#Headers],0),FALSE),"")</f>
        <v/>
      </c>
      <c r="AI906" s="1" t="str">
        <f>_xlfn.IFNA(VLOOKUP(Master_Reference[[#This Row],[C-Flex 5000K Eco Part Number]],Lutron_CFlex_Lookup[],MATCH("Lutron Kit PN",Lutron_CFlex_Lookup[#Headers],0),FALSE),"")</f>
        <v/>
      </c>
      <c r="AJ906" s="1" t="str">
        <f>_xlfn.IFNA(VLOOKUP(Master_Reference[[#This Row],[C-Flex 3000K 3W Part Number]],Lutron_CFlex_Lookup[],MATCH("Lutron Kit PN",Lutron_CFlex_Lookup[#Headers],0),FALSE),"")</f>
        <v/>
      </c>
      <c r="AK906" s="1" t="str">
        <f>_xlfn.IFNA(VLOOKUP(Master_Reference[[#This Row],[C-Flex 3500K 3W Part Number]],Lutron_CFlex_Lookup[],MATCH("Lutron Kit PN",Lutron_CFlex_Lookup[#Headers],0),FALSE),"")</f>
        <v/>
      </c>
      <c r="AL906" s="1" t="str">
        <f>_xlfn.IFNA(VLOOKUP(Master_Reference[[#This Row],[C-Flex 4000K 3W Part Number]],Lutron_CFlex_Lookup[],MATCH("Lutron Kit PN",Lutron_CFlex_Lookup[#Headers],0),FALSE),"")</f>
        <v/>
      </c>
      <c r="AM906" s="1" t="str">
        <f>_xlfn.IFNA(VLOOKUP(Master_Reference[[#This Row],[C-Flex 5000K 3W Part Number]],Lutron_CFlex_Lookup[],MATCH("Lutron Kit PN",Lutron_CFlex_Lookup[#Headers],0),FALSE),"")</f>
        <v/>
      </c>
      <c r="AN906" s="1" t="b">
        <f>NOT(ISNA(VLOOKUP(Master_Reference[[#This Row],[Model Number]],ObsoleteModels[],1,FALSE)))</f>
        <v>1</v>
      </c>
      <c r="AO906" s="1" t="str">
        <f>IF(LEFT(Master_Reference[[#This Row],[Model Number]],1)="U",LEFT(Master_Reference[[#This Row],[Model Number]],4),LEFT(Master_Reference[[#This Row],[Model Number]],3))</f>
        <v>HL3</v>
      </c>
    </row>
    <row r="907" spans="1:41" x14ac:dyDescent="0.25">
      <c r="A907" s="2" t="s">
        <v>1211</v>
      </c>
      <c r="B907" s="1"/>
      <c r="C907" s="1" t="b">
        <v>1</v>
      </c>
      <c r="G907" s="1" t="str">
        <f>IF(OR(LEFT(RIGHT(Master_Reference[[#This Row],[Model Number]],3),1)="C",LEFT(RIGHT(Master_Reference[[#This Row],[Model Number]],4),1)="C"),TRUE,"")</f>
        <v/>
      </c>
      <c r="H907" s="1" t="str">
        <f>IF(LEFT(Master_Reference[[#This Row],[Model Number]],1)="U",TRUE,"")</f>
        <v/>
      </c>
      <c r="I907" s="1" t="str">
        <f>IF(Master_Reference[[#This Row],[Lamp Type]]="T4","",IF(Master_Reference[[#This Row],[Case Type]]="M","",TRUE))</f>
        <v/>
      </c>
      <c r="J907" s="1" t="s">
        <v>87</v>
      </c>
      <c r="K907" s="1">
        <v>32</v>
      </c>
      <c r="L907" s="1" t="s">
        <v>88</v>
      </c>
      <c r="M907" s="1">
        <v>1</v>
      </c>
      <c r="N907" s="1">
        <v>120</v>
      </c>
      <c r="O907" s="1" t="s">
        <v>89</v>
      </c>
      <c r="P907" s="1" t="b">
        <v>1</v>
      </c>
      <c r="R907" t="b">
        <f>IF(COUNTBLANK(Master_Reference[[#This Row],[C-Flex 3000K Eco Part Number]:[C-Flex 4000K Eco Part Number]])=3,FALSE,TRUE)</f>
        <v>0</v>
      </c>
      <c r="S907" t="b">
        <f>IF(COUNTBLANK(Master_Reference[[#This Row],[C-Flex 3000K 3W Part Number]:[C-Flex 4000K 3W Part Number]])=3,FALSE,TRUE)</f>
        <v>1</v>
      </c>
      <c r="T907" t="b">
        <f>IF(COUNTBLANK(Master_Reference[[#This Row],[Lutron 3000K Eco Part Number]:[Lutron 4000K Eco Part Number]])=3,FALSE,TRUE)</f>
        <v>0</v>
      </c>
      <c r="U907" t="b">
        <f>IF(COUNTBLANK(Master_Reference[[#This Row],[Lutron 3000K 3W Part Number]:[Lutron 4000K 3W Part Number]])=3,FALSE,TRUE)</f>
        <v>0</v>
      </c>
      <c r="V907" s="12"/>
      <c r="W907" s="12"/>
      <c r="X907" s="12"/>
      <c r="Y907" t="s">
        <v>2125</v>
      </c>
      <c r="Z907" s="12" t="s">
        <v>948</v>
      </c>
      <c r="AA907" s="12" t="s">
        <v>949</v>
      </c>
      <c r="AB907" s="12" t="s">
        <v>950</v>
      </c>
      <c r="AC907" t="s">
        <v>2125</v>
      </c>
      <c r="AD907" t="str">
        <f>SUBSTITUTE(Master_Reference[[#This Row],[C-Flex 4000K Eco Part Number]],"40-","xx-")</f>
        <v/>
      </c>
      <c r="AE907" t="str">
        <f>SUBSTITUTE(Master_Reference[[#This Row],[C-Flex 4000K 3W Part Number]],"40-","xx-")</f>
        <v>RP-G24Q-132m-1L-8xx-3W-K-G2</v>
      </c>
      <c r="AF907" s="1" t="str">
        <f>_xlfn.IFNA(VLOOKUP(Master_Reference[[#This Row],[C-Flex 3000K Eco Part Number]],Lutron_CFlex_Lookup[],MATCH("Lutron Kit PN",Lutron_CFlex_Lookup[#Headers],0),FALSE),"")</f>
        <v/>
      </c>
      <c r="AG907" s="1" t="str">
        <f>_xlfn.IFNA(VLOOKUP(Master_Reference[[#This Row],[C-Flex 3500K Eco Part Number]],Lutron_CFlex_Lookup[],MATCH("Lutron Kit PN",Lutron_CFlex_Lookup[#Headers],0),FALSE),"")</f>
        <v/>
      </c>
      <c r="AH907" s="1" t="str">
        <f>_xlfn.IFNA(VLOOKUP(Master_Reference[[#This Row],[C-Flex 4000K Eco Part Number]],Lutron_CFlex_Lookup[],MATCH("Lutron Kit PN",Lutron_CFlex_Lookup[#Headers],0),FALSE),"")</f>
        <v/>
      </c>
      <c r="AI907" s="1" t="str">
        <f>_xlfn.IFNA(VLOOKUP(Master_Reference[[#This Row],[C-Flex 5000K Eco Part Number]],Lutron_CFlex_Lookup[],MATCH("Lutron Kit PN",Lutron_CFlex_Lookup[#Headers],0),FALSE),"")</f>
        <v/>
      </c>
      <c r="AJ907" s="1" t="str">
        <f>_xlfn.IFNA(VLOOKUP(Master_Reference[[#This Row],[C-Flex 3000K 3W Part Number]],Lutron_CFlex_Lookup[],MATCH("Lutron Kit PN",Lutron_CFlex_Lookup[#Headers],0),FALSE),"")</f>
        <v/>
      </c>
      <c r="AK907" s="1" t="str">
        <f>_xlfn.IFNA(VLOOKUP(Master_Reference[[#This Row],[C-Flex 3500K 3W Part Number]],Lutron_CFlex_Lookup[],MATCH("Lutron Kit PN",Lutron_CFlex_Lookup[#Headers],0),FALSE),"")</f>
        <v/>
      </c>
      <c r="AL907" s="1" t="str">
        <f>_xlfn.IFNA(VLOOKUP(Master_Reference[[#This Row],[C-Flex 4000K 3W Part Number]],Lutron_CFlex_Lookup[],MATCH("Lutron Kit PN",Lutron_CFlex_Lookup[#Headers],0),FALSE),"")</f>
        <v/>
      </c>
      <c r="AM907" s="1" t="str">
        <f>_xlfn.IFNA(VLOOKUP(Master_Reference[[#This Row],[C-Flex 5000K 3W Part Number]],Lutron_CFlex_Lookup[],MATCH("Lutron Kit PN",Lutron_CFlex_Lookup[#Headers],0),FALSE),"")</f>
        <v/>
      </c>
      <c r="AN907" s="1" t="b">
        <f>NOT(ISNA(VLOOKUP(Master_Reference[[#This Row],[Model Number]],ObsoleteModels[],1,FALSE)))</f>
        <v>1</v>
      </c>
      <c r="AO907" s="1" t="str">
        <f>IF(LEFT(Master_Reference[[#This Row],[Model Number]],1)="U",LEFT(Master_Reference[[#This Row],[Model Number]],4),LEFT(Master_Reference[[#This Row],[Model Number]],3))</f>
        <v>HL3</v>
      </c>
    </row>
    <row r="908" spans="1:41" x14ac:dyDescent="0.25">
      <c r="A908" s="2" t="s">
        <v>1212</v>
      </c>
      <c r="B908" s="1"/>
      <c r="C908" s="1" t="b">
        <v>1</v>
      </c>
      <c r="G908" s="1" t="str">
        <f>IF(OR(LEFT(RIGHT(Master_Reference[[#This Row],[Model Number]],3),1)="C",LEFT(RIGHT(Master_Reference[[#This Row],[Model Number]],4),1)="C"),TRUE,"")</f>
        <v/>
      </c>
      <c r="H908" s="1" t="str">
        <f>IF(LEFT(Master_Reference[[#This Row],[Model Number]],1)="U",TRUE,"")</f>
        <v/>
      </c>
      <c r="I908" s="1" t="str">
        <f>IF(Master_Reference[[#This Row],[Lamp Type]]="T4","",IF(Master_Reference[[#This Row],[Case Type]]="M","",TRUE))</f>
        <v/>
      </c>
      <c r="J908" s="1" t="s">
        <v>87</v>
      </c>
      <c r="K908" s="1">
        <v>32</v>
      </c>
      <c r="L908" s="1" t="s">
        <v>88</v>
      </c>
      <c r="M908" s="1">
        <v>1</v>
      </c>
      <c r="N908" s="1">
        <v>277</v>
      </c>
      <c r="O908" s="1" t="s">
        <v>89</v>
      </c>
      <c r="R908" t="b">
        <f>IF(COUNTBLANK(Master_Reference[[#This Row],[C-Flex 3000K Eco Part Number]:[C-Flex 4000K Eco Part Number]])=3,FALSE,TRUE)</f>
        <v>0</v>
      </c>
      <c r="S908" t="b">
        <f>IF(COUNTBLANK(Master_Reference[[#This Row],[C-Flex 3000K 3W Part Number]:[C-Flex 4000K 3W Part Number]])=3,FALSE,TRUE)</f>
        <v>1</v>
      </c>
      <c r="T908" t="b">
        <f>IF(COUNTBLANK(Master_Reference[[#This Row],[Lutron 3000K Eco Part Number]:[Lutron 4000K Eco Part Number]])=3,FALSE,TRUE)</f>
        <v>0</v>
      </c>
      <c r="U908" t="b">
        <f>IF(COUNTBLANK(Master_Reference[[#This Row],[Lutron 3000K 3W Part Number]:[Lutron 4000K 3W Part Number]])=3,FALSE,TRUE)</f>
        <v>0</v>
      </c>
      <c r="V908" s="12"/>
      <c r="W908" s="12"/>
      <c r="X908" s="12"/>
      <c r="Y908" t="s">
        <v>2125</v>
      </c>
      <c r="Z908" s="12" t="s">
        <v>952</v>
      </c>
      <c r="AA908" s="12" t="s">
        <v>953</v>
      </c>
      <c r="AB908" s="12" t="s">
        <v>954</v>
      </c>
      <c r="AC908" t="s">
        <v>2125</v>
      </c>
      <c r="AD908" t="str">
        <f>SUBSTITUTE(Master_Reference[[#This Row],[C-Flex 4000K Eco Part Number]],"40-","xx-")</f>
        <v/>
      </c>
      <c r="AE908" t="str">
        <f>SUBSTITUTE(Master_Reference[[#This Row],[C-Flex 4000K 3W Part Number]],"40-","xx-")</f>
        <v>RP-G24Q-132m-1L-8xx-3W-KN-G2</v>
      </c>
      <c r="AF908" s="1" t="str">
        <f>_xlfn.IFNA(VLOOKUP(Master_Reference[[#This Row],[C-Flex 3000K Eco Part Number]],Lutron_CFlex_Lookup[],MATCH("Lutron Kit PN",Lutron_CFlex_Lookup[#Headers],0),FALSE),"")</f>
        <v/>
      </c>
      <c r="AG908" s="1" t="str">
        <f>_xlfn.IFNA(VLOOKUP(Master_Reference[[#This Row],[C-Flex 3500K Eco Part Number]],Lutron_CFlex_Lookup[],MATCH("Lutron Kit PN",Lutron_CFlex_Lookup[#Headers],0),FALSE),"")</f>
        <v/>
      </c>
      <c r="AH908" s="1" t="str">
        <f>_xlfn.IFNA(VLOOKUP(Master_Reference[[#This Row],[C-Flex 4000K Eco Part Number]],Lutron_CFlex_Lookup[],MATCH("Lutron Kit PN",Lutron_CFlex_Lookup[#Headers],0),FALSE),"")</f>
        <v/>
      </c>
      <c r="AI908" s="1" t="str">
        <f>_xlfn.IFNA(VLOOKUP(Master_Reference[[#This Row],[C-Flex 5000K Eco Part Number]],Lutron_CFlex_Lookup[],MATCH("Lutron Kit PN",Lutron_CFlex_Lookup[#Headers],0),FALSE),"")</f>
        <v/>
      </c>
      <c r="AJ908" s="1" t="str">
        <f>_xlfn.IFNA(VLOOKUP(Master_Reference[[#This Row],[C-Flex 3000K 3W Part Number]],Lutron_CFlex_Lookup[],MATCH("Lutron Kit PN",Lutron_CFlex_Lookup[#Headers],0),FALSE),"")</f>
        <v/>
      </c>
      <c r="AK908" s="1" t="str">
        <f>_xlfn.IFNA(VLOOKUP(Master_Reference[[#This Row],[C-Flex 3500K 3W Part Number]],Lutron_CFlex_Lookup[],MATCH("Lutron Kit PN",Lutron_CFlex_Lookup[#Headers],0),FALSE),"")</f>
        <v/>
      </c>
      <c r="AL908" s="1" t="str">
        <f>_xlfn.IFNA(VLOOKUP(Master_Reference[[#This Row],[C-Flex 4000K 3W Part Number]],Lutron_CFlex_Lookup[],MATCH("Lutron Kit PN",Lutron_CFlex_Lookup[#Headers],0),FALSE),"")</f>
        <v/>
      </c>
      <c r="AM908" s="1" t="str">
        <f>_xlfn.IFNA(VLOOKUP(Master_Reference[[#This Row],[C-Flex 5000K 3W Part Number]],Lutron_CFlex_Lookup[],MATCH("Lutron Kit PN",Lutron_CFlex_Lookup[#Headers],0),FALSE),"")</f>
        <v/>
      </c>
      <c r="AN908" s="1" t="b">
        <f>NOT(ISNA(VLOOKUP(Master_Reference[[#This Row],[Model Number]],ObsoleteModels[],1,FALSE)))</f>
        <v>1</v>
      </c>
      <c r="AO908" s="1" t="str">
        <f>IF(LEFT(Master_Reference[[#This Row],[Model Number]],1)="U",LEFT(Master_Reference[[#This Row],[Model Number]],4),LEFT(Master_Reference[[#This Row],[Model Number]],3))</f>
        <v>HL3</v>
      </c>
    </row>
    <row r="909" spans="1:41" x14ac:dyDescent="0.25">
      <c r="A909" s="2" t="s">
        <v>1213</v>
      </c>
      <c r="B909" s="1"/>
      <c r="C909" s="1" t="b">
        <v>1</v>
      </c>
      <c r="G909" s="1" t="str">
        <f>IF(OR(LEFT(RIGHT(Master_Reference[[#This Row],[Model Number]],3),1)="C",LEFT(RIGHT(Master_Reference[[#This Row],[Model Number]],4),1)="C"),TRUE,"")</f>
        <v/>
      </c>
      <c r="H909" s="1" t="str">
        <f>IF(LEFT(Master_Reference[[#This Row],[Model Number]],1)="U",TRUE,"")</f>
        <v/>
      </c>
      <c r="I909" s="1" t="str">
        <f>IF(Master_Reference[[#This Row],[Lamp Type]]="T4","",IF(Master_Reference[[#This Row],[Case Type]]="M","",TRUE))</f>
        <v/>
      </c>
      <c r="J909" s="1" t="s">
        <v>87</v>
      </c>
      <c r="K909" s="1">
        <v>32</v>
      </c>
      <c r="L909" s="1" t="s">
        <v>88</v>
      </c>
      <c r="M909" s="1">
        <v>1</v>
      </c>
      <c r="N909" s="1">
        <v>277</v>
      </c>
      <c r="O909" s="1" t="s">
        <v>89</v>
      </c>
      <c r="P909" s="1" t="b">
        <v>1</v>
      </c>
      <c r="R909" t="b">
        <f>IF(COUNTBLANK(Master_Reference[[#This Row],[C-Flex 3000K Eco Part Number]:[C-Flex 4000K Eco Part Number]])=3,FALSE,TRUE)</f>
        <v>0</v>
      </c>
      <c r="S909" t="b">
        <f>IF(COUNTBLANK(Master_Reference[[#This Row],[C-Flex 3000K 3W Part Number]:[C-Flex 4000K 3W Part Number]])=3,FALSE,TRUE)</f>
        <v>1</v>
      </c>
      <c r="T909" t="b">
        <f>IF(COUNTBLANK(Master_Reference[[#This Row],[Lutron 3000K Eco Part Number]:[Lutron 4000K Eco Part Number]])=3,FALSE,TRUE)</f>
        <v>0</v>
      </c>
      <c r="U909" t="b">
        <f>IF(COUNTBLANK(Master_Reference[[#This Row],[Lutron 3000K 3W Part Number]:[Lutron 4000K 3W Part Number]])=3,FALSE,TRUE)</f>
        <v>0</v>
      </c>
      <c r="V909" s="12"/>
      <c r="W909" s="12"/>
      <c r="X909" s="12"/>
      <c r="Y909" t="s">
        <v>2125</v>
      </c>
      <c r="Z909" s="12" t="s">
        <v>948</v>
      </c>
      <c r="AA909" s="12" t="s">
        <v>949</v>
      </c>
      <c r="AB909" s="12" t="s">
        <v>950</v>
      </c>
      <c r="AC909" t="s">
        <v>2125</v>
      </c>
      <c r="AD909" t="str">
        <f>SUBSTITUTE(Master_Reference[[#This Row],[C-Flex 4000K Eco Part Number]],"40-","xx-")</f>
        <v/>
      </c>
      <c r="AE909" t="str">
        <f>SUBSTITUTE(Master_Reference[[#This Row],[C-Flex 4000K 3W Part Number]],"40-","xx-")</f>
        <v>RP-G24Q-132m-1L-8xx-3W-K-G2</v>
      </c>
      <c r="AF909" s="1" t="str">
        <f>_xlfn.IFNA(VLOOKUP(Master_Reference[[#This Row],[C-Flex 3000K Eco Part Number]],Lutron_CFlex_Lookup[],MATCH("Lutron Kit PN",Lutron_CFlex_Lookup[#Headers],0),FALSE),"")</f>
        <v/>
      </c>
      <c r="AG909" s="1" t="str">
        <f>_xlfn.IFNA(VLOOKUP(Master_Reference[[#This Row],[C-Flex 3500K Eco Part Number]],Lutron_CFlex_Lookup[],MATCH("Lutron Kit PN",Lutron_CFlex_Lookup[#Headers],0),FALSE),"")</f>
        <v/>
      </c>
      <c r="AH909" s="1" t="str">
        <f>_xlfn.IFNA(VLOOKUP(Master_Reference[[#This Row],[C-Flex 4000K Eco Part Number]],Lutron_CFlex_Lookup[],MATCH("Lutron Kit PN",Lutron_CFlex_Lookup[#Headers],0),FALSE),"")</f>
        <v/>
      </c>
      <c r="AI909" s="1" t="str">
        <f>_xlfn.IFNA(VLOOKUP(Master_Reference[[#This Row],[C-Flex 5000K Eco Part Number]],Lutron_CFlex_Lookup[],MATCH("Lutron Kit PN",Lutron_CFlex_Lookup[#Headers],0),FALSE),"")</f>
        <v/>
      </c>
      <c r="AJ909" s="1" t="str">
        <f>_xlfn.IFNA(VLOOKUP(Master_Reference[[#This Row],[C-Flex 3000K 3W Part Number]],Lutron_CFlex_Lookup[],MATCH("Lutron Kit PN",Lutron_CFlex_Lookup[#Headers],0),FALSE),"")</f>
        <v/>
      </c>
      <c r="AK909" s="1" t="str">
        <f>_xlfn.IFNA(VLOOKUP(Master_Reference[[#This Row],[C-Flex 3500K 3W Part Number]],Lutron_CFlex_Lookup[],MATCH("Lutron Kit PN",Lutron_CFlex_Lookup[#Headers],0),FALSE),"")</f>
        <v/>
      </c>
      <c r="AL909" s="1" t="str">
        <f>_xlfn.IFNA(VLOOKUP(Master_Reference[[#This Row],[C-Flex 4000K 3W Part Number]],Lutron_CFlex_Lookup[],MATCH("Lutron Kit PN",Lutron_CFlex_Lookup[#Headers],0),FALSE),"")</f>
        <v/>
      </c>
      <c r="AM909" s="1" t="str">
        <f>_xlfn.IFNA(VLOOKUP(Master_Reference[[#This Row],[C-Flex 5000K 3W Part Number]],Lutron_CFlex_Lookup[],MATCH("Lutron Kit PN",Lutron_CFlex_Lookup[#Headers],0),FALSE),"")</f>
        <v/>
      </c>
      <c r="AN909" s="1" t="b">
        <f>NOT(ISNA(VLOOKUP(Master_Reference[[#This Row],[Model Number]],ObsoleteModels[],1,FALSE)))</f>
        <v>1</v>
      </c>
      <c r="AO909" s="1" t="str">
        <f>IF(LEFT(Master_Reference[[#This Row],[Model Number]],1)="U",LEFT(Master_Reference[[#This Row],[Model Number]],4),LEFT(Master_Reference[[#This Row],[Model Number]],3))</f>
        <v>HL3</v>
      </c>
    </row>
    <row r="910" spans="1:41" x14ac:dyDescent="0.25">
      <c r="A910" s="2" t="s">
        <v>1214</v>
      </c>
      <c r="B910" s="1"/>
      <c r="C910" s="1" t="b">
        <v>1</v>
      </c>
      <c r="G910" s="1" t="str">
        <f>IF(OR(LEFT(RIGHT(Master_Reference[[#This Row],[Model Number]],3),1)="C",LEFT(RIGHT(Master_Reference[[#This Row],[Model Number]],4),1)="C"),TRUE,"")</f>
        <v/>
      </c>
      <c r="H910" s="1" t="str">
        <f>IF(LEFT(Master_Reference[[#This Row],[Model Number]],1)="U",TRUE,"")</f>
        <v/>
      </c>
      <c r="I910" s="1" t="b">
        <f>IF(Master_Reference[[#This Row],[Lamp Type]]="T4","",IF(Master_Reference[[#This Row],[Case Type]]="M","",TRUE))</f>
        <v>1</v>
      </c>
      <c r="J910" s="1" t="s">
        <v>215</v>
      </c>
      <c r="K910" s="1">
        <v>39</v>
      </c>
      <c r="L910" s="1" t="s">
        <v>216</v>
      </c>
      <c r="M910" s="1">
        <v>1</v>
      </c>
      <c r="N910" s="1">
        <v>277</v>
      </c>
      <c r="O910" s="1" t="s">
        <v>144</v>
      </c>
      <c r="R910" t="b">
        <f>IF(COUNTBLANK(Master_Reference[[#This Row],[C-Flex 3000K Eco Part Number]:[C-Flex 4000K Eco Part Number]])=3,FALSE,TRUE)</f>
        <v>0</v>
      </c>
      <c r="S910" t="b">
        <f>IF(COUNTBLANK(Master_Reference[[#This Row],[C-Flex 3000K 3W Part Number]:[C-Flex 4000K 3W Part Number]])=3,FALSE,TRUE)</f>
        <v>0</v>
      </c>
      <c r="T910" s="1" t="b">
        <f>IF(COUNTBLANK(Master_Reference[[#This Row],[Lutron 3000K Eco Part Number]:[Lutron 4000K Eco Part Number]])=3,FALSE,TRUE)</f>
        <v>0</v>
      </c>
      <c r="U910" s="1" t="b">
        <f>IF(COUNTBLANK(Master_Reference[[#This Row],[Lutron 3000K 3W Part Number]:[Lutron 4000K 3W Part Number]])=3,FALSE,TRUE)</f>
        <v>0</v>
      </c>
      <c r="V910" s="13"/>
      <c r="W910" s="13"/>
      <c r="X910" s="12"/>
      <c r="Y910" t="s">
        <v>2125</v>
      </c>
      <c r="Z910" s="12"/>
      <c r="AA910" s="12"/>
      <c r="AB910" s="12"/>
      <c r="AC910" t="s">
        <v>2125</v>
      </c>
      <c r="AD910" t="str">
        <f>SUBSTITUTE(Master_Reference[[#This Row],[C-Flex 4000K Eco Part Number]],"40-","xx-")</f>
        <v/>
      </c>
      <c r="AE910" t="str">
        <f>SUBSTITUTE(Master_Reference[[#This Row],[C-Flex 4000K 3W Part Number]],"40-","xx-")</f>
        <v/>
      </c>
      <c r="AF910" s="1" t="str">
        <f>_xlfn.IFNA(VLOOKUP(Master_Reference[[#This Row],[C-Flex 3000K Eco Part Number]],Lutron_CFlex_Lookup[],MATCH("Lutron Kit PN",Lutron_CFlex_Lookup[#Headers],0),FALSE),"")</f>
        <v/>
      </c>
      <c r="AG910" s="1" t="str">
        <f>_xlfn.IFNA(VLOOKUP(Master_Reference[[#This Row],[C-Flex 3500K Eco Part Number]],Lutron_CFlex_Lookup[],MATCH("Lutron Kit PN",Lutron_CFlex_Lookup[#Headers],0),FALSE),"")</f>
        <v/>
      </c>
      <c r="AH910" s="1" t="str">
        <f>_xlfn.IFNA(VLOOKUP(Master_Reference[[#This Row],[C-Flex 4000K Eco Part Number]],Lutron_CFlex_Lookup[],MATCH("Lutron Kit PN",Lutron_CFlex_Lookup[#Headers],0),FALSE),"")</f>
        <v/>
      </c>
      <c r="AI910" s="1" t="str">
        <f>_xlfn.IFNA(VLOOKUP(Master_Reference[[#This Row],[C-Flex 5000K Eco Part Number]],Lutron_CFlex_Lookup[],MATCH("Lutron Kit PN",Lutron_CFlex_Lookup[#Headers],0),FALSE),"")</f>
        <v/>
      </c>
      <c r="AJ910" s="1" t="str">
        <f>_xlfn.IFNA(VLOOKUP(Master_Reference[[#This Row],[C-Flex 3000K 3W Part Number]],Lutron_CFlex_Lookup[],MATCH("Lutron Kit PN",Lutron_CFlex_Lookup[#Headers],0),FALSE),"")</f>
        <v/>
      </c>
      <c r="AK910" s="1" t="str">
        <f>_xlfn.IFNA(VLOOKUP(Master_Reference[[#This Row],[C-Flex 3500K 3W Part Number]],Lutron_CFlex_Lookup[],MATCH("Lutron Kit PN",Lutron_CFlex_Lookup[#Headers],0),FALSE),"")</f>
        <v/>
      </c>
      <c r="AL910" s="1" t="str">
        <f>_xlfn.IFNA(VLOOKUP(Master_Reference[[#This Row],[C-Flex 4000K 3W Part Number]],Lutron_CFlex_Lookup[],MATCH("Lutron Kit PN",Lutron_CFlex_Lookup[#Headers],0),FALSE),"")</f>
        <v/>
      </c>
      <c r="AM910" s="1" t="str">
        <f>_xlfn.IFNA(VLOOKUP(Master_Reference[[#This Row],[C-Flex 5000K 3W Part Number]],Lutron_CFlex_Lookup[],MATCH("Lutron Kit PN",Lutron_CFlex_Lookup[#Headers],0),FALSE),"")</f>
        <v/>
      </c>
      <c r="AN910" s="1" t="b">
        <f>NOT(ISNA(VLOOKUP(Master_Reference[[#This Row],[Model Number]],ObsoleteModels[],1,FALSE)))</f>
        <v>1</v>
      </c>
      <c r="AO910" s="1" t="str">
        <f>IF(LEFT(Master_Reference[[#This Row],[Model Number]],1)="U",LEFT(Master_Reference[[#This Row],[Model Number]],4),LEFT(Master_Reference[[#This Row],[Model Number]],3))</f>
        <v>RSP</v>
      </c>
    </row>
    <row r="911" spans="1:41" x14ac:dyDescent="0.25">
      <c r="A911" s="2" t="s">
        <v>1215</v>
      </c>
      <c r="B911" s="1"/>
      <c r="C911" s="1" t="b">
        <v>1</v>
      </c>
      <c r="G911" s="1" t="str">
        <f>IF(OR(LEFT(RIGHT(Master_Reference[[#This Row],[Model Number]],3),1)="C",LEFT(RIGHT(Master_Reference[[#This Row],[Model Number]],4),1)="C"),TRUE,"")</f>
        <v/>
      </c>
      <c r="H911" s="1" t="str">
        <f>IF(LEFT(Master_Reference[[#This Row],[Model Number]],1)="U",TRUE,"")</f>
        <v/>
      </c>
      <c r="I911" s="1" t="b">
        <f>IF(Master_Reference[[#This Row],[Lamp Type]]="T4","",IF(Master_Reference[[#This Row],[Case Type]]="M","",TRUE))</f>
        <v>1</v>
      </c>
      <c r="J911" s="1" t="s">
        <v>215</v>
      </c>
      <c r="K911" s="1">
        <v>39</v>
      </c>
      <c r="L911" s="1" t="s">
        <v>216</v>
      </c>
      <c r="M911" s="1">
        <v>2</v>
      </c>
      <c r="N911" s="1">
        <v>277</v>
      </c>
      <c r="O911" s="1" t="s">
        <v>144</v>
      </c>
      <c r="R911" t="b">
        <f>IF(COUNTBLANK(Master_Reference[[#This Row],[C-Flex 3000K Eco Part Number]:[C-Flex 4000K Eco Part Number]])=3,FALSE,TRUE)</f>
        <v>0</v>
      </c>
      <c r="S911" t="b">
        <f>IF(COUNTBLANK(Master_Reference[[#This Row],[C-Flex 3000K 3W Part Number]:[C-Flex 4000K 3W Part Number]])=3,FALSE,TRUE)</f>
        <v>0</v>
      </c>
      <c r="T911" s="1" t="b">
        <f>IF(COUNTBLANK(Master_Reference[[#This Row],[Lutron 3000K Eco Part Number]:[Lutron 4000K Eco Part Number]])=3,FALSE,TRUE)</f>
        <v>0</v>
      </c>
      <c r="U911" s="1" t="b">
        <f>IF(COUNTBLANK(Master_Reference[[#This Row],[Lutron 3000K 3W Part Number]:[Lutron 4000K 3W Part Number]])=3,FALSE,TRUE)</f>
        <v>0</v>
      </c>
      <c r="V911" s="13"/>
      <c r="W911" s="13"/>
      <c r="X911" s="12"/>
      <c r="Y911" t="s">
        <v>2125</v>
      </c>
      <c r="Z911" s="12"/>
      <c r="AA911" s="12"/>
      <c r="AB911" s="12"/>
      <c r="AC911" t="s">
        <v>2125</v>
      </c>
      <c r="AD911" t="str">
        <f>SUBSTITUTE(Master_Reference[[#This Row],[C-Flex 4000K Eco Part Number]],"40-","xx-")</f>
        <v/>
      </c>
      <c r="AE911" t="str">
        <f>SUBSTITUTE(Master_Reference[[#This Row],[C-Flex 4000K 3W Part Number]],"40-","xx-")</f>
        <v/>
      </c>
      <c r="AF911" s="1" t="str">
        <f>_xlfn.IFNA(VLOOKUP(Master_Reference[[#This Row],[C-Flex 3000K Eco Part Number]],Lutron_CFlex_Lookup[],MATCH("Lutron Kit PN",Lutron_CFlex_Lookup[#Headers],0),FALSE),"")</f>
        <v/>
      </c>
      <c r="AG911" s="1" t="str">
        <f>_xlfn.IFNA(VLOOKUP(Master_Reference[[#This Row],[C-Flex 3500K Eco Part Number]],Lutron_CFlex_Lookup[],MATCH("Lutron Kit PN",Lutron_CFlex_Lookup[#Headers],0),FALSE),"")</f>
        <v/>
      </c>
      <c r="AH911" s="1" t="str">
        <f>_xlfn.IFNA(VLOOKUP(Master_Reference[[#This Row],[C-Flex 4000K Eco Part Number]],Lutron_CFlex_Lookup[],MATCH("Lutron Kit PN",Lutron_CFlex_Lookup[#Headers],0),FALSE),"")</f>
        <v/>
      </c>
      <c r="AI911" s="1" t="str">
        <f>_xlfn.IFNA(VLOOKUP(Master_Reference[[#This Row],[C-Flex 5000K Eco Part Number]],Lutron_CFlex_Lookup[],MATCH("Lutron Kit PN",Lutron_CFlex_Lookup[#Headers],0),FALSE),"")</f>
        <v/>
      </c>
      <c r="AJ911" s="1" t="str">
        <f>_xlfn.IFNA(VLOOKUP(Master_Reference[[#This Row],[C-Flex 3000K 3W Part Number]],Lutron_CFlex_Lookup[],MATCH("Lutron Kit PN",Lutron_CFlex_Lookup[#Headers],0),FALSE),"")</f>
        <v/>
      </c>
      <c r="AK911" s="1" t="str">
        <f>_xlfn.IFNA(VLOOKUP(Master_Reference[[#This Row],[C-Flex 3500K 3W Part Number]],Lutron_CFlex_Lookup[],MATCH("Lutron Kit PN",Lutron_CFlex_Lookup[#Headers],0),FALSE),"")</f>
        <v/>
      </c>
      <c r="AL911" s="1" t="str">
        <f>_xlfn.IFNA(VLOOKUP(Master_Reference[[#This Row],[C-Flex 4000K 3W Part Number]],Lutron_CFlex_Lookup[],MATCH("Lutron Kit PN",Lutron_CFlex_Lookup[#Headers],0),FALSE),"")</f>
        <v/>
      </c>
      <c r="AM911" s="1" t="str">
        <f>_xlfn.IFNA(VLOOKUP(Master_Reference[[#This Row],[C-Flex 5000K 3W Part Number]],Lutron_CFlex_Lookup[],MATCH("Lutron Kit PN",Lutron_CFlex_Lookup[#Headers],0),FALSE),"")</f>
        <v/>
      </c>
      <c r="AN911" s="1" t="b">
        <f>NOT(ISNA(VLOOKUP(Master_Reference[[#This Row],[Model Number]],ObsoleteModels[],1,FALSE)))</f>
        <v>1</v>
      </c>
      <c r="AO911" s="1" t="str">
        <f>IF(LEFT(Master_Reference[[#This Row],[Model Number]],1)="U",LEFT(Master_Reference[[#This Row],[Model Number]],4),LEFT(Master_Reference[[#This Row],[Model Number]],3))</f>
        <v>RSP</v>
      </c>
    </row>
    <row r="912" spans="1:41" x14ac:dyDescent="0.25">
      <c r="A912" s="2" t="s">
        <v>1216</v>
      </c>
      <c r="B912" s="1"/>
      <c r="C912" s="1" t="b">
        <v>1</v>
      </c>
      <c r="G912" s="1" t="str">
        <f>IF(OR(LEFT(RIGHT(Master_Reference[[#This Row],[Model Number]],3),1)="C",LEFT(RIGHT(Master_Reference[[#This Row],[Model Number]],4),1)="C"),TRUE,"")</f>
        <v/>
      </c>
      <c r="H912" s="1" t="str">
        <f>IF(LEFT(Master_Reference[[#This Row],[Model Number]],1)="U",TRUE,"")</f>
        <v/>
      </c>
      <c r="I912" s="1" t="b">
        <f>IF(Master_Reference[[#This Row],[Lamp Type]]="T4","",IF(Master_Reference[[#This Row],[Case Type]]="M","",TRUE))</f>
        <v>1</v>
      </c>
      <c r="J912" s="1" t="s">
        <v>215</v>
      </c>
      <c r="K912" s="1">
        <v>40</v>
      </c>
      <c r="L912" s="1" t="s">
        <v>225</v>
      </c>
      <c r="M912" s="1">
        <v>1</v>
      </c>
      <c r="N912" s="1">
        <v>120</v>
      </c>
      <c r="O912" s="1" t="s">
        <v>144</v>
      </c>
      <c r="R912" t="b">
        <f>IF(COUNTBLANK(Master_Reference[[#This Row],[C-Flex 3000K Eco Part Number]:[C-Flex 4000K Eco Part Number]])=3,FALSE,TRUE)</f>
        <v>0</v>
      </c>
      <c r="S912" t="b">
        <f>IF(COUNTBLANK(Master_Reference[[#This Row],[C-Flex 3000K 3W Part Number]:[C-Flex 4000K 3W Part Number]])=3,FALSE,TRUE)</f>
        <v>1</v>
      </c>
      <c r="T912" s="1" t="b">
        <f>IF(COUNTBLANK(Master_Reference[[#This Row],[Lutron 3000K Eco Part Number]:[Lutron 4000K Eco Part Number]])=3,FALSE,TRUE)</f>
        <v>0</v>
      </c>
      <c r="U912" s="1" t="b">
        <f>IF(COUNTBLANK(Master_Reference[[#This Row],[Lutron 3000K 3W Part Number]:[Lutron 4000K 3W Part Number]])=3,FALSE,TRUE)</f>
        <v>1</v>
      </c>
      <c r="V912" s="13"/>
      <c r="W912" s="13"/>
      <c r="X912" s="12"/>
      <c r="Y912" t="s">
        <v>2125</v>
      </c>
      <c r="Z912" s="12" t="s">
        <v>229</v>
      </c>
      <c r="AA912" s="12" t="s">
        <v>230</v>
      </c>
      <c r="AB912" s="12" t="s">
        <v>231</v>
      </c>
      <c r="AC912" t="s">
        <v>1801</v>
      </c>
      <c r="AD912" t="str">
        <f>SUBSTITUTE(Master_Reference[[#This Row],[C-Flex 4000K Eco Part Number]],"40-","xx-")</f>
        <v/>
      </c>
      <c r="AE912" t="str">
        <f>SUBSTITUTE(Master_Reference[[#This Row],[C-Flex 4000K 3W Part Number]],"40-","xx-")</f>
        <v>RP-PLL-2.5K-1L-8xx-3W-M-G2</v>
      </c>
      <c r="AF912" s="1" t="str">
        <f>_xlfn.IFNA(VLOOKUP(Master_Reference[[#This Row],[C-Flex 3000K Eco Part Number]],Lutron_CFlex_Lookup[],MATCH("Lutron Kit PN",Lutron_CFlex_Lookup[#Headers],0),FALSE),"")</f>
        <v/>
      </c>
      <c r="AG912" s="1" t="str">
        <f>_xlfn.IFNA(VLOOKUP(Master_Reference[[#This Row],[C-Flex 3500K Eco Part Number]],Lutron_CFlex_Lookup[],MATCH("Lutron Kit PN",Lutron_CFlex_Lookup[#Headers],0),FALSE),"")</f>
        <v/>
      </c>
      <c r="AH912" s="1" t="str">
        <f>_xlfn.IFNA(VLOOKUP(Master_Reference[[#This Row],[C-Flex 4000K Eco Part Number]],Lutron_CFlex_Lookup[],MATCH("Lutron Kit PN",Lutron_CFlex_Lookup[#Headers],0),FALSE),"")</f>
        <v/>
      </c>
      <c r="AI912" s="1" t="str">
        <f>_xlfn.IFNA(VLOOKUP(Master_Reference[[#This Row],[C-Flex 5000K Eco Part Number]],Lutron_CFlex_Lookup[],MATCH("Lutron Kit PN",Lutron_CFlex_Lookup[#Headers],0),FALSE),"")</f>
        <v/>
      </c>
      <c r="AJ912" s="1" t="str">
        <f>_xlfn.IFNA(VLOOKUP(Master_Reference[[#This Row],[C-Flex 3000K 3W Part Number]],Lutron_CFlex_Lookup[],MATCH("Lutron Kit PN",Lutron_CFlex_Lookup[#Headers],0),FALSE),"")</f>
        <v>3LD-TT-1M30-q</v>
      </c>
      <c r="AK912" s="1" t="str">
        <f>_xlfn.IFNA(VLOOKUP(Master_Reference[[#This Row],[C-Flex 3500K 3W Part Number]],Lutron_CFlex_Lookup[],MATCH("Lutron Kit PN",Lutron_CFlex_Lookup[#Headers],0),FALSE),"")</f>
        <v>3LD-TT-1M35-q</v>
      </c>
      <c r="AL912" s="1" t="str">
        <f>_xlfn.IFNA(VLOOKUP(Master_Reference[[#This Row],[C-Flex 4000K 3W Part Number]],Lutron_CFlex_Lookup[],MATCH("Lutron Kit PN",Lutron_CFlex_Lookup[#Headers],0),FALSE),"")</f>
        <v>3LD-TT-1M40-q</v>
      </c>
      <c r="AM912" s="1" t="str">
        <f>_xlfn.IFNA(VLOOKUP(Master_Reference[[#This Row],[C-Flex 5000K 3W Part Number]],Lutron_CFlex_Lookup[],MATCH("Lutron Kit PN",Lutron_CFlex_Lookup[#Headers],0),FALSE),"")</f>
        <v>3LD-TT-1M50-q</v>
      </c>
      <c r="AN912" s="1" t="b">
        <f>NOT(ISNA(VLOOKUP(Master_Reference[[#This Row],[Model Number]],ObsoleteModels[],1,FALSE)))</f>
        <v>1</v>
      </c>
      <c r="AO912" s="1" t="str">
        <f>IF(LEFT(Master_Reference[[#This Row],[Model Number]],1)="U",LEFT(Master_Reference[[#This Row],[Model Number]],4),LEFT(Master_Reference[[#This Row],[Model Number]],3))</f>
        <v>RSP</v>
      </c>
    </row>
    <row r="913" spans="1:41" x14ac:dyDescent="0.25">
      <c r="A913" s="2" t="s">
        <v>1217</v>
      </c>
      <c r="B913" s="1"/>
      <c r="C913" s="1" t="b">
        <v>1</v>
      </c>
      <c r="G913" s="1" t="str">
        <f>IF(OR(LEFT(RIGHT(Master_Reference[[#This Row],[Model Number]],3),1)="C",LEFT(RIGHT(Master_Reference[[#This Row],[Model Number]],4),1)="C"),TRUE,"")</f>
        <v/>
      </c>
      <c r="H913" s="1" t="str">
        <f>IF(LEFT(Master_Reference[[#This Row],[Model Number]],1)="U",TRUE,"")</f>
        <v/>
      </c>
      <c r="I913" s="1" t="b">
        <f>IF(Master_Reference[[#This Row],[Lamp Type]]="T4","",IF(Master_Reference[[#This Row],[Case Type]]="M","",TRUE))</f>
        <v>1</v>
      </c>
      <c r="J913" s="1" t="s">
        <v>215</v>
      </c>
      <c r="K913" s="1">
        <v>40</v>
      </c>
      <c r="L913" s="1" t="s">
        <v>225</v>
      </c>
      <c r="M913" s="1">
        <v>2</v>
      </c>
      <c r="N913" s="1">
        <v>120</v>
      </c>
      <c r="O913" s="1" t="s">
        <v>144</v>
      </c>
      <c r="R913" t="b">
        <f>IF(COUNTBLANK(Master_Reference[[#This Row],[C-Flex 3000K Eco Part Number]:[C-Flex 4000K Eco Part Number]])=3,FALSE,TRUE)</f>
        <v>0</v>
      </c>
      <c r="S913" t="b">
        <f>IF(COUNTBLANK(Master_Reference[[#This Row],[C-Flex 3000K 3W Part Number]:[C-Flex 4000K 3W Part Number]])=3,FALSE,TRUE)</f>
        <v>1</v>
      </c>
      <c r="T913" s="1" t="b">
        <f>IF(COUNTBLANK(Master_Reference[[#This Row],[Lutron 3000K Eco Part Number]:[Lutron 4000K Eco Part Number]])=3,FALSE,TRUE)</f>
        <v>0</v>
      </c>
      <c r="U913" s="1" t="b">
        <f>IF(COUNTBLANK(Master_Reference[[#This Row],[Lutron 3000K 3W Part Number]:[Lutron 4000K 3W Part Number]])=3,FALSE,TRUE)</f>
        <v>1</v>
      </c>
      <c r="V913" s="13"/>
      <c r="W913" s="13"/>
      <c r="X913" s="12"/>
      <c r="Y913" t="s">
        <v>2125</v>
      </c>
      <c r="Z913" s="12" t="s">
        <v>236</v>
      </c>
      <c r="AA913" s="12" t="s">
        <v>237</v>
      </c>
      <c r="AB913" s="12" t="s">
        <v>238</v>
      </c>
      <c r="AC913" t="s">
        <v>1802</v>
      </c>
      <c r="AD913" t="str">
        <f>SUBSTITUTE(Master_Reference[[#This Row],[C-Flex 4000K Eco Part Number]],"40-","xx-")</f>
        <v/>
      </c>
      <c r="AE913" t="str">
        <f>SUBSTITUTE(Master_Reference[[#This Row],[C-Flex 4000K 3W Part Number]],"40-","xx-")</f>
        <v>RP-PLL-5.0K-2L-8xx-3W-M-G2</v>
      </c>
      <c r="AF913" s="1" t="str">
        <f>_xlfn.IFNA(VLOOKUP(Master_Reference[[#This Row],[C-Flex 3000K Eco Part Number]],Lutron_CFlex_Lookup[],MATCH("Lutron Kit PN",Lutron_CFlex_Lookup[#Headers],0),FALSE),"")</f>
        <v/>
      </c>
      <c r="AG913" s="1" t="str">
        <f>_xlfn.IFNA(VLOOKUP(Master_Reference[[#This Row],[C-Flex 3500K Eco Part Number]],Lutron_CFlex_Lookup[],MATCH("Lutron Kit PN",Lutron_CFlex_Lookup[#Headers],0),FALSE),"")</f>
        <v/>
      </c>
      <c r="AH913" s="1" t="str">
        <f>_xlfn.IFNA(VLOOKUP(Master_Reference[[#This Row],[C-Flex 4000K Eco Part Number]],Lutron_CFlex_Lookup[],MATCH("Lutron Kit PN",Lutron_CFlex_Lookup[#Headers],0),FALSE),"")</f>
        <v/>
      </c>
      <c r="AI913" s="1" t="str">
        <f>_xlfn.IFNA(VLOOKUP(Master_Reference[[#This Row],[C-Flex 5000K Eco Part Number]],Lutron_CFlex_Lookup[],MATCH("Lutron Kit PN",Lutron_CFlex_Lookup[#Headers],0),FALSE),"")</f>
        <v/>
      </c>
      <c r="AJ913" s="1" t="str">
        <f>_xlfn.IFNA(VLOOKUP(Master_Reference[[#This Row],[C-Flex 3000K 3W Part Number]],Lutron_CFlex_Lookup[],MATCH("Lutron Kit PN",Lutron_CFlex_Lookup[#Headers],0),FALSE),"")</f>
        <v>3LD-TT-2M30-q</v>
      </c>
      <c r="AK913" s="1" t="str">
        <f>_xlfn.IFNA(VLOOKUP(Master_Reference[[#This Row],[C-Flex 3500K 3W Part Number]],Lutron_CFlex_Lookup[],MATCH("Lutron Kit PN",Lutron_CFlex_Lookup[#Headers],0),FALSE),"")</f>
        <v>3LD-TT-2M35-q</v>
      </c>
      <c r="AL913" s="1" t="str">
        <f>_xlfn.IFNA(VLOOKUP(Master_Reference[[#This Row],[C-Flex 4000K 3W Part Number]],Lutron_CFlex_Lookup[],MATCH("Lutron Kit PN",Lutron_CFlex_Lookup[#Headers],0),FALSE),"")</f>
        <v>3LD-TT-2M40-q</v>
      </c>
      <c r="AM913" s="1" t="str">
        <f>_xlfn.IFNA(VLOOKUP(Master_Reference[[#This Row],[C-Flex 5000K 3W Part Number]],Lutron_CFlex_Lookup[],MATCH("Lutron Kit PN",Lutron_CFlex_Lookup[#Headers],0),FALSE),"")</f>
        <v>3LD-TT-2M50-q</v>
      </c>
      <c r="AN913" s="1" t="b">
        <f>NOT(ISNA(VLOOKUP(Master_Reference[[#This Row],[Model Number]],ObsoleteModels[],1,FALSE)))</f>
        <v>1</v>
      </c>
      <c r="AO913" s="1" t="str">
        <f>IF(LEFT(Master_Reference[[#This Row],[Model Number]],1)="U",LEFT(Master_Reference[[#This Row],[Model Number]],4),LEFT(Master_Reference[[#This Row],[Model Number]],3))</f>
        <v>RSP</v>
      </c>
    </row>
    <row r="914" spans="1:41" x14ac:dyDescent="0.25">
      <c r="A914" s="2" t="s">
        <v>1218</v>
      </c>
      <c r="B914" s="1"/>
      <c r="C914" s="1" t="b">
        <v>1</v>
      </c>
      <c r="G914" s="1" t="str">
        <f>IF(OR(LEFT(RIGHT(Master_Reference[[#This Row],[Model Number]],3),1)="C",LEFT(RIGHT(Master_Reference[[#This Row],[Model Number]],4),1)="C"),TRUE,"")</f>
        <v/>
      </c>
      <c r="H914" s="1" t="str">
        <f>IF(LEFT(Master_Reference[[#This Row],[Model Number]],1)="U",TRUE,"")</f>
        <v/>
      </c>
      <c r="I914" s="1" t="b">
        <f>IF(Master_Reference[[#This Row],[Lamp Type]]="T4","",IF(Master_Reference[[#This Row],[Case Type]]="M","",TRUE))</f>
        <v>1</v>
      </c>
      <c r="J914" s="1" t="s">
        <v>215</v>
      </c>
      <c r="K914" s="1">
        <v>40</v>
      </c>
      <c r="L914" s="1" t="s">
        <v>225</v>
      </c>
      <c r="M914" s="1">
        <v>1</v>
      </c>
      <c r="N914" s="1">
        <v>277</v>
      </c>
      <c r="O914" s="1" t="s">
        <v>144</v>
      </c>
      <c r="R914" t="b">
        <f>IF(COUNTBLANK(Master_Reference[[#This Row],[C-Flex 3000K Eco Part Number]:[C-Flex 4000K Eco Part Number]])=3,FALSE,TRUE)</f>
        <v>0</v>
      </c>
      <c r="S914" t="b">
        <f>IF(COUNTBLANK(Master_Reference[[#This Row],[C-Flex 3000K 3W Part Number]:[C-Flex 4000K 3W Part Number]])=3,FALSE,TRUE)</f>
        <v>1</v>
      </c>
      <c r="T914" s="1" t="b">
        <f>IF(COUNTBLANK(Master_Reference[[#This Row],[Lutron 3000K Eco Part Number]:[Lutron 4000K Eco Part Number]])=3,FALSE,TRUE)</f>
        <v>0</v>
      </c>
      <c r="U914" s="1" t="b">
        <f>IF(COUNTBLANK(Master_Reference[[#This Row],[Lutron 3000K 3W Part Number]:[Lutron 4000K 3W Part Number]])=3,FALSE,TRUE)</f>
        <v>1</v>
      </c>
      <c r="V914" s="13"/>
      <c r="W914" s="13"/>
      <c r="X914" s="12"/>
      <c r="Y914" t="s">
        <v>2125</v>
      </c>
      <c r="Z914" s="12" t="s">
        <v>229</v>
      </c>
      <c r="AA914" s="12" t="s">
        <v>230</v>
      </c>
      <c r="AB914" s="12" t="s">
        <v>231</v>
      </c>
      <c r="AC914" t="s">
        <v>1801</v>
      </c>
      <c r="AD914" t="str">
        <f>SUBSTITUTE(Master_Reference[[#This Row],[C-Flex 4000K Eco Part Number]],"40-","xx-")</f>
        <v/>
      </c>
      <c r="AE914" t="str">
        <f>SUBSTITUTE(Master_Reference[[#This Row],[C-Flex 4000K 3W Part Number]],"40-","xx-")</f>
        <v>RP-PLL-2.5K-1L-8xx-3W-M-G2</v>
      </c>
      <c r="AF914" s="1" t="str">
        <f>_xlfn.IFNA(VLOOKUP(Master_Reference[[#This Row],[C-Flex 3000K Eco Part Number]],Lutron_CFlex_Lookup[],MATCH("Lutron Kit PN",Lutron_CFlex_Lookup[#Headers],0),FALSE),"")</f>
        <v/>
      </c>
      <c r="AG914" s="1" t="str">
        <f>_xlfn.IFNA(VLOOKUP(Master_Reference[[#This Row],[C-Flex 3500K Eco Part Number]],Lutron_CFlex_Lookup[],MATCH("Lutron Kit PN",Lutron_CFlex_Lookup[#Headers],0),FALSE),"")</f>
        <v/>
      </c>
      <c r="AH914" s="1" t="str">
        <f>_xlfn.IFNA(VLOOKUP(Master_Reference[[#This Row],[C-Flex 4000K Eco Part Number]],Lutron_CFlex_Lookup[],MATCH("Lutron Kit PN",Lutron_CFlex_Lookup[#Headers],0),FALSE),"")</f>
        <v/>
      </c>
      <c r="AI914" s="1" t="str">
        <f>_xlfn.IFNA(VLOOKUP(Master_Reference[[#This Row],[C-Flex 5000K Eco Part Number]],Lutron_CFlex_Lookup[],MATCH("Lutron Kit PN",Lutron_CFlex_Lookup[#Headers],0),FALSE),"")</f>
        <v/>
      </c>
      <c r="AJ914" s="1" t="str">
        <f>_xlfn.IFNA(VLOOKUP(Master_Reference[[#This Row],[C-Flex 3000K 3W Part Number]],Lutron_CFlex_Lookup[],MATCH("Lutron Kit PN",Lutron_CFlex_Lookup[#Headers],0),FALSE),"")</f>
        <v>3LD-TT-1M30-q</v>
      </c>
      <c r="AK914" s="1" t="str">
        <f>_xlfn.IFNA(VLOOKUP(Master_Reference[[#This Row],[C-Flex 3500K 3W Part Number]],Lutron_CFlex_Lookup[],MATCH("Lutron Kit PN",Lutron_CFlex_Lookup[#Headers],0),FALSE),"")</f>
        <v>3LD-TT-1M35-q</v>
      </c>
      <c r="AL914" s="1" t="str">
        <f>_xlfn.IFNA(VLOOKUP(Master_Reference[[#This Row],[C-Flex 4000K 3W Part Number]],Lutron_CFlex_Lookup[],MATCH("Lutron Kit PN",Lutron_CFlex_Lookup[#Headers],0),FALSE),"")</f>
        <v>3LD-TT-1M40-q</v>
      </c>
      <c r="AM914" s="1" t="str">
        <f>_xlfn.IFNA(VLOOKUP(Master_Reference[[#This Row],[C-Flex 5000K 3W Part Number]],Lutron_CFlex_Lookup[],MATCH("Lutron Kit PN",Lutron_CFlex_Lookup[#Headers],0),FALSE),"")</f>
        <v>3LD-TT-1M50-q</v>
      </c>
      <c r="AN914" s="1" t="b">
        <f>NOT(ISNA(VLOOKUP(Master_Reference[[#This Row],[Model Number]],ObsoleteModels[],1,FALSE)))</f>
        <v>1</v>
      </c>
      <c r="AO914" s="1" t="str">
        <f>IF(LEFT(Master_Reference[[#This Row],[Model Number]],1)="U",LEFT(Master_Reference[[#This Row],[Model Number]],4),LEFT(Master_Reference[[#This Row],[Model Number]],3))</f>
        <v>RSP</v>
      </c>
    </row>
    <row r="915" spans="1:41" x14ac:dyDescent="0.25">
      <c r="A915" s="2" t="s">
        <v>1219</v>
      </c>
      <c r="B915" s="1"/>
      <c r="C915" s="1" t="b">
        <v>1</v>
      </c>
      <c r="G915" s="1" t="str">
        <f>IF(OR(LEFT(RIGHT(Master_Reference[[#This Row],[Model Number]],3),1)="C",LEFT(RIGHT(Master_Reference[[#This Row],[Model Number]],4),1)="C"),TRUE,"")</f>
        <v/>
      </c>
      <c r="H915" s="1" t="str">
        <f>IF(LEFT(Master_Reference[[#This Row],[Model Number]],1)="U",TRUE,"")</f>
        <v/>
      </c>
      <c r="I915" s="1" t="b">
        <f>IF(Master_Reference[[#This Row],[Lamp Type]]="T4","",IF(Master_Reference[[#This Row],[Case Type]]="M","",TRUE))</f>
        <v>1</v>
      </c>
      <c r="J915" s="1" t="s">
        <v>215</v>
      </c>
      <c r="K915" s="1">
        <v>40</v>
      </c>
      <c r="L915" s="1" t="s">
        <v>225</v>
      </c>
      <c r="M915" s="1">
        <v>2</v>
      </c>
      <c r="N915" s="1">
        <v>277</v>
      </c>
      <c r="O915" s="1" t="s">
        <v>144</v>
      </c>
      <c r="R915" t="b">
        <f>IF(COUNTBLANK(Master_Reference[[#This Row],[C-Flex 3000K Eco Part Number]:[C-Flex 4000K Eco Part Number]])=3,FALSE,TRUE)</f>
        <v>0</v>
      </c>
      <c r="S915" t="b">
        <f>IF(COUNTBLANK(Master_Reference[[#This Row],[C-Flex 3000K 3W Part Number]:[C-Flex 4000K 3W Part Number]])=3,FALSE,TRUE)</f>
        <v>1</v>
      </c>
      <c r="T915" s="1" t="b">
        <f>IF(COUNTBLANK(Master_Reference[[#This Row],[Lutron 3000K Eco Part Number]:[Lutron 4000K Eco Part Number]])=3,FALSE,TRUE)</f>
        <v>0</v>
      </c>
      <c r="U915" s="1" t="b">
        <f>IF(COUNTBLANK(Master_Reference[[#This Row],[Lutron 3000K 3W Part Number]:[Lutron 4000K 3W Part Number]])=3,FALSE,TRUE)</f>
        <v>1</v>
      </c>
      <c r="V915" s="13"/>
      <c r="W915" s="13"/>
      <c r="X915" s="12"/>
      <c r="Y915" t="s">
        <v>2125</v>
      </c>
      <c r="Z915" s="12" t="s">
        <v>236</v>
      </c>
      <c r="AA915" s="12" t="s">
        <v>237</v>
      </c>
      <c r="AB915" s="12" t="s">
        <v>238</v>
      </c>
      <c r="AC915" t="s">
        <v>1802</v>
      </c>
      <c r="AD915" t="str">
        <f>SUBSTITUTE(Master_Reference[[#This Row],[C-Flex 4000K Eco Part Number]],"40-","xx-")</f>
        <v/>
      </c>
      <c r="AE915" t="str">
        <f>SUBSTITUTE(Master_Reference[[#This Row],[C-Flex 4000K 3W Part Number]],"40-","xx-")</f>
        <v>RP-PLL-5.0K-2L-8xx-3W-M-G2</v>
      </c>
      <c r="AF915" s="1" t="str">
        <f>_xlfn.IFNA(VLOOKUP(Master_Reference[[#This Row],[C-Flex 3000K Eco Part Number]],Lutron_CFlex_Lookup[],MATCH("Lutron Kit PN",Lutron_CFlex_Lookup[#Headers],0),FALSE),"")</f>
        <v/>
      </c>
      <c r="AG915" s="1" t="str">
        <f>_xlfn.IFNA(VLOOKUP(Master_Reference[[#This Row],[C-Flex 3500K Eco Part Number]],Lutron_CFlex_Lookup[],MATCH("Lutron Kit PN",Lutron_CFlex_Lookup[#Headers],0),FALSE),"")</f>
        <v/>
      </c>
      <c r="AH915" s="1" t="str">
        <f>_xlfn.IFNA(VLOOKUP(Master_Reference[[#This Row],[C-Flex 4000K Eco Part Number]],Lutron_CFlex_Lookup[],MATCH("Lutron Kit PN",Lutron_CFlex_Lookup[#Headers],0),FALSE),"")</f>
        <v/>
      </c>
      <c r="AI915" s="1" t="str">
        <f>_xlfn.IFNA(VLOOKUP(Master_Reference[[#This Row],[C-Flex 5000K Eco Part Number]],Lutron_CFlex_Lookup[],MATCH("Lutron Kit PN",Lutron_CFlex_Lookup[#Headers],0),FALSE),"")</f>
        <v/>
      </c>
      <c r="AJ915" s="1" t="str">
        <f>_xlfn.IFNA(VLOOKUP(Master_Reference[[#This Row],[C-Flex 3000K 3W Part Number]],Lutron_CFlex_Lookup[],MATCH("Lutron Kit PN",Lutron_CFlex_Lookup[#Headers],0),FALSE),"")</f>
        <v>3LD-TT-2M30-q</v>
      </c>
      <c r="AK915" s="1" t="str">
        <f>_xlfn.IFNA(VLOOKUP(Master_Reference[[#This Row],[C-Flex 3500K 3W Part Number]],Lutron_CFlex_Lookup[],MATCH("Lutron Kit PN",Lutron_CFlex_Lookup[#Headers],0),FALSE),"")</f>
        <v>3LD-TT-2M35-q</v>
      </c>
      <c r="AL915" s="1" t="str">
        <f>_xlfn.IFNA(VLOOKUP(Master_Reference[[#This Row],[C-Flex 4000K 3W Part Number]],Lutron_CFlex_Lookup[],MATCH("Lutron Kit PN",Lutron_CFlex_Lookup[#Headers],0),FALSE),"")</f>
        <v>3LD-TT-2M40-q</v>
      </c>
      <c r="AM915" s="1" t="str">
        <f>_xlfn.IFNA(VLOOKUP(Master_Reference[[#This Row],[C-Flex 5000K 3W Part Number]],Lutron_CFlex_Lookup[],MATCH("Lutron Kit PN",Lutron_CFlex_Lookup[#Headers],0),FALSE),"")</f>
        <v>3LD-TT-2M50-q</v>
      </c>
      <c r="AN915" s="1" t="b">
        <f>NOT(ISNA(VLOOKUP(Master_Reference[[#This Row],[Model Number]],ObsoleteModels[],1,FALSE)))</f>
        <v>1</v>
      </c>
      <c r="AO915" s="1" t="str">
        <f>IF(LEFT(Master_Reference[[#This Row],[Model Number]],1)="U",LEFT(Master_Reference[[#This Row],[Model Number]],4),LEFT(Master_Reference[[#This Row],[Model Number]],3))</f>
        <v>RSP</v>
      </c>
    </row>
    <row r="916" spans="1:41" x14ac:dyDescent="0.25">
      <c r="A916" s="2" t="s">
        <v>1220</v>
      </c>
      <c r="B916" s="1"/>
      <c r="C916" s="1" t="b">
        <v>1</v>
      </c>
      <c r="G916" s="1" t="str">
        <f>IF(OR(LEFT(RIGHT(Master_Reference[[#This Row],[Model Number]],3),1)="C",LEFT(RIGHT(Master_Reference[[#This Row],[Model Number]],4),1)="C"),TRUE,"")</f>
        <v/>
      </c>
      <c r="H916" s="1" t="str">
        <f>IF(LEFT(Master_Reference[[#This Row],[Model Number]],1)="U",TRUE,"")</f>
        <v/>
      </c>
      <c r="I916" s="1" t="b">
        <f>IF(Master_Reference[[#This Row],[Lamp Type]]="T4","",IF(Master_Reference[[#This Row],[Case Type]]="M","",TRUE))</f>
        <v>1</v>
      </c>
      <c r="J916" s="1" t="s">
        <v>111</v>
      </c>
      <c r="K916" s="1">
        <v>25</v>
      </c>
      <c r="L916" s="1" t="s">
        <v>115</v>
      </c>
      <c r="M916" s="1">
        <v>1</v>
      </c>
      <c r="N916" s="1">
        <v>120</v>
      </c>
      <c r="O916" s="1" t="s">
        <v>144</v>
      </c>
      <c r="R916" t="b">
        <f>IF(COUNTBLANK(Master_Reference[[#This Row],[C-Flex 3000K Eco Part Number]:[C-Flex 4000K Eco Part Number]])=3,FALSE,TRUE)</f>
        <v>0</v>
      </c>
      <c r="S916" t="b">
        <f>IF(COUNTBLANK(Master_Reference[[#This Row],[C-Flex 3000K 3W Part Number]:[C-Flex 4000K 3W Part Number]])=3,FALSE,TRUE)</f>
        <v>1</v>
      </c>
      <c r="T916" s="1" t="b">
        <f>IF(COUNTBLANK(Master_Reference[[#This Row],[Lutron 3000K Eco Part Number]:[Lutron 4000K Eco Part Number]])=3,FALSE,TRUE)</f>
        <v>0</v>
      </c>
      <c r="U916" s="1" t="b">
        <f>IF(COUNTBLANK(Master_Reference[[#This Row],[Lutron 3000K 3W Part Number]:[Lutron 4000K 3W Part Number]])=3,FALSE,TRUE)</f>
        <v>1</v>
      </c>
      <c r="V916" s="13"/>
      <c r="W916" s="13"/>
      <c r="X916" s="12"/>
      <c r="Y916" t="s">
        <v>2125</v>
      </c>
      <c r="Z916" s="12" t="s">
        <v>255</v>
      </c>
      <c r="AA916" s="12" t="s">
        <v>256</v>
      </c>
      <c r="AB916" s="12" t="s">
        <v>257</v>
      </c>
      <c r="AC916" t="s">
        <v>1826</v>
      </c>
      <c r="AD916" t="str">
        <f>SUBSTITUTE(Master_Reference[[#This Row],[C-Flex 4000K Eco Part Number]],"40-","xx-")</f>
        <v/>
      </c>
      <c r="AE916" t="str">
        <f>SUBSTITUTE(Master_Reference[[#This Row],[C-Flex 4000K 3W Part Number]],"40-","xx-")</f>
        <v>RP-T8-3FT-1L-8xx-3W-M-G2</v>
      </c>
      <c r="AF916" s="1" t="str">
        <f>_xlfn.IFNA(VLOOKUP(Master_Reference[[#This Row],[C-Flex 3000K Eco Part Number]],Lutron_CFlex_Lookup[],MATCH("Lutron Kit PN",Lutron_CFlex_Lookup[#Headers],0),FALSE),"")</f>
        <v/>
      </c>
      <c r="AG916" s="1" t="str">
        <f>_xlfn.IFNA(VLOOKUP(Master_Reference[[#This Row],[C-Flex 3500K Eco Part Number]],Lutron_CFlex_Lookup[],MATCH("Lutron Kit PN",Lutron_CFlex_Lookup[#Headers],0),FALSE),"")</f>
        <v/>
      </c>
      <c r="AH916" s="1" t="str">
        <f>_xlfn.IFNA(VLOOKUP(Master_Reference[[#This Row],[C-Flex 4000K Eco Part Number]],Lutron_CFlex_Lookup[],MATCH("Lutron Kit PN",Lutron_CFlex_Lookup[#Headers],0),FALSE),"")</f>
        <v/>
      </c>
      <c r="AI916" s="1" t="str">
        <f>_xlfn.IFNA(VLOOKUP(Master_Reference[[#This Row],[C-Flex 5000K Eco Part Number]],Lutron_CFlex_Lookup[],MATCH("Lutron Kit PN",Lutron_CFlex_Lookup[#Headers],0),FALSE),"")</f>
        <v/>
      </c>
      <c r="AJ916" s="1" t="str">
        <f>_xlfn.IFNA(VLOOKUP(Master_Reference[[#This Row],[C-Flex 3000K 3W Part Number]],Lutron_CFlex_Lookup[],MATCH("Lutron Kit PN",Lutron_CFlex_Lookup[#Headers],0),FALSE),"")</f>
        <v>3LD3T8-1M30-q</v>
      </c>
      <c r="AK916" s="1" t="str">
        <f>_xlfn.IFNA(VLOOKUP(Master_Reference[[#This Row],[C-Flex 3500K 3W Part Number]],Lutron_CFlex_Lookup[],MATCH("Lutron Kit PN",Lutron_CFlex_Lookup[#Headers],0),FALSE),"")</f>
        <v>3LD3T8-1M35-q</v>
      </c>
      <c r="AL916" s="1" t="str">
        <f>_xlfn.IFNA(VLOOKUP(Master_Reference[[#This Row],[C-Flex 4000K 3W Part Number]],Lutron_CFlex_Lookup[],MATCH("Lutron Kit PN",Lutron_CFlex_Lookup[#Headers],0),FALSE),"")</f>
        <v>3LD3T8-1M40-q</v>
      </c>
      <c r="AM916" s="1" t="str">
        <f>_xlfn.IFNA(VLOOKUP(Master_Reference[[#This Row],[C-Flex 5000K 3W Part Number]],Lutron_CFlex_Lookup[],MATCH("Lutron Kit PN",Lutron_CFlex_Lookup[#Headers],0),FALSE),"")</f>
        <v>3LD3T8-1M50-q</v>
      </c>
      <c r="AN916" s="1" t="b">
        <f>NOT(ISNA(VLOOKUP(Master_Reference[[#This Row],[Model Number]],ObsoleteModels[],1,FALSE)))</f>
        <v>1</v>
      </c>
      <c r="AO916" s="1" t="str">
        <f>IF(LEFT(Master_Reference[[#This Row],[Model Number]],1)="U",LEFT(Master_Reference[[#This Row],[Model Number]],4),LEFT(Master_Reference[[#This Row],[Model Number]],3))</f>
        <v>RSP</v>
      </c>
    </row>
    <row r="917" spans="1:41" x14ac:dyDescent="0.25">
      <c r="A917" s="2" t="s">
        <v>1221</v>
      </c>
      <c r="B917" s="1"/>
      <c r="C917" s="1" t="b">
        <v>1</v>
      </c>
      <c r="G917" s="1" t="str">
        <f>IF(OR(LEFT(RIGHT(Master_Reference[[#This Row],[Model Number]],3),1)="C",LEFT(RIGHT(Master_Reference[[#This Row],[Model Number]],4),1)="C"),TRUE,"")</f>
        <v/>
      </c>
      <c r="H917" s="1" t="str">
        <f>IF(LEFT(Master_Reference[[#This Row],[Model Number]],1)="U",TRUE,"")</f>
        <v/>
      </c>
      <c r="I917" s="1" t="b">
        <f>IF(Master_Reference[[#This Row],[Lamp Type]]="T4","",IF(Master_Reference[[#This Row],[Case Type]]="M","",TRUE))</f>
        <v>1</v>
      </c>
      <c r="J917" s="1" t="s">
        <v>111</v>
      </c>
      <c r="K917" s="1">
        <v>25</v>
      </c>
      <c r="L917" s="1" t="s">
        <v>115</v>
      </c>
      <c r="M917" s="1">
        <v>2</v>
      </c>
      <c r="N917" s="1">
        <v>120</v>
      </c>
      <c r="O917" s="1" t="s">
        <v>144</v>
      </c>
      <c r="R917" t="b">
        <f>IF(COUNTBLANK(Master_Reference[[#This Row],[C-Flex 3000K Eco Part Number]:[C-Flex 4000K Eco Part Number]])=3,FALSE,TRUE)</f>
        <v>0</v>
      </c>
      <c r="S917" t="b">
        <f>IF(COUNTBLANK(Master_Reference[[#This Row],[C-Flex 3000K 3W Part Number]:[C-Flex 4000K 3W Part Number]])=3,FALSE,TRUE)</f>
        <v>1</v>
      </c>
      <c r="T917" s="1" t="b">
        <f>IF(COUNTBLANK(Master_Reference[[#This Row],[Lutron 3000K Eco Part Number]:[Lutron 4000K Eco Part Number]])=3,FALSE,TRUE)</f>
        <v>0</v>
      </c>
      <c r="U917" s="1" t="b">
        <f>IF(COUNTBLANK(Master_Reference[[#This Row],[Lutron 3000K 3W Part Number]:[Lutron 4000K 3W Part Number]])=3,FALSE,TRUE)</f>
        <v>1</v>
      </c>
      <c r="V917" s="13"/>
      <c r="W917" s="13"/>
      <c r="X917" s="12"/>
      <c r="Y917" t="s">
        <v>2125</v>
      </c>
      <c r="Z917" s="12" t="s">
        <v>259</v>
      </c>
      <c r="AA917" s="12" t="s">
        <v>260</v>
      </c>
      <c r="AB917" s="12" t="s">
        <v>261</v>
      </c>
      <c r="AC917" t="s">
        <v>1827</v>
      </c>
      <c r="AD917" t="str">
        <f>SUBSTITUTE(Master_Reference[[#This Row],[C-Flex 4000K Eco Part Number]],"40-","xx-")</f>
        <v/>
      </c>
      <c r="AE917" t="str">
        <f>SUBSTITUTE(Master_Reference[[#This Row],[C-Flex 4000K 3W Part Number]],"40-","xx-")</f>
        <v>RP-T8-3FT-2L-8xx-3W-M-G2</v>
      </c>
      <c r="AF917" s="1" t="str">
        <f>_xlfn.IFNA(VLOOKUP(Master_Reference[[#This Row],[C-Flex 3000K Eco Part Number]],Lutron_CFlex_Lookup[],MATCH("Lutron Kit PN",Lutron_CFlex_Lookup[#Headers],0),FALSE),"")</f>
        <v/>
      </c>
      <c r="AG917" s="1" t="str">
        <f>_xlfn.IFNA(VLOOKUP(Master_Reference[[#This Row],[C-Flex 3500K Eco Part Number]],Lutron_CFlex_Lookup[],MATCH("Lutron Kit PN",Lutron_CFlex_Lookup[#Headers],0),FALSE),"")</f>
        <v/>
      </c>
      <c r="AH917" s="1" t="str">
        <f>_xlfn.IFNA(VLOOKUP(Master_Reference[[#This Row],[C-Flex 4000K Eco Part Number]],Lutron_CFlex_Lookup[],MATCH("Lutron Kit PN",Lutron_CFlex_Lookup[#Headers],0),FALSE),"")</f>
        <v/>
      </c>
      <c r="AI917" s="1" t="str">
        <f>_xlfn.IFNA(VLOOKUP(Master_Reference[[#This Row],[C-Flex 5000K Eco Part Number]],Lutron_CFlex_Lookup[],MATCH("Lutron Kit PN",Lutron_CFlex_Lookup[#Headers],0),FALSE),"")</f>
        <v/>
      </c>
      <c r="AJ917" s="1" t="str">
        <f>_xlfn.IFNA(VLOOKUP(Master_Reference[[#This Row],[C-Flex 3000K 3W Part Number]],Lutron_CFlex_Lookup[],MATCH("Lutron Kit PN",Lutron_CFlex_Lookup[#Headers],0),FALSE),"")</f>
        <v>3LD3T8-2M30-q</v>
      </c>
      <c r="AK917" s="1" t="str">
        <f>_xlfn.IFNA(VLOOKUP(Master_Reference[[#This Row],[C-Flex 3500K 3W Part Number]],Lutron_CFlex_Lookup[],MATCH("Lutron Kit PN",Lutron_CFlex_Lookup[#Headers],0),FALSE),"")</f>
        <v>3LD3T8-2M35-q</v>
      </c>
      <c r="AL917" s="1" t="str">
        <f>_xlfn.IFNA(VLOOKUP(Master_Reference[[#This Row],[C-Flex 4000K 3W Part Number]],Lutron_CFlex_Lookup[],MATCH("Lutron Kit PN",Lutron_CFlex_Lookup[#Headers],0),FALSE),"")</f>
        <v>3LD3T8-2M40-q</v>
      </c>
      <c r="AM917" s="1" t="str">
        <f>_xlfn.IFNA(VLOOKUP(Master_Reference[[#This Row],[C-Flex 5000K 3W Part Number]],Lutron_CFlex_Lookup[],MATCH("Lutron Kit PN",Lutron_CFlex_Lookup[#Headers],0),FALSE),"")</f>
        <v>3LD3T8-2M50-q</v>
      </c>
      <c r="AN917" s="1" t="b">
        <f>NOT(ISNA(VLOOKUP(Master_Reference[[#This Row],[Model Number]],ObsoleteModels[],1,FALSE)))</f>
        <v>1</v>
      </c>
      <c r="AO917" s="1" t="str">
        <f>IF(LEFT(Master_Reference[[#This Row],[Model Number]],1)="U",LEFT(Master_Reference[[#This Row],[Model Number]],4),LEFT(Master_Reference[[#This Row],[Model Number]],3))</f>
        <v>RSP</v>
      </c>
    </row>
    <row r="918" spans="1:41" x14ac:dyDescent="0.25">
      <c r="A918" s="2" t="s">
        <v>1222</v>
      </c>
      <c r="B918" s="1"/>
      <c r="C918" s="1" t="b">
        <v>1</v>
      </c>
      <c r="G918" s="1" t="str">
        <f>IF(OR(LEFT(RIGHT(Master_Reference[[#This Row],[Model Number]],3),1)="C",LEFT(RIGHT(Master_Reference[[#This Row],[Model Number]],4),1)="C"),TRUE,"")</f>
        <v/>
      </c>
      <c r="H918" s="1" t="str">
        <f>IF(LEFT(Master_Reference[[#This Row],[Model Number]],1)="U",TRUE,"")</f>
        <v/>
      </c>
      <c r="I918" s="1" t="b">
        <f>IF(Master_Reference[[#This Row],[Lamp Type]]="T4","",IF(Master_Reference[[#This Row],[Case Type]]="M","",TRUE))</f>
        <v>1</v>
      </c>
      <c r="J918" s="1" t="s">
        <v>886</v>
      </c>
      <c r="K918" s="1">
        <v>30</v>
      </c>
      <c r="L918" s="1" t="s">
        <v>115</v>
      </c>
      <c r="M918" s="1">
        <v>1</v>
      </c>
      <c r="N918" s="1">
        <v>120</v>
      </c>
      <c r="O918" s="1" t="s">
        <v>144</v>
      </c>
      <c r="R918" t="b">
        <f>IF(COUNTBLANK(Master_Reference[[#This Row],[C-Flex 3000K Eco Part Number]:[C-Flex 4000K Eco Part Number]])=3,FALSE,TRUE)</f>
        <v>0</v>
      </c>
      <c r="S918" t="b">
        <f>IF(COUNTBLANK(Master_Reference[[#This Row],[C-Flex 3000K 3W Part Number]:[C-Flex 4000K 3W Part Number]])=3,FALSE,TRUE)</f>
        <v>0</v>
      </c>
      <c r="T918" s="1" t="b">
        <f>IF(COUNTBLANK(Master_Reference[[#This Row],[Lutron 3000K Eco Part Number]:[Lutron 4000K Eco Part Number]])=3,FALSE,TRUE)</f>
        <v>0</v>
      </c>
      <c r="U918" s="1" t="b">
        <f>IF(COUNTBLANK(Master_Reference[[#This Row],[Lutron 3000K 3W Part Number]:[Lutron 4000K 3W Part Number]])=3,FALSE,TRUE)</f>
        <v>0</v>
      </c>
      <c r="V918" s="13"/>
      <c r="W918" s="13"/>
      <c r="X918" s="12"/>
      <c r="Y918" t="s">
        <v>2125</v>
      </c>
      <c r="Z918" s="12"/>
      <c r="AA918" s="12"/>
      <c r="AB918" s="12"/>
      <c r="AC918" t="s">
        <v>2125</v>
      </c>
      <c r="AD918" t="str">
        <f>SUBSTITUTE(Master_Reference[[#This Row],[C-Flex 4000K Eco Part Number]],"40-","xx-")</f>
        <v/>
      </c>
      <c r="AE918" t="str">
        <f>SUBSTITUTE(Master_Reference[[#This Row],[C-Flex 4000K 3W Part Number]],"40-","xx-")</f>
        <v/>
      </c>
      <c r="AF918" s="1" t="str">
        <f>_xlfn.IFNA(VLOOKUP(Master_Reference[[#This Row],[C-Flex 3000K Eco Part Number]],Lutron_CFlex_Lookup[],MATCH("Lutron Kit PN",Lutron_CFlex_Lookup[#Headers],0),FALSE),"")</f>
        <v/>
      </c>
      <c r="AG918" s="1" t="str">
        <f>_xlfn.IFNA(VLOOKUP(Master_Reference[[#This Row],[C-Flex 3500K Eco Part Number]],Lutron_CFlex_Lookup[],MATCH("Lutron Kit PN",Lutron_CFlex_Lookup[#Headers],0),FALSE),"")</f>
        <v/>
      </c>
      <c r="AH918" s="1" t="str">
        <f>_xlfn.IFNA(VLOOKUP(Master_Reference[[#This Row],[C-Flex 4000K Eco Part Number]],Lutron_CFlex_Lookup[],MATCH("Lutron Kit PN",Lutron_CFlex_Lookup[#Headers],0),FALSE),"")</f>
        <v/>
      </c>
      <c r="AI918" s="1" t="str">
        <f>_xlfn.IFNA(VLOOKUP(Master_Reference[[#This Row],[C-Flex 5000K Eco Part Number]],Lutron_CFlex_Lookup[],MATCH("Lutron Kit PN",Lutron_CFlex_Lookup[#Headers],0),FALSE),"")</f>
        <v/>
      </c>
      <c r="AJ918" s="1" t="str">
        <f>_xlfn.IFNA(VLOOKUP(Master_Reference[[#This Row],[C-Flex 3000K 3W Part Number]],Lutron_CFlex_Lookup[],MATCH("Lutron Kit PN",Lutron_CFlex_Lookup[#Headers],0),FALSE),"")</f>
        <v/>
      </c>
      <c r="AK918" s="1" t="str">
        <f>_xlfn.IFNA(VLOOKUP(Master_Reference[[#This Row],[C-Flex 3500K 3W Part Number]],Lutron_CFlex_Lookup[],MATCH("Lutron Kit PN",Lutron_CFlex_Lookup[#Headers],0),FALSE),"")</f>
        <v/>
      </c>
      <c r="AL918" s="1" t="str">
        <f>_xlfn.IFNA(VLOOKUP(Master_Reference[[#This Row],[C-Flex 4000K 3W Part Number]],Lutron_CFlex_Lookup[],MATCH("Lutron Kit PN",Lutron_CFlex_Lookup[#Headers],0),FALSE),"")</f>
        <v/>
      </c>
      <c r="AM918" s="1" t="str">
        <f>_xlfn.IFNA(VLOOKUP(Master_Reference[[#This Row],[C-Flex 5000K 3W Part Number]],Lutron_CFlex_Lookup[],MATCH("Lutron Kit PN",Lutron_CFlex_Lookup[#Headers],0),FALSE),"")</f>
        <v/>
      </c>
      <c r="AN918" s="1" t="b">
        <f>NOT(ISNA(VLOOKUP(Master_Reference[[#This Row],[Model Number]],ObsoleteModels[],1,FALSE)))</f>
        <v>1</v>
      </c>
      <c r="AO918" s="1" t="str">
        <f>IF(LEFT(Master_Reference[[#This Row],[Model Number]],1)="U",LEFT(Master_Reference[[#This Row],[Model Number]],4),LEFT(Master_Reference[[#This Row],[Model Number]],3))</f>
        <v>RSP</v>
      </c>
    </row>
    <row r="919" spans="1:41" x14ac:dyDescent="0.25">
      <c r="A919" s="2" t="s">
        <v>1223</v>
      </c>
      <c r="B919" s="1"/>
      <c r="C919" s="1" t="b">
        <v>1</v>
      </c>
      <c r="G919" s="1" t="str">
        <f>IF(OR(LEFT(RIGHT(Master_Reference[[#This Row],[Model Number]],3),1)="C",LEFT(RIGHT(Master_Reference[[#This Row],[Model Number]],4),1)="C"),TRUE,"")</f>
        <v/>
      </c>
      <c r="H919" s="1" t="str">
        <f>IF(LEFT(Master_Reference[[#This Row],[Model Number]],1)="U",TRUE,"")</f>
        <v/>
      </c>
      <c r="I919" s="1" t="b">
        <f>IF(Master_Reference[[#This Row],[Lamp Type]]="T4","",IF(Master_Reference[[#This Row],[Case Type]]="M","",TRUE))</f>
        <v>1</v>
      </c>
      <c r="J919" s="1" t="s">
        <v>886</v>
      </c>
      <c r="K919" s="1">
        <v>30</v>
      </c>
      <c r="L919" s="1" t="s">
        <v>115</v>
      </c>
      <c r="M919" s="1">
        <v>2</v>
      </c>
      <c r="N919" s="1">
        <v>120</v>
      </c>
      <c r="O919" s="1" t="s">
        <v>144</v>
      </c>
      <c r="R919" t="b">
        <f>IF(COUNTBLANK(Master_Reference[[#This Row],[C-Flex 3000K Eco Part Number]:[C-Flex 4000K Eco Part Number]])=3,FALSE,TRUE)</f>
        <v>0</v>
      </c>
      <c r="S919" t="b">
        <f>IF(COUNTBLANK(Master_Reference[[#This Row],[C-Flex 3000K 3W Part Number]:[C-Flex 4000K 3W Part Number]])=3,FALSE,TRUE)</f>
        <v>0</v>
      </c>
      <c r="T919" s="1" t="b">
        <f>IF(COUNTBLANK(Master_Reference[[#This Row],[Lutron 3000K Eco Part Number]:[Lutron 4000K Eco Part Number]])=3,FALSE,TRUE)</f>
        <v>0</v>
      </c>
      <c r="U919" s="1" t="b">
        <f>IF(COUNTBLANK(Master_Reference[[#This Row],[Lutron 3000K 3W Part Number]:[Lutron 4000K 3W Part Number]])=3,FALSE,TRUE)</f>
        <v>0</v>
      </c>
      <c r="V919" s="13"/>
      <c r="W919" s="13"/>
      <c r="X919" s="12"/>
      <c r="Y919" t="s">
        <v>2125</v>
      </c>
      <c r="Z919" s="12"/>
      <c r="AA919" s="12"/>
      <c r="AB919" s="12"/>
      <c r="AC919" t="s">
        <v>2125</v>
      </c>
      <c r="AD919" t="str">
        <f>SUBSTITUTE(Master_Reference[[#This Row],[C-Flex 4000K Eco Part Number]],"40-","xx-")</f>
        <v/>
      </c>
      <c r="AE919" t="str">
        <f>SUBSTITUTE(Master_Reference[[#This Row],[C-Flex 4000K 3W Part Number]],"40-","xx-")</f>
        <v/>
      </c>
      <c r="AF919" s="1" t="str">
        <f>_xlfn.IFNA(VLOOKUP(Master_Reference[[#This Row],[C-Flex 3000K Eco Part Number]],Lutron_CFlex_Lookup[],MATCH("Lutron Kit PN",Lutron_CFlex_Lookup[#Headers],0),FALSE),"")</f>
        <v/>
      </c>
      <c r="AG919" s="1" t="str">
        <f>_xlfn.IFNA(VLOOKUP(Master_Reference[[#This Row],[C-Flex 3500K Eco Part Number]],Lutron_CFlex_Lookup[],MATCH("Lutron Kit PN",Lutron_CFlex_Lookup[#Headers],0),FALSE),"")</f>
        <v/>
      </c>
      <c r="AH919" s="1" t="str">
        <f>_xlfn.IFNA(VLOOKUP(Master_Reference[[#This Row],[C-Flex 4000K Eco Part Number]],Lutron_CFlex_Lookup[],MATCH("Lutron Kit PN",Lutron_CFlex_Lookup[#Headers],0),FALSE),"")</f>
        <v/>
      </c>
      <c r="AI919" s="1" t="str">
        <f>_xlfn.IFNA(VLOOKUP(Master_Reference[[#This Row],[C-Flex 5000K Eco Part Number]],Lutron_CFlex_Lookup[],MATCH("Lutron Kit PN",Lutron_CFlex_Lookup[#Headers],0),FALSE),"")</f>
        <v/>
      </c>
      <c r="AJ919" s="1" t="str">
        <f>_xlfn.IFNA(VLOOKUP(Master_Reference[[#This Row],[C-Flex 3000K 3W Part Number]],Lutron_CFlex_Lookup[],MATCH("Lutron Kit PN",Lutron_CFlex_Lookup[#Headers],0),FALSE),"")</f>
        <v/>
      </c>
      <c r="AK919" s="1" t="str">
        <f>_xlfn.IFNA(VLOOKUP(Master_Reference[[#This Row],[C-Flex 3500K 3W Part Number]],Lutron_CFlex_Lookup[],MATCH("Lutron Kit PN",Lutron_CFlex_Lookup[#Headers],0),FALSE),"")</f>
        <v/>
      </c>
      <c r="AL919" s="1" t="str">
        <f>_xlfn.IFNA(VLOOKUP(Master_Reference[[#This Row],[C-Flex 4000K 3W Part Number]],Lutron_CFlex_Lookup[],MATCH("Lutron Kit PN",Lutron_CFlex_Lookup[#Headers],0),FALSE),"")</f>
        <v/>
      </c>
      <c r="AM919" s="1" t="str">
        <f>_xlfn.IFNA(VLOOKUP(Master_Reference[[#This Row],[C-Flex 5000K 3W Part Number]],Lutron_CFlex_Lookup[],MATCH("Lutron Kit PN",Lutron_CFlex_Lookup[#Headers],0),FALSE),"")</f>
        <v/>
      </c>
      <c r="AN919" s="1" t="b">
        <f>NOT(ISNA(VLOOKUP(Master_Reference[[#This Row],[Model Number]],ObsoleteModels[],1,FALSE)))</f>
        <v>1</v>
      </c>
      <c r="AO919" s="1" t="str">
        <f>IF(LEFT(Master_Reference[[#This Row],[Model Number]],1)="U",LEFT(Master_Reference[[#This Row],[Model Number]],4),LEFT(Master_Reference[[#This Row],[Model Number]],3))</f>
        <v>RSP</v>
      </c>
    </row>
    <row r="920" spans="1:41" x14ac:dyDescent="0.25">
      <c r="A920" s="2" t="s">
        <v>1224</v>
      </c>
      <c r="B920" s="1"/>
      <c r="C920" s="1" t="b">
        <v>1</v>
      </c>
      <c r="G920" s="1" t="str">
        <f>IF(OR(LEFT(RIGHT(Master_Reference[[#This Row],[Model Number]],3),1)="C",LEFT(RIGHT(Master_Reference[[#This Row],[Model Number]],4),1)="C"),TRUE,"")</f>
        <v/>
      </c>
      <c r="H920" s="1" t="str">
        <f>IF(LEFT(Master_Reference[[#This Row],[Model Number]],1)="U",TRUE,"")</f>
        <v/>
      </c>
      <c r="I920" s="1" t="b">
        <f>IF(Master_Reference[[#This Row],[Lamp Type]]="T4","",IF(Master_Reference[[#This Row],[Case Type]]="M","",TRUE))</f>
        <v>1</v>
      </c>
      <c r="J920" s="1" t="s">
        <v>886</v>
      </c>
      <c r="K920" s="1">
        <v>30</v>
      </c>
      <c r="L920" s="1" t="s">
        <v>115</v>
      </c>
      <c r="M920" s="1">
        <v>1</v>
      </c>
      <c r="N920" s="1">
        <v>120</v>
      </c>
      <c r="O920" s="1" t="s">
        <v>144</v>
      </c>
      <c r="R920" t="b">
        <f>IF(COUNTBLANK(Master_Reference[[#This Row],[C-Flex 3000K Eco Part Number]:[C-Flex 4000K Eco Part Number]])=3,FALSE,TRUE)</f>
        <v>0</v>
      </c>
      <c r="S920" t="b">
        <f>IF(COUNTBLANK(Master_Reference[[#This Row],[C-Flex 3000K 3W Part Number]:[C-Flex 4000K 3W Part Number]])=3,FALSE,TRUE)</f>
        <v>0</v>
      </c>
      <c r="T920" s="1" t="b">
        <f>IF(COUNTBLANK(Master_Reference[[#This Row],[Lutron 3000K Eco Part Number]:[Lutron 4000K Eco Part Number]])=3,FALSE,TRUE)</f>
        <v>0</v>
      </c>
      <c r="U920" s="1" t="b">
        <f>IF(COUNTBLANK(Master_Reference[[#This Row],[Lutron 3000K 3W Part Number]:[Lutron 4000K 3W Part Number]])=3,FALSE,TRUE)</f>
        <v>0</v>
      </c>
      <c r="V920" s="13"/>
      <c r="W920" s="13"/>
      <c r="X920" s="12"/>
      <c r="Y920" t="s">
        <v>2125</v>
      </c>
      <c r="Z920" s="12"/>
      <c r="AA920" s="12"/>
      <c r="AB920" s="12"/>
      <c r="AC920" t="s">
        <v>2125</v>
      </c>
      <c r="AD920" t="str">
        <f>SUBSTITUTE(Master_Reference[[#This Row],[C-Flex 4000K Eco Part Number]],"40-","xx-")</f>
        <v/>
      </c>
      <c r="AE920" t="str">
        <f>SUBSTITUTE(Master_Reference[[#This Row],[C-Flex 4000K 3W Part Number]],"40-","xx-")</f>
        <v/>
      </c>
      <c r="AF920" s="1" t="str">
        <f>_xlfn.IFNA(VLOOKUP(Master_Reference[[#This Row],[C-Flex 3000K Eco Part Number]],Lutron_CFlex_Lookup[],MATCH("Lutron Kit PN",Lutron_CFlex_Lookup[#Headers],0),FALSE),"")</f>
        <v/>
      </c>
      <c r="AG920" s="1" t="str">
        <f>_xlfn.IFNA(VLOOKUP(Master_Reference[[#This Row],[C-Flex 3500K Eco Part Number]],Lutron_CFlex_Lookup[],MATCH("Lutron Kit PN",Lutron_CFlex_Lookup[#Headers],0),FALSE),"")</f>
        <v/>
      </c>
      <c r="AH920" s="1" t="str">
        <f>_xlfn.IFNA(VLOOKUP(Master_Reference[[#This Row],[C-Flex 4000K Eco Part Number]],Lutron_CFlex_Lookup[],MATCH("Lutron Kit PN",Lutron_CFlex_Lookup[#Headers],0),FALSE),"")</f>
        <v/>
      </c>
      <c r="AI920" s="1" t="str">
        <f>_xlfn.IFNA(VLOOKUP(Master_Reference[[#This Row],[C-Flex 5000K Eco Part Number]],Lutron_CFlex_Lookup[],MATCH("Lutron Kit PN",Lutron_CFlex_Lookup[#Headers],0),FALSE),"")</f>
        <v/>
      </c>
      <c r="AJ920" s="1" t="str">
        <f>_xlfn.IFNA(VLOOKUP(Master_Reference[[#This Row],[C-Flex 3000K 3W Part Number]],Lutron_CFlex_Lookup[],MATCH("Lutron Kit PN",Lutron_CFlex_Lookup[#Headers],0),FALSE),"")</f>
        <v/>
      </c>
      <c r="AK920" s="1" t="str">
        <f>_xlfn.IFNA(VLOOKUP(Master_Reference[[#This Row],[C-Flex 3500K 3W Part Number]],Lutron_CFlex_Lookup[],MATCH("Lutron Kit PN",Lutron_CFlex_Lookup[#Headers],0),FALSE),"")</f>
        <v/>
      </c>
      <c r="AL920" s="1" t="str">
        <f>_xlfn.IFNA(VLOOKUP(Master_Reference[[#This Row],[C-Flex 4000K 3W Part Number]],Lutron_CFlex_Lookup[],MATCH("Lutron Kit PN",Lutron_CFlex_Lookup[#Headers],0),FALSE),"")</f>
        <v/>
      </c>
      <c r="AM920" s="1" t="str">
        <f>_xlfn.IFNA(VLOOKUP(Master_Reference[[#This Row],[C-Flex 5000K 3W Part Number]],Lutron_CFlex_Lookup[],MATCH("Lutron Kit PN",Lutron_CFlex_Lookup[#Headers],0),FALSE),"")</f>
        <v/>
      </c>
      <c r="AN920" s="1" t="b">
        <f>NOT(ISNA(VLOOKUP(Master_Reference[[#This Row],[Model Number]],ObsoleteModels[],1,FALSE)))</f>
        <v>1</v>
      </c>
      <c r="AO920" s="1" t="str">
        <f>IF(LEFT(Master_Reference[[#This Row],[Model Number]],1)="U",LEFT(Master_Reference[[#This Row],[Model Number]],4),LEFT(Master_Reference[[#This Row],[Model Number]],3))</f>
        <v>RSP</v>
      </c>
    </row>
    <row r="921" spans="1:41" x14ac:dyDescent="0.25">
      <c r="A921" s="2" t="s">
        <v>1225</v>
      </c>
      <c r="B921" s="1"/>
      <c r="C921" s="1" t="b">
        <v>1</v>
      </c>
      <c r="G921" s="1" t="str">
        <f>IF(OR(LEFT(RIGHT(Master_Reference[[#This Row],[Model Number]],3),1)="C",LEFT(RIGHT(Master_Reference[[#This Row],[Model Number]],4),1)="C"),TRUE,"")</f>
        <v/>
      </c>
      <c r="H921" s="1" t="str">
        <f>IF(LEFT(Master_Reference[[#This Row],[Model Number]],1)="U",TRUE,"")</f>
        <v/>
      </c>
      <c r="I921" s="1" t="b">
        <f>IF(Master_Reference[[#This Row],[Lamp Type]]="T4","",IF(Master_Reference[[#This Row],[Case Type]]="M","",TRUE))</f>
        <v>1</v>
      </c>
      <c r="J921" s="1" t="s">
        <v>111</v>
      </c>
      <c r="K921" s="1">
        <v>32</v>
      </c>
      <c r="L921" s="1" t="s">
        <v>118</v>
      </c>
      <c r="M921" s="1">
        <v>1</v>
      </c>
      <c r="N921" s="1">
        <v>120</v>
      </c>
      <c r="O921" s="1" t="s">
        <v>144</v>
      </c>
      <c r="R921" t="b">
        <f>IF(COUNTBLANK(Master_Reference[[#This Row],[C-Flex 3000K Eco Part Number]:[C-Flex 4000K Eco Part Number]])=3,FALSE,TRUE)</f>
        <v>0</v>
      </c>
      <c r="S921" t="b">
        <f>IF(COUNTBLANK(Master_Reference[[#This Row],[C-Flex 3000K 3W Part Number]:[C-Flex 4000K 3W Part Number]])=3,FALSE,TRUE)</f>
        <v>1</v>
      </c>
      <c r="T921" s="1" t="b">
        <f>IF(COUNTBLANK(Master_Reference[[#This Row],[Lutron 3000K Eco Part Number]:[Lutron 4000K Eco Part Number]])=3,FALSE,TRUE)</f>
        <v>0</v>
      </c>
      <c r="U921" s="1" t="b">
        <f>IF(COUNTBLANK(Master_Reference[[#This Row],[Lutron 3000K 3W Part Number]:[Lutron 4000K 3W Part Number]])=3,FALSE,TRUE)</f>
        <v>1</v>
      </c>
      <c r="V921" s="13"/>
      <c r="W921" s="13"/>
      <c r="X921" s="12"/>
      <c r="Y921" t="s">
        <v>2125</v>
      </c>
      <c r="Z921" s="12" t="s">
        <v>264</v>
      </c>
      <c r="AA921" s="12" t="s">
        <v>265</v>
      </c>
      <c r="AB921" s="12" t="s">
        <v>266</v>
      </c>
      <c r="AC921" t="s">
        <v>1829</v>
      </c>
      <c r="AD921" t="str">
        <f>SUBSTITUTE(Master_Reference[[#This Row],[C-Flex 4000K Eco Part Number]],"40-","xx-")</f>
        <v/>
      </c>
      <c r="AE921" t="str">
        <f>SUBSTITUTE(Master_Reference[[#This Row],[C-Flex 4000K 3W Part Number]],"40-","xx-")</f>
        <v>RP-T8-4FT-1L-8xx-3W-M-G2</v>
      </c>
      <c r="AF921" s="1" t="str">
        <f>_xlfn.IFNA(VLOOKUP(Master_Reference[[#This Row],[C-Flex 3000K Eco Part Number]],Lutron_CFlex_Lookup[],MATCH("Lutron Kit PN",Lutron_CFlex_Lookup[#Headers],0),FALSE),"")</f>
        <v/>
      </c>
      <c r="AG921" s="1" t="str">
        <f>_xlfn.IFNA(VLOOKUP(Master_Reference[[#This Row],[C-Flex 3500K Eco Part Number]],Lutron_CFlex_Lookup[],MATCH("Lutron Kit PN",Lutron_CFlex_Lookup[#Headers],0),FALSE),"")</f>
        <v/>
      </c>
      <c r="AH921" s="1" t="str">
        <f>_xlfn.IFNA(VLOOKUP(Master_Reference[[#This Row],[C-Flex 4000K Eco Part Number]],Lutron_CFlex_Lookup[],MATCH("Lutron Kit PN",Lutron_CFlex_Lookup[#Headers],0),FALSE),"")</f>
        <v/>
      </c>
      <c r="AI921" s="1" t="str">
        <f>_xlfn.IFNA(VLOOKUP(Master_Reference[[#This Row],[C-Flex 5000K Eco Part Number]],Lutron_CFlex_Lookup[],MATCH("Lutron Kit PN",Lutron_CFlex_Lookup[#Headers],0),FALSE),"")</f>
        <v/>
      </c>
      <c r="AJ921" s="1" t="str">
        <f>_xlfn.IFNA(VLOOKUP(Master_Reference[[#This Row],[C-Flex 3000K 3W Part Number]],Lutron_CFlex_Lookup[],MATCH("Lutron Kit PN",Lutron_CFlex_Lookup[#Headers],0),FALSE),"")</f>
        <v>3LD4T8-1M30-q</v>
      </c>
      <c r="AK921" s="1" t="str">
        <f>_xlfn.IFNA(VLOOKUP(Master_Reference[[#This Row],[C-Flex 3500K 3W Part Number]],Lutron_CFlex_Lookup[],MATCH("Lutron Kit PN",Lutron_CFlex_Lookup[#Headers],0),FALSE),"")</f>
        <v>3LD4T8-1M35-q</v>
      </c>
      <c r="AL921" s="1" t="str">
        <f>_xlfn.IFNA(VLOOKUP(Master_Reference[[#This Row],[C-Flex 4000K 3W Part Number]],Lutron_CFlex_Lookup[],MATCH("Lutron Kit PN",Lutron_CFlex_Lookup[#Headers],0),FALSE),"")</f>
        <v>3LD4T8-1M40-q</v>
      </c>
      <c r="AM921" s="1" t="str">
        <f>_xlfn.IFNA(VLOOKUP(Master_Reference[[#This Row],[C-Flex 5000K 3W Part Number]],Lutron_CFlex_Lookup[],MATCH("Lutron Kit PN",Lutron_CFlex_Lookup[#Headers],0),FALSE),"")</f>
        <v>3LD4T8-1M50-q</v>
      </c>
      <c r="AN921" s="1" t="b">
        <f>NOT(ISNA(VLOOKUP(Master_Reference[[#This Row],[Model Number]],ObsoleteModels[],1,FALSE)))</f>
        <v>1</v>
      </c>
      <c r="AO921" s="1" t="str">
        <f>IF(LEFT(Master_Reference[[#This Row],[Model Number]],1)="U",LEFT(Master_Reference[[#This Row],[Model Number]],4),LEFT(Master_Reference[[#This Row],[Model Number]],3))</f>
        <v>RSP</v>
      </c>
    </row>
    <row r="922" spans="1:41" x14ac:dyDescent="0.25">
      <c r="A922" s="2" t="s">
        <v>1226</v>
      </c>
      <c r="B922" s="1"/>
      <c r="C922" s="1" t="b">
        <v>1</v>
      </c>
      <c r="G922" s="1" t="str">
        <f>IF(OR(LEFT(RIGHT(Master_Reference[[#This Row],[Model Number]],3),1)="C",LEFT(RIGHT(Master_Reference[[#This Row],[Model Number]],4),1)="C"),TRUE,"")</f>
        <v/>
      </c>
      <c r="H922" s="1" t="str">
        <f>IF(LEFT(Master_Reference[[#This Row],[Model Number]],1)="U",TRUE,"")</f>
        <v/>
      </c>
      <c r="I922" s="1" t="b">
        <f>IF(Master_Reference[[#This Row],[Lamp Type]]="T4","",IF(Master_Reference[[#This Row],[Case Type]]="M","",TRUE))</f>
        <v>1</v>
      </c>
      <c r="J922" s="1" t="s">
        <v>111</v>
      </c>
      <c r="K922" s="1">
        <v>32</v>
      </c>
      <c r="L922" s="1" t="s">
        <v>118</v>
      </c>
      <c r="M922" s="1">
        <v>2</v>
      </c>
      <c r="N922" s="1">
        <v>120</v>
      </c>
      <c r="O922" s="1" t="s">
        <v>144</v>
      </c>
      <c r="R922" t="b">
        <f>IF(COUNTBLANK(Master_Reference[[#This Row],[C-Flex 3000K Eco Part Number]:[C-Flex 4000K Eco Part Number]])=3,FALSE,TRUE)</f>
        <v>0</v>
      </c>
      <c r="S922" t="b">
        <f>IF(COUNTBLANK(Master_Reference[[#This Row],[C-Flex 3000K 3W Part Number]:[C-Flex 4000K 3W Part Number]])=3,FALSE,TRUE)</f>
        <v>1</v>
      </c>
      <c r="T922" s="1" t="b">
        <f>IF(COUNTBLANK(Master_Reference[[#This Row],[Lutron 3000K Eco Part Number]:[Lutron 4000K Eco Part Number]])=3,FALSE,TRUE)</f>
        <v>0</v>
      </c>
      <c r="U922" s="1" t="b">
        <f>IF(COUNTBLANK(Master_Reference[[#This Row],[Lutron 3000K 3W Part Number]:[Lutron 4000K 3W Part Number]])=3,FALSE,TRUE)</f>
        <v>1</v>
      </c>
      <c r="V922" s="13"/>
      <c r="W922" s="13"/>
      <c r="X922" s="12"/>
      <c r="Y922" t="s">
        <v>2125</v>
      </c>
      <c r="Z922" s="12" t="s">
        <v>145</v>
      </c>
      <c r="AA922" s="12" t="s">
        <v>146</v>
      </c>
      <c r="AB922" s="12" t="s">
        <v>147</v>
      </c>
      <c r="AC922" t="s">
        <v>1830</v>
      </c>
      <c r="AD922" t="str">
        <f>SUBSTITUTE(Master_Reference[[#This Row],[C-Flex 4000K Eco Part Number]],"40-","xx-")</f>
        <v/>
      </c>
      <c r="AE922" t="str">
        <f>SUBSTITUTE(Master_Reference[[#This Row],[C-Flex 4000K 3W Part Number]],"40-","xx-")</f>
        <v>RP-T8-4FT-2L-8xx-3W-M-G2</v>
      </c>
      <c r="AF922" s="1" t="str">
        <f>_xlfn.IFNA(VLOOKUP(Master_Reference[[#This Row],[C-Flex 3000K Eco Part Number]],Lutron_CFlex_Lookup[],MATCH("Lutron Kit PN",Lutron_CFlex_Lookup[#Headers],0),FALSE),"")</f>
        <v/>
      </c>
      <c r="AG922" s="1" t="str">
        <f>_xlfn.IFNA(VLOOKUP(Master_Reference[[#This Row],[C-Flex 3500K Eco Part Number]],Lutron_CFlex_Lookup[],MATCH("Lutron Kit PN",Lutron_CFlex_Lookup[#Headers],0),FALSE),"")</f>
        <v/>
      </c>
      <c r="AH922" s="1" t="str">
        <f>_xlfn.IFNA(VLOOKUP(Master_Reference[[#This Row],[C-Flex 4000K Eco Part Number]],Lutron_CFlex_Lookup[],MATCH("Lutron Kit PN",Lutron_CFlex_Lookup[#Headers],0),FALSE),"")</f>
        <v/>
      </c>
      <c r="AI922" s="1" t="str">
        <f>_xlfn.IFNA(VLOOKUP(Master_Reference[[#This Row],[C-Flex 5000K Eco Part Number]],Lutron_CFlex_Lookup[],MATCH("Lutron Kit PN",Lutron_CFlex_Lookup[#Headers],0),FALSE),"")</f>
        <v/>
      </c>
      <c r="AJ922" s="1" t="str">
        <f>_xlfn.IFNA(VLOOKUP(Master_Reference[[#This Row],[C-Flex 3000K 3W Part Number]],Lutron_CFlex_Lookup[],MATCH("Lutron Kit PN",Lutron_CFlex_Lookup[#Headers],0),FALSE),"")</f>
        <v>3LD4T8-2M30-q</v>
      </c>
      <c r="AK922" s="1" t="str">
        <f>_xlfn.IFNA(VLOOKUP(Master_Reference[[#This Row],[C-Flex 3500K 3W Part Number]],Lutron_CFlex_Lookup[],MATCH("Lutron Kit PN",Lutron_CFlex_Lookup[#Headers],0),FALSE),"")</f>
        <v>3LD4T8-2M35-q</v>
      </c>
      <c r="AL922" s="1" t="str">
        <f>_xlfn.IFNA(VLOOKUP(Master_Reference[[#This Row],[C-Flex 4000K 3W Part Number]],Lutron_CFlex_Lookup[],MATCH("Lutron Kit PN",Lutron_CFlex_Lookup[#Headers],0),FALSE),"")</f>
        <v>3LD4T8-2M40-q</v>
      </c>
      <c r="AM922" s="1" t="str">
        <f>_xlfn.IFNA(VLOOKUP(Master_Reference[[#This Row],[C-Flex 5000K 3W Part Number]],Lutron_CFlex_Lookup[],MATCH("Lutron Kit PN",Lutron_CFlex_Lookup[#Headers],0),FALSE),"")</f>
        <v>3LD4T8-2M50-q</v>
      </c>
      <c r="AN922" s="1" t="b">
        <f>NOT(ISNA(VLOOKUP(Master_Reference[[#This Row],[Model Number]],ObsoleteModels[],1,FALSE)))</f>
        <v>1</v>
      </c>
      <c r="AO922" s="1" t="str">
        <f>IF(LEFT(Master_Reference[[#This Row],[Model Number]],1)="U",LEFT(Master_Reference[[#This Row],[Model Number]],4),LEFT(Master_Reference[[#This Row],[Model Number]],3))</f>
        <v>RSP</v>
      </c>
    </row>
    <row r="923" spans="1:41" x14ac:dyDescent="0.25">
      <c r="A923" s="2" t="s">
        <v>1227</v>
      </c>
      <c r="B923" s="1"/>
      <c r="C923" s="1" t="b">
        <v>1</v>
      </c>
      <c r="G923" s="1" t="str">
        <f>IF(OR(LEFT(RIGHT(Master_Reference[[#This Row],[Model Number]],3),1)="C",LEFT(RIGHT(Master_Reference[[#This Row],[Model Number]],4),1)="C"),TRUE,"")</f>
        <v/>
      </c>
      <c r="H923" s="1" t="str">
        <f>IF(LEFT(Master_Reference[[#This Row],[Model Number]],1)="U",TRUE,"")</f>
        <v/>
      </c>
      <c r="I923" s="1" t="b">
        <f>IF(Master_Reference[[#This Row],[Lamp Type]]="T4","",IF(Master_Reference[[#This Row],[Case Type]]="M","",TRUE))</f>
        <v>1</v>
      </c>
      <c r="J923" s="1" t="s">
        <v>111</v>
      </c>
      <c r="K923" s="1">
        <v>32</v>
      </c>
      <c r="L923" s="1" t="s">
        <v>118</v>
      </c>
      <c r="M923" s="1">
        <v>1</v>
      </c>
      <c r="N923" s="1">
        <v>277</v>
      </c>
      <c r="O923" s="1" t="s">
        <v>144</v>
      </c>
      <c r="R923" t="b">
        <f>IF(COUNTBLANK(Master_Reference[[#This Row],[C-Flex 3000K Eco Part Number]:[C-Flex 4000K Eco Part Number]])=3,FALSE,TRUE)</f>
        <v>0</v>
      </c>
      <c r="S923" t="b">
        <f>IF(COUNTBLANK(Master_Reference[[#This Row],[C-Flex 3000K 3W Part Number]:[C-Flex 4000K 3W Part Number]])=3,FALSE,TRUE)</f>
        <v>1</v>
      </c>
      <c r="T923" s="1" t="b">
        <f>IF(COUNTBLANK(Master_Reference[[#This Row],[Lutron 3000K Eco Part Number]:[Lutron 4000K Eco Part Number]])=3,FALSE,TRUE)</f>
        <v>0</v>
      </c>
      <c r="U923" s="1" t="b">
        <f>IF(COUNTBLANK(Master_Reference[[#This Row],[Lutron 3000K 3W Part Number]:[Lutron 4000K 3W Part Number]])=3,FALSE,TRUE)</f>
        <v>1</v>
      </c>
      <c r="V923" s="13"/>
      <c r="W923" s="13"/>
      <c r="X923" s="12"/>
      <c r="Y923" t="s">
        <v>2125</v>
      </c>
      <c r="Z923" s="12" t="s">
        <v>264</v>
      </c>
      <c r="AA923" s="12" t="s">
        <v>265</v>
      </c>
      <c r="AB923" s="12" t="s">
        <v>266</v>
      </c>
      <c r="AC923" t="s">
        <v>1829</v>
      </c>
      <c r="AD923" t="str">
        <f>SUBSTITUTE(Master_Reference[[#This Row],[C-Flex 4000K Eco Part Number]],"40-","xx-")</f>
        <v/>
      </c>
      <c r="AE923" t="str">
        <f>SUBSTITUTE(Master_Reference[[#This Row],[C-Flex 4000K 3W Part Number]],"40-","xx-")</f>
        <v>RP-T8-4FT-1L-8xx-3W-M-G2</v>
      </c>
      <c r="AF923" s="1" t="str">
        <f>_xlfn.IFNA(VLOOKUP(Master_Reference[[#This Row],[C-Flex 3000K Eco Part Number]],Lutron_CFlex_Lookup[],MATCH("Lutron Kit PN",Lutron_CFlex_Lookup[#Headers],0),FALSE),"")</f>
        <v/>
      </c>
      <c r="AG923" s="1" t="str">
        <f>_xlfn.IFNA(VLOOKUP(Master_Reference[[#This Row],[C-Flex 3500K Eco Part Number]],Lutron_CFlex_Lookup[],MATCH("Lutron Kit PN",Lutron_CFlex_Lookup[#Headers],0),FALSE),"")</f>
        <v/>
      </c>
      <c r="AH923" s="1" t="str">
        <f>_xlfn.IFNA(VLOOKUP(Master_Reference[[#This Row],[C-Flex 4000K Eco Part Number]],Lutron_CFlex_Lookup[],MATCH("Lutron Kit PN",Lutron_CFlex_Lookup[#Headers],0),FALSE),"")</f>
        <v/>
      </c>
      <c r="AI923" s="1" t="str">
        <f>_xlfn.IFNA(VLOOKUP(Master_Reference[[#This Row],[C-Flex 5000K Eco Part Number]],Lutron_CFlex_Lookup[],MATCH("Lutron Kit PN",Lutron_CFlex_Lookup[#Headers],0),FALSE),"")</f>
        <v/>
      </c>
      <c r="AJ923" s="1" t="str">
        <f>_xlfn.IFNA(VLOOKUP(Master_Reference[[#This Row],[C-Flex 3000K 3W Part Number]],Lutron_CFlex_Lookup[],MATCH("Lutron Kit PN",Lutron_CFlex_Lookup[#Headers],0),FALSE),"")</f>
        <v>3LD4T8-1M30-q</v>
      </c>
      <c r="AK923" s="1" t="str">
        <f>_xlfn.IFNA(VLOOKUP(Master_Reference[[#This Row],[C-Flex 3500K 3W Part Number]],Lutron_CFlex_Lookup[],MATCH("Lutron Kit PN",Lutron_CFlex_Lookup[#Headers],0),FALSE),"")</f>
        <v>3LD4T8-1M35-q</v>
      </c>
      <c r="AL923" s="1" t="str">
        <f>_xlfn.IFNA(VLOOKUP(Master_Reference[[#This Row],[C-Flex 4000K 3W Part Number]],Lutron_CFlex_Lookup[],MATCH("Lutron Kit PN",Lutron_CFlex_Lookup[#Headers],0),FALSE),"")</f>
        <v>3LD4T8-1M40-q</v>
      </c>
      <c r="AM923" s="1" t="str">
        <f>_xlfn.IFNA(VLOOKUP(Master_Reference[[#This Row],[C-Flex 5000K 3W Part Number]],Lutron_CFlex_Lookup[],MATCH("Lutron Kit PN",Lutron_CFlex_Lookup[#Headers],0),FALSE),"")</f>
        <v>3LD4T8-1M50-q</v>
      </c>
      <c r="AN923" s="1" t="b">
        <f>NOT(ISNA(VLOOKUP(Master_Reference[[#This Row],[Model Number]],ObsoleteModels[],1,FALSE)))</f>
        <v>1</v>
      </c>
      <c r="AO923" s="1" t="str">
        <f>IF(LEFT(Master_Reference[[#This Row],[Model Number]],1)="U",LEFT(Master_Reference[[#This Row],[Model Number]],4),LEFT(Master_Reference[[#This Row],[Model Number]],3))</f>
        <v>RSP</v>
      </c>
    </row>
    <row r="924" spans="1:41" x14ac:dyDescent="0.25">
      <c r="A924" s="2" t="s">
        <v>1228</v>
      </c>
      <c r="B924" s="1"/>
      <c r="C924" s="1" t="b">
        <v>1</v>
      </c>
      <c r="G924" s="1" t="str">
        <f>IF(OR(LEFT(RIGHT(Master_Reference[[#This Row],[Model Number]],3),1)="C",LEFT(RIGHT(Master_Reference[[#This Row],[Model Number]],4),1)="C"),TRUE,"")</f>
        <v/>
      </c>
      <c r="H924" s="1" t="str">
        <f>IF(LEFT(Master_Reference[[#This Row],[Model Number]],1)="U",TRUE,"")</f>
        <v/>
      </c>
      <c r="I924" s="1" t="b">
        <f>IF(Master_Reference[[#This Row],[Lamp Type]]="T4","",IF(Master_Reference[[#This Row],[Case Type]]="M","",TRUE))</f>
        <v>1</v>
      </c>
      <c r="J924" s="1" t="s">
        <v>111</v>
      </c>
      <c r="K924" s="1">
        <v>32</v>
      </c>
      <c r="L924" s="1" t="s">
        <v>118</v>
      </c>
      <c r="M924" s="1">
        <v>2</v>
      </c>
      <c r="N924" s="1">
        <v>277</v>
      </c>
      <c r="O924" s="1" t="s">
        <v>144</v>
      </c>
      <c r="R924" t="b">
        <f>IF(COUNTBLANK(Master_Reference[[#This Row],[C-Flex 3000K Eco Part Number]:[C-Flex 4000K Eco Part Number]])=3,FALSE,TRUE)</f>
        <v>0</v>
      </c>
      <c r="S924" t="b">
        <f>IF(COUNTBLANK(Master_Reference[[#This Row],[C-Flex 3000K 3W Part Number]:[C-Flex 4000K 3W Part Number]])=3,FALSE,TRUE)</f>
        <v>1</v>
      </c>
      <c r="T924" s="1" t="b">
        <f>IF(COUNTBLANK(Master_Reference[[#This Row],[Lutron 3000K Eco Part Number]:[Lutron 4000K Eco Part Number]])=3,FALSE,TRUE)</f>
        <v>0</v>
      </c>
      <c r="U924" s="1" t="b">
        <f>IF(COUNTBLANK(Master_Reference[[#This Row],[Lutron 3000K 3W Part Number]:[Lutron 4000K 3W Part Number]])=3,FALSE,TRUE)</f>
        <v>1</v>
      </c>
      <c r="V924" s="13"/>
      <c r="W924" s="13"/>
      <c r="X924" s="12"/>
      <c r="Y924" t="s">
        <v>2125</v>
      </c>
      <c r="Z924" s="12" t="s">
        <v>145</v>
      </c>
      <c r="AA924" s="12" t="s">
        <v>146</v>
      </c>
      <c r="AB924" s="12" t="s">
        <v>147</v>
      </c>
      <c r="AC924" t="s">
        <v>1830</v>
      </c>
      <c r="AD924" t="str">
        <f>SUBSTITUTE(Master_Reference[[#This Row],[C-Flex 4000K Eco Part Number]],"40-","xx-")</f>
        <v/>
      </c>
      <c r="AE924" t="str">
        <f>SUBSTITUTE(Master_Reference[[#This Row],[C-Flex 4000K 3W Part Number]],"40-","xx-")</f>
        <v>RP-T8-4FT-2L-8xx-3W-M-G2</v>
      </c>
      <c r="AF924" s="1" t="str">
        <f>_xlfn.IFNA(VLOOKUP(Master_Reference[[#This Row],[C-Flex 3000K Eco Part Number]],Lutron_CFlex_Lookup[],MATCH("Lutron Kit PN",Lutron_CFlex_Lookup[#Headers],0),FALSE),"")</f>
        <v/>
      </c>
      <c r="AG924" s="1" t="str">
        <f>_xlfn.IFNA(VLOOKUP(Master_Reference[[#This Row],[C-Flex 3500K Eco Part Number]],Lutron_CFlex_Lookup[],MATCH("Lutron Kit PN",Lutron_CFlex_Lookup[#Headers],0),FALSE),"")</f>
        <v/>
      </c>
      <c r="AH924" s="1" t="str">
        <f>_xlfn.IFNA(VLOOKUP(Master_Reference[[#This Row],[C-Flex 4000K Eco Part Number]],Lutron_CFlex_Lookup[],MATCH("Lutron Kit PN",Lutron_CFlex_Lookup[#Headers],0),FALSE),"")</f>
        <v/>
      </c>
      <c r="AI924" s="1" t="str">
        <f>_xlfn.IFNA(VLOOKUP(Master_Reference[[#This Row],[C-Flex 5000K Eco Part Number]],Lutron_CFlex_Lookup[],MATCH("Lutron Kit PN",Lutron_CFlex_Lookup[#Headers],0),FALSE),"")</f>
        <v/>
      </c>
      <c r="AJ924" s="1" t="str">
        <f>_xlfn.IFNA(VLOOKUP(Master_Reference[[#This Row],[C-Flex 3000K 3W Part Number]],Lutron_CFlex_Lookup[],MATCH("Lutron Kit PN",Lutron_CFlex_Lookup[#Headers],0),FALSE),"")</f>
        <v>3LD4T8-2M30-q</v>
      </c>
      <c r="AK924" s="1" t="str">
        <f>_xlfn.IFNA(VLOOKUP(Master_Reference[[#This Row],[C-Flex 3500K 3W Part Number]],Lutron_CFlex_Lookup[],MATCH("Lutron Kit PN",Lutron_CFlex_Lookup[#Headers],0),FALSE),"")</f>
        <v>3LD4T8-2M35-q</v>
      </c>
      <c r="AL924" s="1" t="str">
        <f>_xlfn.IFNA(VLOOKUP(Master_Reference[[#This Row],[C-Flex 4000K 3W Part Number]],Lutron_CFlex_Lookup[],MATCH("Lutron Kit PN",Lutron_CFlex_Lookup[#Headers],0),FALSE),"")</f>
        <v>3LD4T8-2M40-q</v>
      </c>
      <c r="AM924" s="1" t="str">
        <f>_xlfn.IFNA(VLOOKUP(Master_Reference[[#This Row],[C-Flex 5000K 3W Part Number]],Lutron_CFlex_Lookup[],MATCH("Lutron Kit PN",Lutron_CFlex_Lookup[#Headers],0),FALSE),"")</f>
        <v>3LD4T8-2M50-q</v>
      </c>
      <c r="AN924" s="1" t="b">
        <f>NOT(ISNA(VLOOKUP(Master_Reference[[#This Row],[Model Number]],ObsoleteModels[],1,FALSE)))</f>
        <v>1</v>
      </c>
      <c r="AO924" s="1" t="str">
        <f>IF(LEFT(Master_Reference[[#This Row],[Model Number]],1)="U",LEFT(Master_Reference[[#This Row],[Model Number]],4),LEFT(Master_Reference[[#This Row],[Model Number]],3))</f>
        <v>RSP</v>
      </c>
    </row>
    <row r="925" spans="1:41" x14ac:dyDescent="0.25">
      <c r="A925" s="2" t="s">
        <v>1229</v>
      </c>
      <c r="B925" s="1"/>
      <c r="C925" s="1" t="b">
        <v>1</v>
      </c>
      <c r="G925" s="1" t="str">
        <f>IF(OR(LEFT(RIGHT(Master_Reference[[#This Row],[Model Number]],3),1)="C",LEFT(RIGHT(Master_Reference[[#This Row],[Model Number]],4),1)="C"),TRUE,"")</f>
        <v/>
      </c>
      <c r="H925" s="1" t="str">
        <f>IF(LEFT(Master_Reference[[#This Row],[Model Number]],1)="U",TRUE,"")</f>
        <v/>
      </c>
      <c r="I925" s="1" t="b">
        <f>IF(Master_Reference[[#This Row],[Lamp Type]]="T4","",IF(Master_Reference[[#This Row],[Case Type]]="M","",TRUE))</f>
        <v>1</v>
      </c>
      <c r="J925" s="1" t="s">
        <v>886</v>
      </c>
      <c r="K925" s="1">
        <v>40</v>
      </c>
      <c r="L925" s="1" t="s">
        <v>118</v>
      </c>
      <c r="M925" s="1">
        <v>1</v>
      </c>
      <c r="N925" s="1">
        <v>120</v>
      </c>
      <c r="O925" s="1" t="s">
        <v>144</v>
      </c>
      <c r="R925" t="b">
        <f>IF(COUNTBLANK(Master_Reference[[#This Row],[C-Flex 3000K Eco Part Number]:[C-Flex 4000K Eco Part Number]])=3,FALSE,TRUE)</f>
        <v>0</v>
      </c>
      <c r="S925" t="b">
        <f>IF(COUNTBLANK(Master_Reference[[#This Row],[C-Flex 3000K 3W Part Number]:[C-Flex 4000K 3W Part Number]])=3,FALSE,TRUE)</f>
        <v>0</v>
      </c>
      <c r="T925" s="1" t="b">
        <f>IF(COUNTBLANK(Master_Reference[[#This Row],[Lutron 3000K Eco Part Number]:[Lutron 4000K Eco Part Number]])=3,FALSE,TRUE)</f>
        <v>0</v>
      </c>
      <c r="U925" s="1" t="b">
        <f>IF(COUNTBLANK(Master_Reference[[#This Row],[Lutron 3000K 3W Part Number]:[Lutron 4000K 3W Part Number]])=3,FALSE,TRUE)</f>
        <v>0</v>
      </c>
      <c r="V925" s="13"/>
      <c r="W925" s="13"/>
      <c r="X925" s="12"/>
      <c r="Y925" t="s">
        <v>2125</v>
      </c>
      <c r="Z925" s="12"/>
      <c r="AA925" s="12"/>
      <c r="AB925" s="12"/>
      <c r="AC925" t="s">
        <v>2125</v>
      </c>
      <c r="AD925" t="str">
        <f>SUBSTITUTE(Master_Reference[[#This Row],[C-Flex 4000K Eco Part Number]],"40-","xx-")</f>
        <v/>
      </c>
      <c r="AE925" t="str">
        <f>SUBSTITUTE(Master_Reference[[#This Row],[C-Flex 4000K 3W Part Number]],"40-","xx-")</f>
        <v/>
      </c>
      <c r="AF925" s="1" t="str">
        <f>_xlfn.IFNA(VLOOKUP(Master_Reference[[#This Row],[C-Flex 3000K Eco Part Number]],Lutron_CFlex_Lookup[],MATCH("Lutron Kit PN",Lutron_CFlex_Lookup[#Headers],0),FALSE),"")</f>
        <v/>
      </c>
      <c r="AG925" s="1" t="str">
        <f>_xlfn.IFNA(VLOOKUP(Master_Reference[[#This Row],[C-Flex 3500K Eco Part Number]],Lutron_CFlex_Lookup[],MATCH("Lutron Kit PN",Lutron_CFlex_Lookup[#Headers],0),FALSE),"")</f>
        <v/>
      </c>
      <c r="AH925" s="1" t="str">
        <f>_xlfn.IFNA(VLOOKUP(Master_Reference[[#This Row],[C-Flex 4000K Eco Part Number]],Lutron_CFlex_Lookup[],MATCH("Lutron Kit PN",Lutron_CFlex_Lookup[#Headers],0),FALSE),"")</f>
        <v/>
      </c>
      <c r="AI925" s="1" t="str">
        <f>_xlfn.IFNA(VLOOKUP(Master_Reference[[#This Row],[C-Flex 5000K Eco Part Number]],Lutron_CFlex_Lookup[],MATCH("Lutron Kit PN",Lutron_CFlex_Lookup[#Headers],0),FALSE),"")</f>
        <v/>
      </c>
      <c r="AJ925" s="1" t="str">
        <f>_xlfn.IFNA(VLOOKUP(Master_Reference[[#This Row],[C-Flex 3000K 3W Part Number]],Lutron_CFlex_Lookup[],MATCH("Lutron Kit PN",Lutron_CFlex_Lookup[#Headers],0),FALSE),"")</f>
        <v/>
      </c>
      <c r="AK925" s="1" t="str">
        <f>_xlfn.IFNA(VLOOKUP(Master_Reference[[#This Row],[C-Flex 3500K 3W Part Number]],Lutron_CFlex_Lookup[],MATCH("Lutron Kit PN",Lutron_CFlex_Lookup[#Headers],0),FALSE),"")</f>
        <v/>
      </c>
      <c r="AL925" s="1" t="str">
        <f>_xlfn.IFNA(VLOOKUP(Master_Reference[[#This Row],[C-Flex 4000K 3W Part Number]],Lutron_CFlex_Lookup[],MATCH("Lutron Kit PN",Lutron_CFlex_Lookup[#Headers],0),FALSE),"")</f>
        <v/>
      </c>
      <c r="AM925" s="1" t="str">
        <f>_xlfn.IFNA(VLOOKUP(Master_Reference[[#This Row],[C-Flex 5000K 3W Part Number]],Lutron_CFlex_Lookup[],MATCH("Lutron Kit PN",Lutron_CFlex_Lookup[#Headers],0),FALSE),"")</f>
        <v/>
      </c>
      <c r="AN925" s="1" t="b">
        <f>NOT(ISNA(VLOOKUP(Master_Reference[[#This Row],[Model Number]],ObsoleteModels[],1,FALSE)))</f>
        <v>1</v>
      </c>
      <c r="AO925" s="1" t="str">
        <f>IF(LEFT(Master_Reference[[#This Row],[Model Number]],1)="U",LEFT(Master_Reference[[#This Row],[Model Number]],4),LEFT(Master_Reference[[#This Row],[Model Number]],3))</f>
        <v>RSP</v>
      </c>
    </row>
    <row r="926" spans="1:41" x14ac:dyDescent="0.25">
      <c r="A926" s="2" t="s">
        <v>1230</v>
      </c>
      <c r="B926" s="1"/>
      <c r="C926" s="1" t="b">
        <v>1</v>
      </c>
      <c r="G926" s="1" t="str">
        <f>IF(OR(LEFT(RIGHT(Master_Reference[[#This Row],[Model Number]],3),1)="C",LEFT(RIGHT(Master_Reference[[#This Row],[Model Number]],4),1)="C"),TRUE,"")</f>
        <v/>
      </c>
      <c r="H926" s="1" t="str">
        <f>IF(LEFT(Master_Reference[[#This Row],[Model Number]],1)="U",TRUE,"")</f>
        <v/>
      </c>
      <c r="I926" s="1" t="b">
        <f>IF(Master_Reference[[#This Row],[Lamp Type]]="T4","",IF(Master_Reference[[#This Row],[Case Type]]="M","",TRUE))</f>
        <v>1</v>
      </c>
      <c r="J926" s="1" t="s">
        <v>886</v>
      </c>
      <c r="K926" s="1">
        <v>40</v>
      </c>
      <c r="L926" s="1" t="s">
        <v>118</v>
      </c>
      <c r="M926" s="1">
        <v>2</v>
      </c>
      <c r="N926" s="1">
        <v>120</v>
      </c>
      <c r="O926" s="1" t="s">
        <v>144</v>
      </c>
      <c r="R926" t="b">
        <f>IF(COUNTBLANK(Master_Reference[[#This Row],[C-Flex 3000K Eco Part Number]:[C-Flex 4000K Eco Part Number]])=3,FALSE,TRUE)</f>
        <v>0</v>
      </c>
      <c r="S926" t="b">
        <f>IF(COUNTBLANK(Master_Reference[[#This Row],[C-Flex 3000K 3W Part Number]:[C-Flex 4000K 3W Part Number]])=3,FALSE,TRUE)</f>
        <v>0</v>
      </c>
      <c r="T926" s="1" t="b">
        <f>IF(COUNTBLANK(Master_Reference[[#This Row],[Lutron 3000K Eco Part Number]:[Lutron 4000K Eco Part Number]])=3,FALSE,TRUE)</f>
        <v>0</v>
      </c>
      <c r="U926" s="1" t="b">
        <f>IF(COUNTBLANK(Master_Reference[[#This Row],[Lutron 3000K 3W Part Number]:[Lutron 4000K 3W Part Number]])=3,FALSE,TRUE)</f>
        <v>0</v>
      </c>
      <c r="V926" s="13"/>
      <c r="W926" s="13"/>
      <c r="X926" s="12"/>
      <c r="Y926" t="s">
        <v>2125</v>
      </c>
      <c r="Z926" s="12"/>
      <c r="AA926" s="12"/>
      <c r="AB926" s="12"/>
      <c r="AC926" t="s">
        <v>2125</v>
      </c>
      <c r="AD926" t="str">
        <f>SUBSTITUTE(Master_Reference[[#This Row],[C-Flex 4000K Eco Part Number]],"40-","xx-")</f>
        <v/>
      </c>
      <c r="AE926" t="str">
        <f>SUBSTITUTE(Master_Reference[[#This Row],[C-Flex 4000K 3W Part Number]],"40-","xx-")</f>
        <v/>
      </c>
      <c r="AF926" s="1" t="str">
        <f>_xlfn.IFNA(VLOOKUP(Master_Reference[[#This Row],[C-Flex 3000K Eco Part Number]],Lutron_CFlex_Lookup[],MATCH("Lutron Kit PN",Lutron_CFlex_Lookup[#Headers],0),FALSE),"")</f>
        <v/>
      </c>
      <c r="AG926" s="1" t="str">
        <f>_xlfn.IFNA(VLOOKUP(Master_Reference[[#This Row],[C-Flex 3500K Eco Part Number]],Lutron_CFlex_Lookup[],MATCH("Lutron Kit PN",Lutron_CFlex_Lookup[#Headers],0),FALSE),"")</f>
        <v/>
      </c>
      <c r="AH926" s="1" t="str">
        <f>_xlfn.IFNA(VLOOKUP(Master_Reference[[#This Row],[C-Flex 4000K Eco Part Number]],Lutron_CFlex_Lookup[],MATCH("Lutron Kit PN",Lutron_CFlex_Lookup[#Headers],0),FALSE),"")</f>
        <v/>
      </c>
      <c r="AI926" s="1" t="str">
        <f>_xlfn.IFNA(VLOOKUP(Master_Reference[[#This Row],[C-Flex 5000K Eco Part Number]],Lutron_CFlex_Lookup[],MATCH("Lutron Kit PN",Lutron_CFlex_Lookup[#Headers],0),FALSE),"")</f>
        <v/>
      </c>
      <c r="AJ926" s="1" t="str">
        <f>_xlfn.IFNA(VLOOKUP(Master_Reference[[#This Row],[C-Flex 3000K 3W Part Number]],Lutron_CFlex_Lookup[],MATCH("Lutron Kit PN",Lutron_CFlex_Lookup[#Headers],0),FALSE),"")</f>
        <v/>
      </c>
      <c r="AK926" s="1" t="str">
        <f>_xlfn.IFNA(VLOOKUP(Master_Reference[[#This Row],[C-Flex 3500K 3W Part Number]],Lutron_CFlex_Lookup[],MATCH("Lutron Kit PN",Lutron_CFlex_Lookup[#Headers],0),FALSE),"")</f>
        <v/>
      </c>
      <c r="AL926" s="1" t="str">
        <f>_xlfn.IFNA(VLOOKUP(Master_Reference[[#This Row],[C-Flex 4000K 3W Part Number]],Lutron_CFlex_Lookup[],MATCH("Lutron Kit PN",Lutron_CFlex_Lookup[#Headers],0),FALSE),"")</f>
        <v/>
      </c>
      <c r="AM926" s="1" t="str">
        <f>_xlfn.IFNA(VLOOKUP(Master_Reference[[#This Row],[C-Flex 5000K 3W Part Number]],Lutron_CFlex_Lookup[],MATCH("Lutron Kit PN",Lutron_CFlex_Lookup[#Headers],0),FALSE),"")</f>
        <v/>
      </c>
      <c r="AN926" s="1" t="b">
        <f>NOT(ISNA(VLOOKUP(Master_Reference[[#This Row],[Model Number]],ObsoleteModels[],1,FALSE)))</f>
        <v>1</v>
      </c>
      <c r="AO926" s="1" t="str">
        <f>IF(LEFT(Master_Reference[[#This Row],[Model Number]],1)="U",LEFT(Master_Reference[[#This Row],[Model Number]],4),LEFT(Master_Reference[[#This Row],[Model Number]],3))</f>
        <v>RSP</v>
      </c>
    </row>
    <row r="927" spans="1:41" x14ac:dyDescent="0.25">
      <c r="A927" s="2" t="s">
        <v>1231</v>
      </c>
      <c r="B927" s="1"/>
      <c r="C927" s="1" t="b">
        <v>1</v>
      </c>
      <c r="G927" s="1" t="str">
        <f>IF(OR(LEFT(RIGHT(Master_Reference[[#This Row],[Model Number]],3),1)="C",LEFT(RIGHT(Master_Reference[[#This Row],[Model Number]],4),1)="C"),TRUE,"")</f>
        <v/>
      </c>
      <c r="H927" s="1" t="str">
        <f>IF(LEFT(Master_Reference[[#This Row],[Model Number]],1)="U",TRUE,"")</f>
        <v/>
      </c>
      <c r="I927" s="1" t="b">
        <f>IF(Master_Reference[[#This Row],[Lamp Type]]="T4","",IF(Master_Reference[[#This Row],[Case Type]]="M","",TRUE))</f>
        <v>1</v>
      </c>
      <c r="J927" s="1" t="s">
        <v>886</v>
      </c>
      <c r="K927" s="1">
        <v>40</v>
      </c>
      <c r="L927" s="1" t="s">
        <v>118</v>
      </c>
      <c r="M927" s="1">
        <v>1</v>
      </c>
      <c r="N927" s="1">
        <v>277</v>
      </c>
      <c r="O927" s="1" t="s">
        <v>144</v>
      </c>
      <c r="R927" t="b">
        <f>IF(COUNTBLANK(Master_Reference[[#This Row],[C-Flex 3000K Eco Part Number]:[C-Flex 4000K Eco Part Number]])=3,FALSE,TRUE)</f>
        <v>0</v>
      </c>
      <c r="S927" t="b">
        <f>IF(COUNTBLANK(Master_Reference[[#This Row],[C-Flex 3000K 3W Part Number]:[C-Flex 4000K 3W Part Number]])=3,FALSE,TRUE)</f>
        <v>0</v>
      </c>
      <c r="T927" s="1" t="b">
        <f>IF(COUNTBLANK(Master_Reference[[#This Row],[Lutron 3000K Eco Part Number]:[Lutron 4000K Eco Part Number]])=3,FALSE,TRUE)</f>
        <v>0</v>
      </c>
      <c r="U927" s="1" t="b">
        <f>IF(COUNTBLANK(Master_Reference[[#This Row],[Lutron 3000K 3W Part Number]:[Lutron 4000K 3W Part Number]])=3,FALSE,TRUE)</f>
        <v>0</v>
      </c>
      <c r="V927" s="13"/>
      <c r="W927" s="13"/>
      <c r="X927" s="12"/>
      <c r="Y927" t="s">
        <v>2125</v>
      </c>
      <c r="Z927" s="12"/>
      <c r="AA927" s="12"/>
      <c r="AB927" s="12"/>
      <c r="AC927" t="s">
        <v>2125</v>
      </c>
      <c r="AD927" t="str">
        <f>SUBSTITUTE(Master_Reference[[#This Row],[C-Flex 4000K Eco Part Number]],"40-","xx-")</f>
        <v/>
      </c>
      <c r="AE927" t="str">
        <f>SUBSTITUTE(Master_Reference[[#This Row],[C-Flex 4000K 3W Part Number]],"40-","xx-")</f>
        <v/>
      </c>
      <c r="AF927" s="1" t="str">
        <f>_xlfn.IFNA(VLOOKUP(Master_Reference[[#This Row],[C-Flex 3000K Eco Part Number]],Lutron_CFlex_Lookup[],MATCH("Lutron Kit PN",Lutron_CFlex_Lookup[#Headers],0),FALSE),"")</f>
        <v/>
      </c>
      <c r="AG927" s="1" t="str">
        <f>_xlfn.IFNA(VLOOKUP(Master_Reference[[#This Row],[C-Flex 3500K Eco Part Number]],Lutron_CFlex_Lookup[],MATCH("Lutron Kit PN",Lutron_CFlex_Lookup[#Headers],0),FALSE),"")</f>
        <v/>
      </c>
      <c r="AH927" s="1" t="str">
        <f>_xlfn.IFNA(VLOOKUP(Master_Reference[[#This Row],[C-Flex 4000K Eco Part Number]],Lutron_CFlex_Lookup[],MATCH("Lutron Kit PN",Lutron_CFlex_Lookup[#Headers],0),FALSE),"")</f>
        <v/>
      </c>
      <c r="AI927" s="1" t="str">
        <f>_xlfn.IFNA(VLOOKUP(Master_Reference[[#This Row],[C-Flex 5000K Eco Part Number]],Lutron_CFlex_Lookup[],MATCH("Lutron Kit PN",Lutron_CFlex_Lookup[#Headers],0),FALSE),"")</f>
        <v/>
      </c>
      <c r="AJ927" s="1" t="str">
        <f>_xlfn.IFNA(VLOOKUP(Master_Reference[[#This Row],[C-Flex 3000K 3W Part Number]],Lutron_CFlex_Lookup[],MATCH("Lutron Kit PN",Lutron_CFlex_Lookup[#Headers],0),FALSE),"")</f>
        <v/>
      </c>
      <c r="AK927" s="1" t="str">
        <f>_xlfn.IFNA(VLOOKUP(Master_Reference[[#This Row],[C-Flex 3500K 3W Part Number]],Lutron_CFlex_Lookup[],MATCH("Lutron Kit PN",Lutron_CFlex_Lookup[#Headers],0),FALSE),"")</f>
        <v/>
      </c>
      <c r="AL927" s="1" t="str">
        <f>_xlfn.IFNA(VLOOKUP(Master_Reference[[#This Row],[C-Flex 4000K 3W Part Number]],Lutron_CFlex_Lookup[],MATCH("Lutron Kit PN",Lutron_CFlex_Lookup[#Headers],0),FALSE),"")</f>
        <v/>
      </c>
      <c r="AM927" s="1" t="str">
        <f>_xlfn.IFNA(VLOOKUP(Master_Reference[[#This Row],[C-Flex 5000K 3W Part Number]],Lutron_CFlex_Lookup[],MATCH("Lutron Kit PN",Lutron_CFlex_Lookup[#Headers],0),FALSE),"")</f>
        <v/>
      </c>
      <c r="AN927" s="1" t="b">
        <f>NOT(ISNA(VLOOKUP(Master_Reference[[#This Row],[Model Number]],ObsoleteModels[],1,FALSE)))</f>
        <v>1</v>
      </c>
      <c r="AO927" s="1" t="str">
        <f>IF(LEFT(Master_Reference[[#This Row],[Model Number]],1)="U",LEFT(Master_Reference[[#This Row],[Model Number]],4),LEFT(Master_Reference[[#This Row],[Model Number]],3))</f>
        <v>RSP</v>
      </c>
    </row>
    <row r="928" spans="1:41" x14ac:dyDescent="0.25">
      <c r="A928" s="2" t="s">
        <v>1232</v>
      </c>
      <c r="B928" s="1"/>
      <c r="C928" s="1" t="b">
        <v>1</v>
      </c>
      <c r="G928" s="1" t="str">
        <f>IF(OR(LEFT(RIGHT(Master_Reference[[#This Row],[Model Number]],3),1)="C",LEFT(RIGHT(Master_Reference[[#This Row],[Model Number]],4),1)="C"),TRUE,"")</f>
        <v/>
      </c>
      <c r="H928" s="1" t="str">
        <f>IF(LEFT(Master_Reference[[#This Row],[Model Number]],1)="U",TRUE,"")</f>
        <v/>
      </c>
      <c r="I928" s="1" t="b">
        <f>IF(Master_Reference[[#This Row],[Lamp Type]]="T4","",IF(Master_Reference[[#This Row],[Case Type]]="M","",TRUE))</f>
        <v>1</v>
      </c>
      <c r="J928" s="1" t="s">
        <v>886</v>
      </c>
      <c r="K928" s="1">
        <v>40</v>
      </c>
      <c r="L928" s="1" t="s">
        <v>118</v>
      </c>
      <c r="M928" s="1">
        <v>2</v>
      </c>
      <c r="N928" s="1">
        <v>277</v>
      </c>
      <c r="O928" s="1" t="s">
        <v>144</v>
      </c>
      <c r="R928" t="b">
        <f>IF(COUNTBLANK(Master_Reference[[#This Row],[C-Flex 3000K Eco Part Number]:[C-Flex 4000K Eco Part Number]])=3,FALSE,TRUE)</f>
        <v>0</v>
      </c>
      <c r="S928" t="b">
        <f>IF(COUNTBLANK(Master_Reference[[#This Row],[C-Flex 3000K 3W Part Number]:[C-Flex 4000K 3W Part Number]])=3,FALSE,TRUE)</f>
        <v>0</v>
      </c>
      <c r="T928" s="1" t="b">
        <f>IF(COUNTBLANK(Master_Reference[[#This Row],[Lutron 3000K Eco Part Number]:[Lutron 4000K Eco Part Number]])=3,FALSE,TRUE)</f>
        <v>0</v>
      </c>
      <c r="U928" s="1" t="b">
        <f>IF(COUNTBLANK(Master_Reference[[#This Row],[Lutron 3000K 3W Part Number]:[Lutron 4000K 3W Part Number]])=3,FALSE,TRUE)</f>
        <v>0</v>
      </c>
      <c r="V928" s="13"/>
      <c r="W928" s="13"/>
      <c r="X928" s="12"/>
      <c r="Y928" t="s">
        <v>2125</v>
      </c>
      <c r="Z928" s="12"/>
      <c r="AA928" s="12"/>
      <c r="AB928" s="12"/>
      <c r="AC928" t="s">
        <v>2125</v>
      </c>
      <c r="AD928" t="str">
        <f>SUBSTITUTE(Master_Reference[[#This Row],[C-Flex 4000K Eco Part Number]],"40-","xx-")</f>
        <v/>
      </c>
      <c r="AE928" t="str">
        <f>SUBSTITUTE(Master_Reference[[#This Row],[C-Flex 4000K 3W Part Number]],"40-","xx-")</f>
        <v/>
      </c>
      <c r="AF928" s="1" t="str">
        <f>_xlfn.IFNA(VLOOKUP(Master_Reference[[#This Row],[C-Flex 3000K Eco Part Number]],Lutron_CFlex_Lookup[],MATCH("Lutron Kit PN",Lutron_CFlex_Lookup[#Headers],0),FALSE),"")</f>
        <v/>
      </c>
      <c r="AG928" s="1" t="str">
        <f>_xlfn.IFNA(VLOOKUP(Master_Reference[[#This Row],[C-Flex 3500K Eco Part Number]],Lutron_CFlex_Lookup[],MATCH("Lutron Kit PN",Lutron_CFlex_Lookup[#Headers],0),FALSE),"")</f>
        <v/>
      </c>
      <c r="AH928" s="1" t="str">
        <f>_xlfn.IFNA(VLOOKUP(Master_Reference[[#This Row],[C-Flex 4000K Eco Part Number]],Lutron_CFlex_Lookup[],MATCH("Lutron Kit PN",Lutron_CFlex_Lookup[#Headers],0),FALSE),"")</f>
        <v/>
      </c>
      <c r="AI928" s="1" t="str">
        <f>_xlfn.IFNA(VLOOKUP(Master_Reference[[#This Row],[C-Flex 5000K Eco Part Number]],Lutron_CFlex_Lookup[],MATCH("Lutron Kit PN",Lutron_CFlex_Lookup[#Headers],0),FALSE),"")</f>
        <v/>
      </c>
      <c r="AJ928" s="1" t="str">
        <f>_xlfn.IFNA(VLOOKUP(Master_Reference[[#This Row],[C-Flex 3000K 3W Part Number]],Lutron_CFlex_Lookup[],MATCH("Lutron Kit PN",Lutron_CFlex_Lookup[#Headers],0),FALSE),"")</f>
        <v/>
      </c>
      <c r="AK928" s="1" t="str">
        <f>_xlfn.IFNA(VLOOKUP(Master_Reference[[#This Row],[C-Flex 3500K 3W Part Number]],Lutron_CFlex_Lookup[],MATCH("Lutron Kit PN",Lutron_CFlex_Lookup[#Headers],0),FALSE),"")</f>
        <v/>
      </c>
      <c r="AL928" s="1" t="str">
        <f>_xlfn.IFNA(VLOOKUP(Master_Reference[[#This Row],[C-Flex 4000K 3W Part Number]],Lutron_CFlex_Lookup[],MATCH("Lutron Kit PN",Lutron_CFlex_Lookup[#Headers],0),FALSE),"")</f>
        <v/>
      </c>
      <c r="AM928" s="1" t="str">
        <f>_xlfn.IFNA(VLOOKUP(Master_Reference[[#This Row],[C-Flex 5000K 3W Part Number]],Lutron_CFlex_Lookup[],MATCH("Lutron Kit PN",Lutron_CFlex_Lookup[#Headers],0),FALSE),"")</f>
        <v/>
      </c>
      <c r="AN928" s="1" t="b">
        <f>NOT(ISNA(VLOOKUP(Master_Reference[[#This Row],[Model Number]],ObsoleteModels[],1,FALSE)))</f>
        <v>1</v>
      </c>
      <c r="AO928" s="1" t="str">
        <f>IF(LEFT(Master_Reference[[#This Row],[Model Number]],1)="U",LEFT(Master_Reference[[#This Row],[Model Number]],4),LEFT(Master_Reference[[#This Row],[Model Number]],3))</f>
        <v>RSP</v>
      </c>
    </row>
    <row r="929" spans="1:41" x14ac:dyDescent="0.25">
      <c r="A929" s="2" t="s">
        <v>1233</v>
      </c>
      <c r="B929" s="1"/>
      <c r="C929" s="1" t="b">
        <v>1</v>
      </c>
      <c r="G929" s="1" t="str">
        <f>IF(OR(LEFT(RIGHT(Master_Reference[[#This Row],[Model Number]],3),1)="C",LEFT(RIGHT(Master_Reference[[#This Row],[Model Number]],4),1)="C"),TRUE,"")</f>
        <v/>
      </c>
      <c r="H929" s="1" t="str">
        <f>IF(LEFT(Master_Reference[[#This Row],[Model Number]],1)="U",TRUE,"")</f>
        <v/>
      </c>
      <c r="I929" s="1" t="b">
        <f>IF(Master_Reference[[#This Row],[Lamp Type]]="T4","",IF(Master_Reference[[#This Row],[Case Type]]="M","",TRUE))</f>
        <v>1</v>
      </c>
      <c r="J929" s="1" t="s">
        <v>886</v>
      </c>
      <c r="K929" s="1">
        <v>40</v>
      </c>
      <c r="L929" s="1" t="s">
        <v>118</v>
      </c>
      <c r="M929" s="1">
        <v>1</v>
      </c>
      <c r="N929" s="1">
        <v>120</v>
      </c>
      <c r="O929" s="1" t="s">
        <v>144</v>
      </c>
      <c r="R929" t="b">
        <f>IF(COUNTBLANK(Master_Reference[[#This Row],[C-Flex 3000K Eco Part Number]:[C-Flex 4000K Eco Part Number]])=3,FALSE,TRUE)</f>
        <v>0</v>
      </c>
      <c r="S929" t="b">
        <f>IF(COUNTBLANK(Master_Reference[[#This Row],[C-Flex 3000K 3W Part Number]:[C-Flex 4000K 3W Part Number]])=3,FALSE,TRUE)</f>
        <v>0</v>
      </c>
      <c r="T929" s="1" t="b">
        <f>IF(COUNTBLANK(Master_Reference[[#This Row],[Lutron 3000K Eco Part Number]:[Lutron 4000K Eco Part Number]])=3,FALSE,TRUE)</f>
        <v>0</v>
      </c>
      <c r="U929" s="1" t="b">
        <f>IF(COUNTBLANK(Master_Reference[[#This Row],[Lutron 3000K 3W Part Number]:[Lutron 4000K 3W Part Number]])=3,FALSE,TRUE)</f>
        <v>0</v>
      </c>
      <c r="V929" s="13"/>
      <c r="W929" s="13"/>
      <c r="X929" s="12"/>
      <c r="Y929" t="s">
        <v>2125</v>
      </c>
      <c r="Z929" s="12"/>
      <c r="AA929" s="12"/>
      <c r="AB929" s="12"/>
      <c r="AC929" t="s">
        <v>2125</v>
      </c>
      <c r="AD929" t="str">
        <f>SUBSTITUTE(Master_Reference[[#This Row],[C-Flex 4000K Eco Part Number]],"40-","xx-")</f>
        <v/>
      </c>
      <c r="AE929" t="str">
        <f>SUBSTITUTE(Master_Reference[[#This Row],[C-Flex 4000K 3W Part Number]],"40-","xx-")</f>
        <v/>
      </c>
      <c r="AF929" s="1" t="str">
        <f>_xlfn.IFNA(VLOOKUP(Master_Reference[[#This Row],[C-Flex 3000K Eco Part Number]],Lutron_CFlex_Lookup[],MATCH("Lutron Kit PN",Lutron_CFlex_Lookup[#Headers],0),FALSE),"")</f>
        <v/>
      </c>
      <c r="AG929" s="1" t="str">
        <f>_xlfn.IFNA(VLOOKUP(Master_Reference[[#This Row],[C-Flex 3500K Eco Part Number]],Lutron_CFlex_Lookup[],MATCH("Lutron Kit PN",Lutron_CFlex_Lookup[#Headers],0),FALSE),"")</f>
        <v/>
      </c>
      <c r="AH929" s="1" t="str">
        <f>_xlfn.IFNA(VLOOKUP(Master_Reference[[#This Row],[C-Flex 4000K Eco Part Number]],Lutron_CFlex_Lookup[],MATCH("Lutron Kit PN",Lutron_CFlex_Lookup[#Headers],0),FALSE),"")</f>
        <v/>
      </c>
      <c r="AI929" s="1" t="str">
        <f>_xlfn.IFNA(VLOOKUP(Master_Reference[[#This Row],[C-Flex 5000K Eco Part Number]],Lutron_CFlex_Lookup[],MATCH("Lutron Kit PN",Lutron_CFlex_Lookup[#Headers],0),FALSE),"")</f>
        <v/>
      </c>
      <c r="AJ929" s="1" t="str">
        <f>_xlfn.IFNA(VLOOKUP(Master_Reference[[#This Row],[C-Flex 3000K 3W Part Number]],Lutron_CFlex_Lookup[],MATCH("Lutron Kit PN",Lutron_CFlex_Lookup[#Headers],0),FALSE),"")</f>
        <v/>
      </c>
      <c r="AK929" s="1" t="str">
        <f>_xlfn.IFNA(VLOOKUP(Master_Reference[[#This Row],[C-Flex 3500K 3W Part Number]],Lutron_CFlex_Lookup[],MATCH("Lutron Kit PN",Lutron_CFlex_Lookup[#Headers],0),FALSE),"")</f>
        <v/>
      </c>
      <c r="AL929" s="1" t="str">
        <f>_xlfn.IFNA(VLOOKUP(Master_Reference[[#This Row],[C-Flex 4000K 3W Part Number]],Lutron_CFlex_Lookup[],MATCH("Lutron Kit PN",Lutron_CFlex_Lookup[#Headers],0),FALSE),"")</f>
        <v/>
      </c>
      <c r="AM929" s="1" t="str">
        <f>_xlfn.IFNA(VLOOKUP(Master_Reference[[#This Row],[C-Flex 5000K 3W Part Number]],Lutron_CFlex_Lookup[],MATCH("Lutron Kit PN",Lutron_CFlex_Lookup[#Headers],0),FALSE),"")</f>
        <v/>
      </c>
      <c r="AN929" s="1" t="b">
        <f>NOT(ISNA(VLOOKUP(Master_Reference[[#This Row],[Model Number]],ObsoleteModels[],1,FALSE)))</f>
        <v>1</v>
      </c>
      <c r="AO929" s="1" t="str">
        <f>IF(LEFT(Master_Reference[[#This Row],[Model Number]],1)="U",LEFT(Master_Reference[[#This Row],[Model Number]],4),LEFT(Master_Reference[[#This Row],[Model Number]],3))</f>
        <v>RSP</v>
      </c>
    </row>
    <row r="930" spans="1:41" x14ac:dyDescent="0.25">
      <c r="A930" s="2" t="s">
        <v>1234</v>
      </c>
      <c r="B930" s="1"/>
      <c r="C930" s="1" t="b">
        <v>1</v>
      </c>
      <c r="G930" s="1" t="str">
        <f>IF(OR(LEFT(RIGHT(Master_Reference[[#This Row],[Model Number]],3),1)="C",LEFT(RIGHT(Master_Reference[[#This Row],[Model Number]],4),1)="C"),TRUE,"")</f>
        <v/>
      </c>
      <c r="H930" s="1" t="str">
        <f>IF(LEFT(Master_Reference[[#This Row],[Model Number]],1)="U",TRUE,"")</f>
        <v/>
      </c>
      <c r="I930" s="1" t="b">
        <f>IF(Master_Reference[[#This Row],[Lamp Type]]="T4","",IF(Master_Reference[[#This Row],[Case Type]]="M","",TRUE))</f>
        <v>1</v>
      </c>
      <c r="J930" s="1" t="s">
        <v>111</v>
      </c>
      <c r="K930" s="1">
        <v>40</v>
      </c>
      <c r="L930" s="1" t="s">
        <v>220</v>
      </c>
      <c r="M930" s="1">
        <v>1</v>
      </c>
      <c r="N930" s="1">
        <v>120</v>
      </c>
      <c r="O930" s="1" t="s">
        <v>144</v>
      </c>
      <c r="R930" t="b">
        <f>IF(COUNTBLANK(Master_Reference[[#This Row],[C-Flex 3000K Eco Part Number]:[C-Flex 4000K Eco Part Number]])=3,FALSE,TRUE)</f>
        <v>0</v>
      </c>
      <c r="S930" t="b">
        <f>IF(COUNTBLANK(Master_Reference[[#This Row],[C-Flex 3000K 3W Part Number]:[C-Flex 4000K 3W Part Number]])=3,FALSE,TRUE)</f>
        <v>0</v>
      </c>
      <c r="T930" s="1" t="b">
        <f>IF(COUNTBLANK(Master_Reference[[#This Row],[Lutron 3000K Eco Part Number]:[Lutron 4000K Eco Part Number]])=3,FALSE,TRUE)</f>
        <v>0</v>
      </c>
      <c r="U930" s="1" t="b">
        <f>IF(COUNTBLANK(Master_Reference[[#This Row],[Lutron 3000K 3W Part Number]:[Lutron 4000K 3W Part Number]])=3,FALSE,TRUE)</f>
        <v>0</v>
      </c>
      <c r="V930" s="13"/>
      <c r="W930" s="13"/>
      <c r="X930" s="12"/>
      <c r="Y930" t="s">
        <v>2125</v>
      </c>
      <c r="Z930" s="12"/>
      <c r="AA930" s="12"/>
      <c r="AB930" s="12"/>
      <c r="AC930" t="s">
        <v>2125</v>
      </c>
      <c r="AD930" t="str">
        <f>SUBSTITUTE(Master_Reference[[#This Row],[C-Flex 4000K Eco Part Number]],"40-","xx-")</f>
        <v/>
      </c>
      <c r="AE930" t="str">
        <f>SUBSTITUTE(Master_Reference[[#This Row],[C-Flex 4000K 3W Part Number]],"40-","xx-")</f>
        <v/>
      </c>
      <c r="AF930" s="1" t="str">
        <f>_xlfn.IFNA(VLOOKUP(Master_Reference[[#This Row],[C-Flex 3000K Eco Part Number]],Lutron_CFlex_Lookup[],MATCH("Lutron Kit PN",Lutron_CFlex_Lookup[#Headers],0),FALSE),"")</f>
        <v/>
      </c>
      <c r="AG930" s="1" t="str">
        <f>_xlfn.IFNA(VLOOKUP(Master_Reference[[#This Row],[C-Flex 3500K Eco Part Number]],Lutron_CFlex_Lookup[],MATCH("Lutron Kit PN",Lutron_CFlex_Lookup[#Headers],0),FALSE),"")</f>
        <v/>
      </c>
      <c r="AH930" s="1" t="str">
        <f>_xlfn.IFNA(VLOOKUP(Master_Reference[[#This Row],[C-Flex 4000K Eco Part Number]],Lutron_CFlex_Lookup[],MATCH("Lutron Kit PN",Lutron_CFlex_Lookup[#Headers],0),FALSE),"")</f>
        <v/>
      </c>
      <c r="AI930" s="1" t="str">
        <f>_xlfn.IFNA(VLOOKUP(Master_Reference[[#This Row],[C-Flex 5000K Eco Part Number]],Lutron_CFlex_Lookup[],MATCH("Lutron Kit PN",Lutron_CFlex_Lookup[#Headers],0),FALSE),"")</f>
        <v/>
      </c>
      <c r="AJ930" s="1" t="str">
        <f>_xlfn.IFNA(VLOOKUP(Master_Reference[[#This Row],[C-Flex 3000K 3W Part Number]],Lutron_CFlex_Lookup[],MATCH("Lutron Kit PN",Lutron_CFlex_Lookup[#Headers],0),FALSE),"")</f>
        <v/>
      </c>
      <c r="AK930" s="1" t="str">
        <f>_xlfn.IFNA(VLOOKUP(Master_Reference[[#This Row],[C-Flex 3500K 3W Part Number]],Lutron_CFlex_Lookup[],MATCH("Lutron Kit PN",Lutron_CFlex_Lookup[#Headers],0),FALSE),"")</f>
        <v/>
      </c>
      <c r="AL930" s="1" t="str">
        <f>_xlfn.IFNA(VLOOKUP(Master_Reference[[#This Row],[C-Flex 4000K 3W Part Number]],Lutron_CFlex_Lookup[],MATCH("Lutron Kit PN",Lutron_CFlex_Lookup[#Headers],0),FALSE),"")</f>
        <v/>
      </c>
      <c r="AM930" s="1" t="str">
        <f>_xlfn.IFNA(VLOOKUP(Master_Reference[[#This Row],[C-Flex 5000K 3W Part Number]],Lutron_CFlex_Lookup[],MATCH("Lutron Kit PN",Lutron_CFlex_Lookup[#Headers],0),FALSE),"")</f>
        <v/>
      </c>
      <c r="AN930" s="1" t="b">
        <f>NOT(ISNA(VLOOKUP(Master_Reference[[#This Row],[Model Number]],ObsoleteModels[],1,FALSE)))</f>
        <v>1</v>
      </c>
      <c r="AO930" s="1" t="str">
        <f>IF(LEFT(Master_Reference[[#This Row],[Model Number]],1)="U",LEFT(Master_Reference[[#This Row],[Model Number]],4),LEFT(Master_Reference[[#This Row],[Model Number]],3))</f>
        <v>RSP</v>
      </c>
    </row>
    <row r="931" spans="1:41" x14ac:dyDescent="0.25">
      <c r="A931" s="2" t="s">
        <v>1235</v>
      </c>
      <c r="B931" s="1"/>
      <c r="C931" s="1" t="b">
        <v>1</v>
      </c>
      <c r="G931" s="1" t="str">
        <f>IF(OR(LEFT(RIGHT(Master_Reference[[#This Row],[Model Number]],3),1)="C",LEFT(RIGHT(Master_Reference[[#This Row],[Model Number]],4),1)="C"),TRUE,"")</f>
        <v/>
      </c>
      <c r="H931" s="1" t="str">
        <f>IF(LEFT(Master_Reference[[#This Row],[Model Number]],1)="U",TRUE,"")</f>
        <v/>
      </c>
      <c r="I931" s="1" t="b">
        <f>IF(Master_Reference[[#This Row],[Lamp Type]]="T4","",IF(Master_Reference[[#This Row],[Case Type]]="M","",TRUE))</f>
        <v>1</v>
      </c>
      <c r="J931" s="1" t="s">
        <v>886</v>
      </c>
      <c r="K931" s="1">
        <v>85</v>
      </c>
      <c r="L931" s="1" t="s">
        <v>921</v>
      </c>
      <c r="M931" s="1">
        <v>1</v>
      </c>
      <c r="N931" s="1">
        <v>120</v>
      </c>
      <c r="O931" s="1" t="s">
        <v>144</v>
      </c>
      <c r="R931" t="b">
        <f>IF(COUNTBLANK(Master_Reference[[#This Row],[C-Flex 3000K Eco Part Number]:[C-Flex 4000K Eco Part Number]])=3,FALSE,TRUE)</f>
        <v>0</v>
      </c>
      <c r="S931" t="b">
        <f>IF(COUNTBLANK(Master_Reference[[#This Row],[C-Flex 3000K 3W Part Number]:[C-Flex 4000K 3W Part Number]])=3,FALSE,TRUE)</f>
        <v>0</v>
      </c>
      <c r="T931" s="1" t="b">
        <f>IF(COUNTBLANK(Master_Reference[[#This Row],[Lutron 3000K Eco Part Number]:[Lutron 4000K Eco Part Number]])=3,FALSE,TRUE)</f>
        <v>0</v>
      </c>
      <c r="U931" s="1" t="b">
        <f>IF(COUNTBLANK(Master_Reference[[#This Row],[Lutron 3000K 3W Part Number]:[Lutron 4000K 3W Part Number]])=3,FALSE,TRUE)</f>
        <v>0</v>
      </c>
      <c r="V931" s="13"/>
      <c r="W931" s="13"/>
      <c r="X931" s="12"/>
      <c r="Y931" t="s">
        <v>2125</v>
      </c>
      <c r="Z931" s="12"/>
      <c r="AA931" s="12"/>
      <c r="AB931" s="12"/>
      <c r="AC931" t="s">
        <v>2125</v>
      </c>
      <c r="AD931" t="str">
        <f>SUBSTITUTE(Master_Reference[[#This Row],[C-Flex 4000K Eco Part Number]],"40-","xx-")</f>
        <v/>
      </c>
      <c r="AE931" t="str">
        <f>SUBSTITUTE(Master_Reference[[#This Row],[C-Flex 4000K 3W Part Number]],"40-","xx-")</f>
        <v/>
      </c>
      <c r="AF931" s="1" t="str">
        <f>_xlfn.IFNA(VLOOKUP(Master_Reference[[#This Row],[C-Flex 3000K Eco Part Number]],Lutron_CFlex_Lookup[],MATCH("Lutron Kit PN",Lutron_CFlex_Lookup[#Headers],0),FALSE),"")</f>
        <v/>
      </c>
      <c r="AG931" s="1" t="str">
        <f>_xlfn.IFNA(VLOOKUP(Master_Reference[[#This Row],[C-Flex 3500K Eco Part Number]],Lutron_CFlex_Lookup[],MATCH("Lutron Kit PN",Lutron_CFlex_Lookup[#Headers],0),FALSE),"")</f>
        <v/>
      </c>
      <c r="AH931" s="1" t="str">
        <f>_xlfn.IFNA(VLOOKUP(Master_Reference[[#This Row],[C-Flex 4000K Eco Part Number]],Lutron_CFlex_Lookup[],MATCH("Lutron Kit PN",Lutron_CFlex_Lookup[#Headers],0),FALSE),"")</f>
        <v/>
      </c>
      <c r="AI931" s="1" t="str">
        <f>_xlfn.IFNA(VLOOKUP(Master_Reference[[#This Row],[C-Flex 5000K Eco Part Number]],Lutron_CFlex_Lookup[],MATCH("Lutron Kit PN",Lutron_CFlex_Lookup[#Headers],0),FALSE),"")</f>
        <v/>
      </c>
      <c r="AJ931" s="1" t="str">
        <f>_xlfn.IFNA(VLOOKUP(Master_Reference[[#This Row],[C-Flex 3000K 3W Part Number]],Lutron_CFlex_Lookup[],MATCH("Lutron Kit PN",Lutron_CFlex_Lookup[#Headers],0),FALSE),"")</f>
        <v/>
      </c>
      <c r="AK931" s="1" t="str">
        <f>_xlfn.IFNA(VLOOKUP(Master_Reference[[#This Row],[C-Flex 3500K 3W Part Number]],Lutron_CFlex_Lookup[],MATCH("Lutron Kit PN",Lutron_CFlex_Lookup[#Headers],0),FALSE),"")</f>
        <v/>
      </c>
      <c r="AL931" s="1" t="str">
        <f>_xlfn.IFNA(VLOOKUP(Master_Reference[[#This Row],[C-Flex 4000K 3W Part Number]],Lutron_CFlex_Lookup[],MATCH("Lutron Kit PN",Lutron_CFlex_Lookup[#Headers],0),FALSE),"")</f>
        <v/>
      </c>
      <c r="AM931" s="1" t="str">
        <f>_xlfn.IFNA(VLOOKUP(Master_Reference[[#This Row],[C-Flex 5000K 3W Part Number]],Lutron_CFlex_Lookup[],MATCH("Lutron Kit PN",Lutron_CFlex_Lookup[#Headers],0),FALSE),"")</f>
        <v/>
      </c>
      <c r="AN931" s="1" t="b">
        <f>NOT(ISNA(VLOOKUP(Master_Reference[[#This Row],[Model Number]],ObsoleteModels[],1,FALSE)))</f>
        <v>1</v>
      </c>
      <c r="AO931" s="1" t="str">
        <f>IF(LEFT(Master_Reference[[#This Row],[Model Number]],1)="U",LEFT(Master_Reference[[#This Row],[Model Number]],4),LEFT(Master_Reference[[#This Row],[Model Number]],3))</f>
        <v>RSP</v>
      </c>
    </row>
    <row r="932" spans="1:41" x14ac:dyDescent="0.25">
      <c r="A932" s="2" t="s">
        <v>1236</v>
      </c>
      <c r="B932" s="1"/>
      <c r="C932" s="1" t="b">
        <v>1</v>
      </c>
      <c r="G932" s="1" t="str">
        <f>IF(OR(LEFT(RIGHT(Master_Reference[[#This Row],[Model Number]],3),1)="C",LEFT(RIGHT(Master_Reference[[#This Row],[Model Number]],4),1)="C"),TRUE,"")</f>
        <v/>
      </c>
      <c r="H932" s="1" t="str">
        <f>IF(LEFT(Master_Reference[[#This Row],[Model Number]],1)="U",TRUE,"")</f>
        <v/>
      </c>
      <c r="I932" s="1" t="b">
        <f>IF(Master_Reference[[#This Row],[Lamp Type]]="T4","",IF(Master_Reference[[#This Row],[Case Type]]="M","",TRUE))</f>
        <v>1</v>
      </c>
      <c r="J932" s="1" t="s">
        <v>886</v>
      </c>
      <c r="K932" s="1">
        <v>95</v>
      </c>
      <c r="L932" s="1" t="s">
        <v>923</v>
      </c>
      <c r="M932" s="1">
        <v>1</v>
      </c>
      <c r="N932" s="1">
        <v>120</v>
      </c>
      <c r="O932" s="1" t="s">
        <v>144</v>
      </c>
      <c r="R932" t="b">
        <f>IF(COUNTBLANK(Master_Reference[[#This Row],[C-Flex 3000K Eco Part Number]:[C-Flex 4000K Eco Part Number]])=3,FALSE,TRUE)</f>
        <v>0</v>
      </c>
      <c r="S932" t="b">
        <f>IF(COUNTBLANK(Master_Reference[[#This Row],[C-Flex 3000K 3W Part Number]:[C-Flex 4000K 3W Part Number]])=3,FALSE,TRUE)</f>
        <v>0</v>
      </c>
      <c r="T932" s="1" t="b">
        <f>IF(COUNTBLANK(Master_Reference[[#This Row],[Lutron 3000K Eco Part Number]:[Lutron 4000K Eco Part Number]])=3,FALSE,TRUE)</f>
        <v>0</v>
      </c>
      <c r="U932" s="1" t="b">
        <f>IF(COUNTBLANK(Master_Reference[[#This Row],[Lutron 3000K 3W Part Number]:[Lutron 4000K 3W Part Number]])=3,FALSE,TRUE)</f>
        <v>0</v>
      </c>
      <c r="V932" s="13"/>
      <c r="W932" s="13"/>
      <c r="X932" s="12"/>
      <c r="Y932" t="s">
        <v>2125</v>
      </c>
      <c r="Z932" s="12"/>
      <c r="AA932" s="12"/>
      <c r="AB932" s="12"/>
      <c r="AC932" t="s">
        <v>2125</v>
      </c>
      <c r="AD932" t="str">
        <f>SUBSTITUTE(Master_Reference[[#This Row],[C-Flex 4000K Eco Part Number]],"40-","xx-")</f>
        <v/>
      </c>
      <c r="AE932" t="str">
        <f>SUBSTITUTE(Master_Reference[[#This Row],[C-Flex 4000K 3W Part Number]],"40-","xx-")</f>
        <v/>
      </c>
      <c r="AF932" s="1" t="str">
        <f>_xlfn.IFNA(VLOOKUP(Master_Reference[[#This Row],[C-Flex 3000K Eco Part Number]],Lutron_CFlex_Lookup[],MATCH("Lutron Kit PN",Lutron_CFlex_Lookup[#Headers],0),FALSE),"")</f>
        <v/>
      </c>
      <c r="AG932" s="1" t="str">
        <f>_xlfn.IFNA(VLOOKUP(Master_Reference[[#This Row],[C-Flex 3500K Eco Part Number]],Lutron_CFlex_Lookup[],MATCH("Lutron Kit PN",Lutron_CFlex_Lookup[#Headers],0),FALSE),"")</f>
        <v/>
      </c>
      <c r="AH932" s="1" t="str">
        <f>_xlfn.IFNA(VLOOKUP(Master_Reference[[#This Row],[C-Flex 4000K Eco Part Number]],Lutron_CFlex_Lookup[],MATCH("Lutron Kit PN",Lutron_CFlex_Lookup[#Headers],0),FALSE),"")</f>
        <v/>
      </c>
      <c r="AI932" s="1" t="str">
        <f>_xlfn.IFNA(VLOOKUP(Master_Reference[[#This Row],[C-Flex 5000K Eco Part Number]],Lutron_CFlex_Lookup[],MATCH("Lutron Kit PN",Lutron_CFlex_Lookup[#Headers],0),FALSE),"")</f>
        <v/>
      </c>
      <c r="AJ932" s="1" t="str">
        <f>_xlfn.IFNA(VLOOKUP(Master_Reference[[#This Row],[C-Flex 3000K 3W Part Number]],Lutron_CFlex_Lookup[],MATCH("Lutron Kit PN",Lutron_CFlex_Lookup[#Headers],0),FALSE),"")</f>
        <v/>
      </c>
      <c r="AK932" s="1" t="str">
        <f>_xlfn.IFNA(VLOOKUP(Master_Reference[[#This Row],[C-Flex 3500K 3W Part Number]],Lutron_CFlex_Lookup[],MATCH("Lutron Kit PN",Lutron_CFlex_Lookup[#Headers],0),FALSE),"")</f>
        <v/>
      </c>
      <c r="AL932" s="1" t="str">
        <f>_xlfn.IFNA(VLOOKUP(Master_Reference[[#This Row],[C-Flex 4000K 3W Part Number]],Lutron_CFlex_Lookup[],MATCH("Lutron Kit PN",Lutron_CFlex_Lookup[#Headers],0),FALSE),"")</f>
        <v/>
      </c>
      <c r="AM932" s="1" t="str">
        <f>_xlfn.IFNA(VLOOKUP(Master_Reference[[#This Row],[C-Flex 5000K 3W Part Number]],Lutron_CFlex_Lookup[],MATCH("Lutron Kit PN",Lutron_CFlex_Lookup[#Headers],0),FALSE),"")</f>
        <v/>
      </c>
      <c r="AN932" s="1" t="b">
        <f>NOT(ISNA(VLOOKUP(Master_Reference[[#This Row],[Model Number]],ObsoleteModels[],1,FALSE)))</f>
        <v>1</v>
      </c>
      <c r="AO932" s="1" t="str">
        <f>IF(LEFT(Master_Reference[[#This Row],[Model Number]],1)="U",LEFT(Master_Reference[[#This Row],[Model Number]],4),LEFT(Master_Reference[[#This Row],[Model Number]],3))</f>
        <v>RSP</v>
      </c>
    </row>
    <row r="933" spans="1:41" x14ac:dyDescent="0.25">
      <c r="A933" s="2" t="s">
        <v>1237</v>
      </c>
      <c r="B933" s="1"/>
      <c r="C933" s="1" t="b">
        <v>1</v>
      </c>
      <c r="G933" s="1" t="str">
        <f>IF(OR(LEFT(RIGHT(Master_Reference[[#This Row],[Model Number]],3),1)="C",LEFT(RIGHT(Master_Reference[[#This Row],[Model Number]],4),1)="C"),TRUE,"")</f>
        <v/>
      </c>
      <c r="H933" s="1" t="str">
        <f>IF(LEFT(Master_Reference[[#This Row],[Model Number]],1)="U",TRUE,"")</f>
        <v/>
      </c>
      <c r="I933" s="1" t="b">
        <f>IF(Master_Reference[[#This Row],[Lamp Type]]="T4","",IF(Master_Reference[[#This Row],[Case Type]]="M","",TRUE))</f>
        <v>1</v>
      </c>
      <c r="J933" s="1" t="s">
        <v>886</v>
      </c>
      <c r="K933" s="1">
        <v>110</v>
      </c>
      <c r="L933" s="1" t="s">
        <v>925</v>
      </c>
      <c r="M933" s="1">
        <v>1</v>
      </c>
      <c r="N933" s="1">
        <v>120</v>
      </c>
      <c r="O933" s="1" t="s">
        <v>144</v>
      </c>
      <c r="R933" t="b">
        <f>IF(COUNTBLANK(Master_Reference[[#This Row],[C-Flex 3000K Eco Part Number]:[C-Flex 4000K Eco Part Number]])=3,FALSE,TRUE)</f>
        <v>0</v>
      </c>
      <c r="S933" t="b">
        <f>IF(COUNTBLANK(Master_Reference[[#This Row],[C-Flex 3000K 3W Part Number]:[C-Flex 4000K 3W Part Number]])=3,FALSE,TRUE)</f>
        <v>0</v>
      </c>
      <c r="T933" s="1" t="b">
        <f>IF(COUNTBLANK(Master_Reference[[#This Row],[Lutron 3000K Eco Part Number]:[Lutron 4000K Eco Part Number]])=3,FALSE,TRUE)</f>
        <v>0</v>
      </c>
      <c r="U933" s="1" t="b">
        <f>IF(COUNTBLANK(Master_Reference[[#This Row],[Lutron 3000K 3W Part Number]:[Lutron 4000K 3W Part Number]])=3,FALSE,TRUE)</f>
        <v>0</v>
      </c>
      <c r="V933" s="13"/>
      <c r="W933" s="13"/>
      <c r="X933" s="12"/>
      <c r="Y933" t="s">
        <v>2125</v>
      </c>
      <c r="Z933" s="12"/>
      <c r="AA933" s="12"/>
      <c r="AB933" s="12"/>
      <c r="AC933" t="s">
        <v>2125</v>
      </c>
      <c r="AD933" t="str">
        <f>SUBSTITUTE(Master_Reference[[#This Row],[C-Flex 4000K Eco Part Number]],"40-","xx-")</f>
        <v/>
      </c>
      <c r="AE933" t="str">
        <f>SUBSTITUTE(Master_Reference[[#This Row],[C-Flex 4000K 3W Part Number]],"40-","xx-")</f>
        <v/>
      </c>
      <c r="AF933" s="1" t="str">
        <f>_xlfn.IFNA(VLOOKUP(Master_Reference[[#This Row],[C-Flex 3000K Eco Part Number]],Lutron_CFlex_Lookup[],MATCH("Lutron Kit PN",Lutron_CFlex_Lookup[#Headers],0),FALSE),"")</f>
        <v/>
      </c>
      <c r="AG933" s="1" t="str">
        <f>_xlfn.IFNA(VLOOKUP(Master_Reference[[#This Row],[C-Flex 3500K Eco Part Number]],Lutron_CFlex_Lookup[],MATCH("Lutron Kit PN",Lutron_CFlex_Lookup[#Headers],0),FALSE),"")</f>
        <v/>
      </c>
      <c r="AH933" s="1" t="str">
        <f>_xlfn.IFNA(VLOOKUP(Master_Reference[[#This Row],[C-Flex 4000K Eco Part Number]],Lutron_CFlex_Lookup[],MATCH("Lutron Kit PN",Lutron_CFlex_Lookup[#Headers],0),FALSE),"")</f>
        <v/>
      </c>
      <c r="AI933" s="1" t="str">
        <f>_xlfn.IFNA(VLOOKUP(Master_Reference[[#This Row],[C-Flex 5000K Eco Part Number]],Lutron_CFlex_Lookup[],MATCH("Lutron Kit PN",Lutron_CFlex_Lookup[#Headers],0),FALSE),"")</f>
        <v/>
      </c>
      <c r="AJ933" s="1" t="str">
        <f>_xlfn.IFNA(VLOOKUP(Master_Reference[[#This Row],[C-Flex 3000K 3W Part Number]],Lutron_CFlex_Lookup[],MATCH("Lutron Kit PN",Lutron_CFlex_Lookup[#Headers],0),FALSE),"")</f>
        <v/>
      </c>
      <c r="AK933" s="1" t="str">
        <f>_xlfn.IFNA(VLOOKUP(Master_Reference[[#This Row],[C-Flex 3500K 3W Part Number]],Lutron_CFlex_Lookup[],MATCH("Lutron Kit PN",Lutron_CFlex_Lookup[#Headers],0),FALSE),"")</f>
        <v/>
      </c>
      <c r="AL933" s="1" t="str">
        <f>_xlfn.IFNA(VLOOKUP(Master_Reference[[#This Row],[C-Flex 4000K 3W Part Number]],Lutron_CFlex_Lookup[],MATCH("Lutron Kit PN",Lutron_CFlex_Lookup[#Headers],0),FALSE),"")</f>
        <v/>
      </c>
      <c r="AM933" s="1" t="str">
        <f>_xlfn.IFNA(VLOOKUP(Master_Reference[[#This Row],[C-Flex 5000K 3W Part Number]],Lutron_CFlex_Lookup[],MATCH("Lutron Kit PN",Lutron_CFlex_Lookup[#Headers],0),FALSE),"")</f>
        <v/>
      </c>
      <c r="AN933" s="1" t="b">
        <f>NOT(ISNA(VLOOKUP(Master_Reference[[#This Row],[Model Number]],ObsoleteModels[],1,FALSE)))</f>
        <v>1</v>
      </c>
      <c r="AO933" s="1" t="str">
        <f>IF(LEFT(Master_Reference[[#This Row],[Model Number]],1)="U",LEFT(Master_Reference[[#This Row],[Model Number]],4),LEFT(Master_Reference[[#This Row],[Model Number]],3))</f>
        <v>RSP</v>
      </c>
    </row>
    <row r="934" spans="1:41" x14ac:dyDescent="0.25">
      <c r="A934" s="2" t="s">
        <v>1238</v>
      </c>
      <c r="B934" s="1"/>
      <c r="E934" s="1" t="b">
        <v>1</v>
      </c>
      <c r="G934" s="1" t="str">
        <f>IF(OR(LEFT(RIGHT(Master_Reference[[#This Row],[Model Number]],3),1)="C",LEFT(RIGHT(Master_Reference[[#This Row],[Model Number]],4),1)="C"),TRUE,"")</f>
        <v/>
      </c>
      <c r="H934" s="1" t="str">
        <f>IF(LEFT(Master_Reference[[#This Row],[Model Number]],1)="U",TRUE,"")</f>
        <v/>
      </c>
      <c r="I934" s="1" t="str">
        <f>IF(Master_Reference[[#This Row],[Lamp Type]]="T4","",IF(Master_Reference[[#This Row],[Case Type]]="M","",TRUE))</f>
        <v/>
      </c>
      <c r="J934" s="1" t="s">
        <v>87</v>
      </c>
      <c r="K934" s="1">
        <v>32</v>
      </c>
      <c r="L934" s="1" t="s">
        <v>88</v>
      </c>
      <c r="M934" s="1">
        <v>1</v>
      </c>
      <c r="N934" s="1">
        <v>120</v>
      </c>
      <c r="O934" s="1" t="s">
        <v>144</v>
      </c>
      <c r="P934" s="1" t="b">
        <v>1</v>
      </c>
      <c r="R934" t="b">
        <f>IF(COUNTBLANK(Master_Reference[[#This Row],[C-Flex 3000K Eco Part Number]:[C-Flex 4000K Eco Part Number]])=3,FALSE,TRUE)</f>
        <v>0</v>
      </c>
      <c r="S934" t="b">
        <f>IF(COUNTBLANK(Master_Reference[[#This Row],[C-Flex 3000K 3W Part Number]:[C-Flex 4000K 3W Part Number]])=3,FALSE,TRUE)</f>
        <v>0</v>
      </c>
      <c r="T934" s="1" t="b">
        <f>IF(COUNTBLANK(Master_Reference[[#This Row],[Lutron 3000K Eco Part Number]:[Lutron 4000K Eco Part Number]])=3,FALSE,TRUE)</f>
        <v>0</v>
      </c>
      <c r="U934" s="1" t="b">
        <f>IF(COUNTBLANK(Master_Reference[[#This Row],[Lutron 3000K 3W Part Number]:[Lutron 4000K 3W Part Number]])=3,FALSE,TRUE)</f>
        <v>0</v>
      </c>
      <c r="V934" s="13"/>
      <c r="W934" s="13"/>
      <c r="X934" s="12"/>
      <c r="Y934" t="s">
        <v>2125</v>
      </c>
      <c r="Z934" s="12"/>
      <c r="AA934" s="12"/>
      <c r="AB934" s="12"/>
      <c r="AC934" t="s">
        <v>2125</v>
      </c>
      <c r="AD934" t="str">
        <f>SUBSTITUTE(Master_Reference[[#This Row],[C-Flex 4000K Eco Part Number]],"40-","xx-")</f>
        <v/>
      </c>
      <c r="AE934" t="str">
        <f>SUBSTITUTE(Master_Reference[[#This Row],[C-Flex 4000K 3W Part Number]],"40-","xx-")</f>
        <v/>
      </c>
      <c r="AF934" s="1" t="str">
        <f>_xlfn.IFNA(VLOOKUP(Master_Reference[[#This Row],[C-Flex 3000K Eco Part Number]],Lutron_CFlex_Lookup[],MATCH("Lutron Kit PN",Lutron_CFlex_Lookup[#Headers],0),FALSE),"")</f>
        <v/>
      </c>
      <c r="AG934" s="1" t="str">
        <f>_xlfn.IFNA(VLOOKUP(Master_Reference[[#This Row],[C-Flex 3500K Eco Part Number]],Lutron_CFlex_Lookup[],MATCH("Lutron Kit PN",Lutron_CFlex_Lookup[#Headers],0),FALSE),"")</f>
        <v/>
      </c>
      <c r="AH934" s="1" t="str">
        <f>_xlfn.IFNA(VLOOKUP(Master_Reference[[#This Row],[C-Flex 4000K Eco Part Number]],Lutron_CFlex_Lookup[],MATCH("Lutron Kit PN",Lutron_CFlex_Lookup[#Headers],0),FALSE),"")</f>
        <v/>
      </c>
      <c r="AI934" s="1" t="str">
        <f>_xlfn.IFNA(VLOOKUP(Master_Reference[[#This Row],[C-Flex 5000K Eco Part Number]],Lutron_CFlex_Lookup[],MATCH("Lutron Kit PN",Lutron_CFlex_Lookup[#Headers],0),FALSE),"")</f>
        <v/>
      </c>
      <c r="AJ934" s="1" t="str">
        <f>_xlfn.IFNA(VLOOKUP(Master_Reference[[#This Row],[C-Flex 3000K 3W Part Number]],Lutron_CFlex_Lookup[],MATCH("Lutron Kit PN",Lutron_CFlex_Lookup[#Headers],0),FALSE),"")</f>
        <v/>
      </c>
      <c r="AK934" s="1" t="str">
        <f>_xlfn.IFNA(VLOOKUP(Master_Reference[[#This Row],[C-Flex 3500K 3W Part Number]],Lutron_CFlex_Lookup[],MATCH("Lutron Kit PN",Lutron_CFlex_Lookup[#Headers],0),FALSE),"")</f>
        <v/>
      </c>
      <c r="AL934" s="1" t="str">
        <f>_xlfn.IFNA(VLOOKUP(Master_Reference[[#This Row],[C-Flex 4000K 3W Part Number]],Lutron_CFlex_Lookup[],MATCH("Lutron Kit PN",Lutron_CFlex_Lookup[#Headers],0),FALSE),"")</f>
        <v/>
      </c>
      <c r="AM934" s="1" t="str">
        <f>_xlfn.IFNA(VLOOKUP(Master_Reference[[#This Row],[C-Flex 5000K 3W Part Number]],Lutron_CFlex_Lookup[],MATCH("Lutron Kit PN",Lutron_CFlex_Lookup[#Headers],0),FALSE),"")</f>
        <v/>
      </c>
      <c r="AN934" s="1" t="b">
        <f>NOT(ISNA(VLOOKUP(Master_Reference[[#This Row],[Model Number]],ObsoleteModels[],1,FALSE)))</f>
        <v>1</v>
      </c>
      <c r="AO934" s="1" t="str">
        <f>IF(LEFT(Master_Reference[[#This Row],[Model Number]],1)="U",LEFT(Master_Reference[[#This Row],[Model Number]],4),LEFT(Master_Reference[[#This Row],[Model Number]],3))</f>
        <v>TVE</v>
      </c>
    </row>
    <row r="935" spans="1:41" x14ac:dyDescent="0.25">
      <c r="A935" s="2" t="s">
        <v>1239</v>
      </c>
      <c r="B935" s="1"/>
      <c r="E935" s="1" t="b">
        <v>1</v>
      </c>
      <c r="G935" s="1" t="str">
        <f>IF(OR(LEFT(RIGHT(Master_Reference[[#This Row],[Model Number]],3),1)="C",LEFT(RIGHT(Master_Reference[[#This Row],[Model Number]],4),1)="C"),TRUE,"")</f>
        <v/>
      </c>
      <c r="H935" s="1" t="str">
        <f>IF(LEFT(Master_Reference[[#This Row],[Model Number]],1)="U",TRUE,"")</f>
        <v/>
      </c>
      <c r="I935" s="1" t="str">
        <f>IF(Master_Reference[[#This Row],[Lamp Type]]="T4","",IF(Master_Reference[[#This Row],[Case Type]]="M","",TRUE))</f>
        <v/>
      </c>
      <c r="J935" s="1" t="s">
        <v>87</v>
      </c>
      <c r="K935" s="1">
        <v>32</v>
      </c>
      <c r="L935" s="1" t="s">
        <v>88</v>
      </c>
      <c r="M935" s="1">
        <v>1</v>
      </c>
      <c r="N935" s="1">
        <v>120</v>
      </c>
      <c r="O935" s="1" t="s">
        <v>144</v>
      </c>
      <c r="R935" t="b">
        <f>IF(COUNTBLANK(Master_Reference[[#This Row],[C-Flex 3000K Eco Part Number]:[C-Flex 4000K Eco Part Number]])=3,FALSE,TRUE)</f>
        <v>0</v>
      </c>
      <c r="S935" t="b">
        <f>IF(COUNTBLANK(Master_Reference[[#This Row],[C-Flex 3000K 3W Part Number]:[C-Flex 4000K 3W Part Number]])=3,FALSE,TRUE)</f>
        <v>0</v>
      </c>
      <c r="T935" s="1" t="b">
        <f>IF(COUNTBLANK(Master_Reference[[#This Row],[Lutron 3000K Eco Part Number]:[Lutron 4000K Eco Part Number]])=3,FALSE,TRUE)</f>
        <v>0</v>
      </c>
      <c r="U935" s="1" t="b">
        <f>IF(COUNTBLANK(Master_Reference[[#This Row],[Lutron 3000K 3W Part Number]:[Lutron 4000K 3W Part Number]])=3,FALSE,TRUE)</f>
        <v>0</v>
      </c>
      <c r="V935" s="13"/>
      <c r="W935" s="13"/>
      <c r="X935" s="12"/>
      <c r="Y935" t="s">
        <v>2125</v>
      </c>
      <c r="Z935" s="12"/>
      <c r="AA935" s="12"/>
      <c r="AB935" s="12"/>
      <c r="AC935" t="s">
        <v>2125</v>
      </c>
      <c r="AD935" t="str">
        <f>SUBSTITUTE(Master_Reference[[#This Row],[C-Flex 4000K Eco Part Number]],"40-","xx-")</f>
        <v/>
      </c>
      <c r="AE935" t="str">
        <f>SUBSTITUTE(Master_Reference[[#This Row],[C-Flex 4000K 3W Part Number]],"40-","xx-")</f>
        <v/>
      </c>
      <c r="AF935" s="1" t="str">
        <f>_xlfn.IFNA(VLOOKUP(Master_Reference[[#This Row],[C-Flex 3000K Eco Part Number]],Lutron_CFlex_Lookup[],MATCH("Lutron Kit PN",Lutron_CFlex_Lookup[#Headers],0),FALSE),"")</f>
        <v/>
      </c>
      <c r="AG935" s="1" t="str">
        <f>_xlfn.IFNA(VLOOKUP(Master_Reference[[#This Row],[C-Flex 3500K Eco Part Number]],Lutron_CFlex_Lookup[],MATCH("Lutron Kit PN",Lutron_CFlex_Lookup[#Headers],0),FALSE),"")</f>
        <v/>
      </c>
      <c r="AH935" s="1" t="str">
        <f>_xlfn.IFNA(VLOOKUP(Master_Reference[[#This Row],[C-Flex 4000K Eco Part Number]],Lutron_CFlex_Lookup[],MATCH("Lutron Kit PN",Lutron_CFlex_Lookup[#Headers],0),FALSE),"")</f>
        <v/>
      </c>
      <c r="AI935" s="1" t="str">
        <f>_xlfn.IFNA(VLOOKUP(Master_Reference[[#This Row],[C-Flex 5000K Eco Part Number]],Lutron_CFlex_Lookup[],MATCH("Lutron Kit PN",Lutron_CFlex_Lookup[#Headers],0),FALSE),"")</f>
        <v/>
      </c>
      <c r="AJ935" s="1" t="str">
        <f>_xlfn.IFNA(VLOOKUP(Master_Reference[[#This Row],[C-Flex 3000K 3W Part Number]],Lutron_CFlex_Lookup[],MATCH("Lutron Kit PN",Lutron_CFlex_Lookup[#Headers],0),FALSE),"")</f>
        <v/>
      </c>
      <c r="AK935" s="1" t="str">
        <f>_xlfn.IFNA(VLOOKUP(Master_Reference[[#This Row],[C-Flex 3500K 3W Part Number]],Lutron_CFlex_Lookup[],MATCH("Lutron Kit PN",Lutron_CFlex_Lookup[#Headers],0),FALSE),"")</f>
        <v/>
      </c>
      <c r="AL935" s="1" t="str">
        <f>_xlfn.IFNA(VLOOKUP(Master_Reference[[#This Row],[C-Flex 4000K 3W Part Number]],Lutron_CFlex_Lookup[],MATCH("Lutron Kit PN",Lutron_CFlex_Lookup[#Headers],0),FALSE),"")</f>
        <v/>
      </c>
      <c r="AM935" s="1" t="str">
        <f>_xlfn.IFNA(VLOOKUP(Master_Reference[[#This Row],[C-Flex 5000K 3W Part Number]],Lutron_CFlex_Lookup[],MATCH("Lutron Kit PN",Lutron_CFlex_Lookup[#Headers],0),FALSE),"")</f>
        <v/>
      </c>
      <c r="AN935" s="1" t="b">
        <f>NOT(ISNA(VLOOKUP(Master_Reference[[#This Row],[Model Number]],ObsoleteModels[],1,FALSE)))</f>
        <v>1</v>
      </c>
      <c r="AO935" s="1" t="str">
        <f>IF(LEFT(Master_Reference[[#This Row],[Model Number]],1)="U",LEFT(Master_Reference[[#This Row],[Model Number]],4),LEFT(Master_Reference[[#This Row],[Model Number]],3))</f>
        <v>TVE</v>
      </c>
    </row>
    <row r="936" spans="1:41" x14ac:dyDescent="0.25">
      <c r="A936" s="2" t="s">
        <v>1240</v>
      </c>
      <c r="B936" s="1"/>
      <c r="E936" s="1" t="b">
        <v>1</v>
      </c>
      <c r="G936" s="1" t="str">
        <f>IF(OR(LEFT(RIGHT(Master_Reference[[#This Row],[Model Number]],3),1)="C",LEFT(RIGHT(Master_Reference[[#This Row],[Model Number]],4),1)="C"),TRUE,"")</f>
        <v/>
      </c>
      <c r="H936" s="1" t="str">
        <f>IF(LEFT(Master_Reference[[#This Row],[Model Number]],1)="U",TRUE,"")</f>
        <v/>
      </c>
      <c r="I936" s="1" t="b">
        <f>IF(Master_Reference[[#This Row],[Lamp Type]]="T4","",IF(Master_Reference[[#This Row],[Case Type]]="M","",TRUE))</f>
        <v>1</v>
      </c>
      <c r="J936" s="1" t="s">
        <v>215</v>
      </c>
      <c r="K936" s="1">
        <v>40</v>
      </c>
      <c r="L936" s="1" t="s">
        <v>225</v>
      </c>
      <c r="M936" s="1">
        <v>2</v>
      </c>
      <c r="N936" s="1">
        <v>120</v>
      </c>
      <c r="O936" s="1" t="s">
        <v>144</v>
      </c>
      <c r="R936" t="b">
        <f>IF(COUNTBLANK(Master_Reference[[#This Row],[C-Flex 3000K Eco Part Number]:[C-Flex 4000K Eco Part Number]])=3,FALSE,TRUE)</f>
        <v>0</v>
      </c>
      <c r="S936" t="b">
        <f>IF(COUNTBLANK(Master_Reference[[#This Row],[C-Flex 3000K 3W Part Number]:[C-Flex 4000K 3W Part Number]])=3,FALSE,TRUE)</f>
        <v>0</v>
      </c>
      <c r="T936" s="1" t="b">
        <f>IF(COUNTBLANK(Master_Reference[[#This Row],[Lutron 3000K Eco Part Number]:[Lutron 4000K Eco Part Number]])=3,FALSE,TRUE)</f>
        <v>0</v>
      </c>
      <c r="U936" s="1" t="b">
        <f>IF(COUNTBLANK(Master_Reference[[#This Row],[Lutron 3000K 3W Part Number]:[Lutron 4000K 3W Part Number]])=3,FALSE,TRUE)</f>
        <v>0</v>
      </c>
      <c r="V936" s="13"/>
      <c r="W936" s="13"/>
      <c r="X936" s="12"/>
      <c r="Y936" t="s">
        <v>2125</v>
      </c>
      <c r="Z936" s="12"/>
      <c r="AA936" s="12"/>
      <c r="AB936" s="12"/>
      <c r="AC936" t="s">
        <v>2125</v>
      </c>
      <c r="AD936" t="str">
        <f>SUBSTITUTE(Master_Reference[[#This Row],[C-Flex 4000K Eco Part Number]],"40-","xx-")</f>
        <v/>
      </c>
      <c r="AE936" t="str">
        <f>SUBSTITUTE(Master_Reference[[#This Row],[C-Flex 4000K 3W Part Number]],"40-","xx-")</f>
        <v/>
      </c>
      <c r="AF936" s="1" t="str">
        <f>_xlfn.IFNA(VLOOKUP(Master_Reference[[#This Row],[C-Flex 3000K Eco Part Number]],Lutron_CFlex_Lookup[],MATCH("Lutron Kit PN",Lutron_CFlex_Lookup[#Headers],0),FALSE),"")</f>
        <v/>
      </c>
      <c r="AG936" s="1" t="str">
        <f>_xlfn.IFNA(VLOOKUP(Master_Reference[[#This Row],[C-Flex 3500K Eco Part Number]],Lutron_CFlex_Lookup[],MATCH("Lutron Kit PN",Lutron_CFlex_Lookup[#Headers],0),FALSE),"")</f>
        <v/>
      </c>
      <c r="AH936" s="1" t="str">
        <f>_xlfn.IFNA(VLOOKUP(Master_Reference[[#This Row],[C-Flex 4000K Eco Part Number]],Lutron_CFlex_Lookup[],MATCH("Lutron Kit PN",Lutron_CFlex_Lookup[#Headers],0),FALSE),"")</f>
        <v/>
      </c>
      <c r="AI936" s="1" t="str">
        <f>_xlfn.IFNA(VLOOKUP(Master_Reference[[#This Row],[C-Flex 5000K Eco Part Number]],Lutron_CFlex_Lookup[],MATCH("Lutron Kit PN",Lutron_CFlex_Lookup[#Headers],0),FALSE),"")</f>
        <v/>
      </c>
      <c r="AJ936" s="1" t="str">
        <f>_xlfn.IFNA(VLOOKUP(Master_Reference[[#This Row],[C-Flex 3000K 3W Part Number]],Lutron_CFlex_Lookup[],MATCH("Lutron Kit PN",Lutron_CFlex_Lookup[#Headers],0),FALSE),"")</f>
        <v/>
      </c>
      <c r="AK936" s="1" t="str">
        <f>_xlfn.IFNA(VLOOKUP(Master_Reference[[#This Row],[C-Flex 3500K 3W Part Number]],Lutron_CFlex_Lookup[],MATCH("Lutron Kit PN",Lutron_CFlex_Lookup[#Headers],0),FALSE),"")</f>
        <v/>
      </c>
      <c r="AL936" s="1" t="str">
        <f>_xlfn.IFNA(VLOOKUP(Master_Reference[[#This Row],[C-Flex 4000K 3W Part Number]],Lutron_CFlex_Lookup[],MATCH("Lutron Kit PN",Lutron_CFlex_Lookup[#Headers],0),FALSE),"")</f>
        <v/>
      </c>
      <c r="AM936" s="1" t="str">
        <f>_xlfn.IFNA(VLOOKUP(Master_Reference[[#This Row],[C-Flex 5000K 3W Part Number]],Lutron_CFlex_Lookup[],MATCH("Lutron Kit PN",Lutron_CFlex_Lookup[#Headers],0),FALSE),"")</f>
        <v/>
      </c>
      <c r="AN936" s="1" t="b">
        <f>NOT(ISNA(VLOOKUP(Master_Reference[[#This Row],[Model Number]],ObsoleteModels[],1,FALSE)))</f>
        <v>1</v>
      </c>
      <c r="AO936" s="1" t="str">
        <f>IF(LEFT(Master_Reference[[#This Row],[Model Number]],1)="U",LEFT(Master_Reference[[#This Row],[Model Number]],4),LEFT(Master_Reference[[#This Row],[Model Number]],3))</f>
        <v>TVE</v>
      </c>
    </row>
    <row r="937" spans="1:41" x14ac:dyDescent="0.25">
      <c r="A937" s="2" t="s">
        <v>1241</v>
      </c>
      <c r="B937" s="1"/>
      <c r="E937" s="1" t="b">
        <v>1</v>
      </c>
      <c r="G937" s="1" t="str">
        <f>IF(OR(LEFT(RIGHT(Master_Reference[[#This Row],[Model Number]],3),1)="C",LEFT(RIGHT(Master_Reference[[#This Row],[Model Number]],4),1)="C"),TRUE,"")</f>
        <v/>
      </c>
      <c r="H937" s="1" t="str">
        <f>IF(LEFT(Master_Reference[[#This Row],[Model Number]],1)="U",TRUE,"")</f>
        <v/>
      </c>
      <c r="I937" s="1" t="b">
        <f>IF(Master_Reference[[#This Row],[Lamp Type]]="T4","",IF(Master_Reference[[#This Row],[Case Type]]="M","",TRUE))</f>
        <v>1</v>
      </c>
      <c r="J937" s="1" t="s">
        <v>215</v>
      </c>
      <c r="K937" s="1">
        <v>40</v>
      </c>
      <c r="L937" s="1" t="s">
        <v>225</v>
      </c>
      <c r="M937" s="1">
        <v>3</v>
      </c>
      <c r="N937" s="1">
        <v>120</v>
      </c>
      <c r="O937" s="1" t="s">
        <v>144</v>
      </c>
      <c r="R937" t="b">
        <f>IF(COUNTBLANK(Master_Reference[[#This Row],[C-Flex 3000K Eco Part Number]:[C-Flex 4000K Eco Part Number]])=3,FALSE,TRUE)</f>
        <v>0</v>
      </c>
      <c r="S937" t="b">
        <f>IF(COUNTBLANK(Master_Reference[[#This Row],[C-Flex 3000K 3W Part Number]:[C-Flex 4000K 3W Part Number]])=3,FALSE,TRUE)</f>
        <v>0</v>
      </c>
      <c r="T937" s="1" t="b">
        <f>IF(COUNTBLANK(Master_Reference[[#This Row],[Lutron 3000K Eco Part Number]:[Lutron 4000K Eco Part Number]])=3,FALSE,TRUE)</f>
        <v>0</v>
      </c>
      <c r="U937" s="1" t="b">
        <f>IF(COUNTBLANK(Master_Reference[[#This Row],[Lutron 3000K 3W Part Number]:[Lutron 4000K 3W Part Number]])=3,FALSE,TRUE)</f>
        <v>0</v>
      </c>
      <c r="V937" s="13"/>
      <c r="W937" s="13"/>
      <c r="X937" s="12"/>
      <c r="Y937" t="s">
        <v>2125</v>
      </c>
      <c r="Z937" s="12"/>
      <c r="AA937" s="12"/>
      <c r="AB937" s="12"/>
      <c r="AC937" t="s">
        <v>2125</v>
      </c>
      <c r="AD937" t="str">
        <f>SUBSTITUTE(Master_Reference[[#This Row],[C-Flex 4000K Eco Part Number]],"40-","xx-")</f>
        <v/>
      </c>
      <c r="AE937" t="str">
        <f>SUBSTITUTE(Master_Reference[[#This Row],[C-Flex 4000K 3W Part Number]],"40-","xx-")</f>
        <v/>
      </c>
      <c r="AF937" s="1" t="str">
        <f>_xlfn.IFNA(VLOOKUP(Master_Reference[[#This Row],[C-Flex 3000K Eco Part Number]],Lutron_CFlex_Lookup[],MATCH("Lutron Kit PN",Lutron_CFlex_Lookup[#Headers],0),FALSE),"")</f>
        <v/>
      </c>
      <c r="AG937" s="1" t="str">
        <f>_xlfn.IFNA(VLOOKUP(Master_Reference[[#This Row],[C-Flex 3500K Eco Part Number]],Lutron_CFlex_Lookup[],MATCH("Lutron Kit PN",Lutron_CFlex_Lookup[#Headers],0),FALSE),"")</f>
        <v/>
      </c>
      <c r="AH937" s="1" t="str">
        <f>_xlfn.IFNA(VLOOKUP(Master_Reference[[#This Row],[C-Flex 4000K Eco Part Number]],Lutron_CFlex_Lookup[],MATCH("Lutron Kit PN",Lutron_CFlex_Lookup[#Headers],0),FALSE),"")</f>
        <v/>
      </c>
      <c r="AI937" s="1" t="str">
        <f>_xlfn.IFNA(VLOOKUP(Master_Reference[[#This Row],[C-Flex 5000K Eco Part Number]],Lutron_CFlex_Lookup[],MATCH("Lutron Kit PN",Lutron_CFlex_Lookup[#Headers],0),FALSE),"")</f>
        <v/>
      </c>
      <c r="AJ937" s="1" t="str">
        <f>_xlfn.IFNA(VLOOKUP(Master_Reference[[#This Row],[C-Flex 3000K 3W Part Number]],Lutron_CFlex_Lookup[],MATCH("Lutron Kit PN",Lutron_CFlex_Lookup[#Headers],0),FALSE),"")</f>
        <v/>
      </c>
      <c r="AK937" s="1" t="str">
        <f>_xlfn.IFNA(VLOOKUP(Master_Reference[[#This Row],[C-Flex 3500K 3W Part Number]],Lutron_CFlex_Lookup[],MATCH("Lutron Kit PN",Lutron_CFlex_Lookup[#Headers],0),FALSE),"")</f>
        <v/>
      </c>
      <c r="AL937" s="1" t="str">
        <f>_xlfn.IFNA(VLOOKUP(Master_Reference[[#This Row],[C-Flex 4000K 3W Part Number]],Lutron_CFlex_Lookup[],MATCH("Lutron Kit PN",Lutron_CFlex_Lookup[#Headers],0),FALSE),"")</f>
        <v/>
      </c>
      <c r="AM937" s="1" t="str">
        <f>_xlfn.IFNA(VLOOKUP(Master_Reference[[#This Row],[C-Flex 5000K 3W Part Number]],Lutron_CFlex_Lookup[],MATCH("Lutron Kit PN",Lutron_CFlex_Lookup[#Headers],0),FALSE),"")</f>
        <v/>
      </c>
      <c r="AN937" s="1" t="b">
        <f>NOT(ISNA(VLOOKUP(Master_Reference[[#This Row],[Model Number]],ObsoleteModels[],1,FALSE)))</f>
        <v>1</v>
      </c>
      <c r="AO937" s="1" t="str">
        <f>IF(LEFT(Master_Reference[[#This Row],[Model Number]],1)="U",LEFT(Master_Reference[[#This Row],[Model Number]],4),LEFT(Master_Reference[[#This Row],[Model Number]],3))</f>
        <v>TVE</v>
      </c>
    </row>
    <row r="938" spans="1:41" x14ac:dyDescent="0.25">
      <c r="A938" s="2" t="s">
        <v>1242</v>
      </c>
      <c r="B938" s="1"/>
      <c r="E938" s="1" t="b">
        <v>1</v>
      </c>
      <c r="G938" s="1" t="str">
        <f>IF(OR(LEFT(RIGHT(Master_Reference[[#This Row],[Model Number]],3),1)="C",LEFT(RIGHT(Master_Reference[[#This Row],[Model Number]],4),1)="C"),TRUE,"")</f>
        <v/>
      </c>
      <c r="H938" s="1" t="str">
        <f>IF(LEFT(Master_Reference[[#This Row],[Model Number]],1)="U",TRUE,"")</f>
        <v/>
      </c>
      <c r="I938" s="1" t="b">
        <f>IF(Master_Reference[[#This Row],[Lamp Type]]="T4","",IF(Master_Reference[[#This Row],[Case Type]]="M","",TRUE))</f>
        <v>1</v>
      </c>
      <c r="J938" s="1" t="s">
        <v>215</v>
      </c>
      <c r="K938" s="1">
        <v>40</v>
      </c>
      <c r="L938" s="1" t="s">
        <v>225</v>
      </c>
      <c r="M938" s="1">
        <v>2</v>
      </c>
      <c r="N938" s="1">
        <v>277</v>
      </c>
      <c r="O938" s="1" t="s">
        <v>144</v>
      </c>
      <c r="R938" t="b">
        <f>IF(COUNTBLANK(Master_Reference[[#This Row],[C-Flex 3000K Eco Part Number]:[C-Flex 4000K Eco Part Number]])=3,FALSE,TRUE)</f>
        <v>0</v>
      </c>
      <c r="S938" t="b">
        <f>IF(COUNTBLANK(Master_Reference[[#This Row],[C-Flex 3000K 3W Part Number]:[C-Flex 4000K 3W Part Number]])=3,FALSE,TRUE)</f>
        <v>0</v>
      </c>
      <c r="T938" s="1" t="b">
        <f>IF(COUNTBLANK(Master_Reference[[#This Row],[Lutron 3000K Eco Part Number]:[Lutron 4000K Eco Part Number]])=3,FALSE,TRUE)</f>
        <v>0</v>
      </c>
      <c r="U938" s="1" t="b">
        <f>IF(COUNTBLANK(Master_Reference[[#This Row],[Lutron 3000K 3W Part Number]:[Lutron 4000K 3W Part Number]])=3,FALSE,TRUE)</f>
        <v>0</v>
      </c>
      <c r="V938" s="13"/>
      <c r="W938" s="13"/>
      <c r="X938" s="12"/>
      <c r="Y938" t="s">
        <v>2125</v>
      </c>
      <c r="Z938" s="12"/>
      <c r="AA938" s="12"/>
      <c r="AB938" s="12"/>
      <c r="AC938" t="s">
        <v>2125</v>
      </c>
      <c r="AD938" t="str">
        <f>SUBSTITUTE(Master_Reference[[#This Row],[C-Flex 4000K Eco Part Number]],"40-","xx-")</f>
        <v/>
      </c>
      <c r="AE938" t="str">
        <f>SUBSTITUTE(Master_Reference[[#This Row],[C-Flex 4000K 3W Part Number]],"40-","xx-")</f>
        <v/>
      </c>
      <c r="AF938" s="1" t="str">
        <f>_xlfn.IFNA(VLOOKUP(Master_Reference[[#This Row],[C-Flex 3000K Eco Part Number]],Lutron_CFlex_Lookup[],MATCH("Lutron Kit PN",Lutron_CFlex_Lookup[#Headers],0),FALSE),"")</f>
        <v/>
      </c>
      <c r="AG938" s="1" t="str">
        <f>_xlfn.IFNA(VLOOKUP(Master_Reference[[#This Row],[C-Flex 3500K Eco Part Number]],Lutron_CFlex_Lookup[],MATCH("Lutron Kit PN",Lutron_CFlex_Lookup[#Headers],0),FALSE),"")</f>
        <v/>
      </c>
      <c r="AH938" s="1" t="str">
        <f>_xlfn.IFNA(VLOOKUP(Master_Reference[[#This Row],[C-Flex 4000K Eco Part Number]],Lutron_CFlex_Lookup[],MATCH("Lutron Kit PN",Lutron_CFlex_Lookup[#Headers],0),FALSE),"")</f>
        <v/>
      </c>
      <c r="AI938" s="1" t="str">
        <f>_xlfn.IFNA(VLOOKUP(Master_Reference[[#This Row],[C-Flex 5000K Eco Part Number]],Lutron_CFlex_Lookup[],MATCH("Lutron Kit PN",Lutron_CFlex_Lookup[#Headers],0),FALSE),"")</f>
        <v/>
      </c>
      <c r="AJ938" s="1" t="str">
        <f>_xlfn.IFNA(VLOOKUP(Master_Reference[[#This Row],[C-Flex 3000K 3W Part Number]],Lutron_CFlex_Lookup[],MATCH("Lutron Kit PN",Lutron_CFlex_Lookup[#Headers],0),FALSE),"")</f>
        <v/>
      </c>
      <c r="AK938" s="1" t="str">
        <f>_xlfn.IFNA(VLOOKUP(Master_Reference[[#This Row],[C-Flex 3500K 3W Part Number]],Lutron_CFlex_Lookup[],MATCH("Lutron Kit PN",Lutron_CFlex_Lookup[#Headers],0),FALSE),"")</f>
        <v/>
      </c>
      <c r="AL938" s="1" t="str">
        <f>_xlfn.IFNA(VLOOKUP(Master_Reference[[#This Row],[C-Flex 4000K 3W Part Number]],Lutron_CFlex_Lookup[],MATCH("Lutron Kit PN",Lutron_CFlex_Lookup[#Headers],0),FALSE),"")</f>
        <v/>
      </c>
      <c r="AM938" s="1" t="str">
        <f>_xlfn.IFNA(VLOOKUP(Master_Reference[[#This Row],[C-Flex 5000K 3W Part Number]],Lutron_CFlex_Lookup[],MATCH("Lutron Kit PN",Lutron_CFlex_Lookup[#Headers],0),FALSE),"")</f>
        <v/>
      </c>
      <c r="AN938" s="1" t="b">
        <f>NOT(ISNA(VLOOKUP(Master_Reference[[#This Row],[Model Number]],ObsoleteModels[],1,FALSE)))</f>
        <v>1</v>
      </c>
      <c r="AO938" s="1" t="str">
        <f>IF(LEFT(Master_Reference[[#This Row],[Model Number]],1)="U",LEFT(Master_Reference[[#This Row],[Model Number]],4),LEFT(Master_Reference[[#This Row],[Model Number]],3))</f>
        <v>TVE</v>
      </c>
    </row>
    <row r="939" spans="1:41" x14ac:dyDescent="0.25">
      <c r="A939" s="2" t="s">
        <v>1243</v>
      </c>
      <c r="B939" s="1"/>
      <c r="E939" s="1" t="b">
        <v>1</v>
      </c>
      <c r="G939" s="1" t="str">
        <f>IF(OR(LEFT(RIGHT(Master_Reference[[#This Row],[Model Number]],3),1)="C",LEFT(RIGHT(Master_Reference[[#This Row],[Model Number]],4),1)="C"),TRUE,"")</f>
        <v/>
      </c>
      <c r="H939" s="1" t="str">
        <f>IF(LEFT(Master_Reference[[#This Row],[Model Number]],1)="U",TRUE,"")</f>
        <v/>
      </c>
      <c r="I939" s="1" t="b">
        <f>IF(Master_Reference[[#This Row],[Lamp Type]]="T4","",IF(Master_Reference[[#This Row],[Case Type]]="M","",TRUE))</f>
        <v>1</v>
      </c>
      <c r="J939" s="1" t="s">
        <v>111</v>
      </c>
      <c r="K939" s="1">
        <v>17</v>
      </c>
      <c r="L939" s="1" t="s">
        <v>112</v>
      </c>
      <c r="M939" s="1">
        <v>1</v>
      </c>
      <c r="N939" s="1">
        <v>120</v>
      </c>
      <c r="O939" s="1" t="s">
        <v>144</v>
      </c>
      <c r="R939" t="b">
        <f>IF(COUNTBLANK(Master_Reference[[#This Row],[C-Flex 3000K Eco Part Number]:[C-Flex 4000K Eco Part Number]])=3,FALSE,TRUE)</f>
        <v>0</v>
      </c>
      <c r="S939" t="b">
        <f>IF(COUNTBLANK(Master_Reference[[#This Row],[C-Flex 3000K 3W Part Number]:[C-Flex 4000K 3W Part Number]])=3,FALSE,TRUE)</f>
        <v>0</v>
      </c>
      <c r="T939" t="b">
        <f>IF(COUNTBLANK(Master_Reference[[#This Row],[Lutron 3000K Eco Part Number]:[Lutron 4000K Eco Part Number]])=3,FALSE,TRUE)</f>
        <v>0</v>
      </c>
      <c r="U939" t="b">
        <f>IF(COUNTBLANK(Master_Reference[[#This Row],[Lutron 3000K 3W Part Number]:[Lutron 4000K 3W Part Number]])=3,FALSE,TRUE)</f>
        <v>0</v>
      </c>
      <c r="V939" s="12"/>
      <c r="W939" s="12"/>
      <c r="X939" s="12"/>
      <c r="Y939" t="s">
        <v>2125</v>
      </c>
      <c r="Z939" s="12"/>
      <c r="AA939" s="12"/>
      <c r="AB939" s="12"/>
      <c r="AC939" t="s">
        <v>2125</v>
      </c>
      <c r="AD939" t="str">
        <f>SUBSTITUTE(Master_Reference[[#This Row],[C-Flex 4000K Eco Part Number]],"40-","xx-")</f>
        <v/>
      </c>
      <c r="AE939" t="str">
        <f>SUBSTITUTE(Master_Reference[[#This Row],[C-Flex 4000K 3W Part Number]],"40-","xx-")</f>
        <v/>
      </c>
      <c r="AF939" s="1" t="str">
        <f>_xlfn.IFNA(VLOOKUP(Master_Reference[[#This Row],[C-Flex 3000K Eco Part Number]],Lutron_CFlex_Lookup[],MATCH("Lutron Kit PN",Lutron_CFlex_Lookup[#Headers],0),FALSE),"")</f>
        <v/>
      </c>
      <c r="AG939" s="1" t="str">
        <f>_xlfn.IFNA(VLOOKUP(Master_Reference[[#This Row],[C-Flex 3500K Eco Part Number]],Lutron_CFlex_Lookup[],MATCH("Lutron Kit PN",Lutron_CFlex_Lookup[#Headers],0),FALSE),"")</f>
        <v/>
      </c>
      <c r="AH939" s="1" t="str">
        <f>_xlfn.IFNA(VLOOKUP(Master_Reference[[#This Row],[C-Flex 4000K Eco Part Number]],Lutron_CFlex_Lookup[],MATCH("Lutron Kit PN",Lutron_CFlex_Lookup[#Headers],0),FALSE),"")</f>
        <v/>
      </c>
      <c r="AI939" s="1" t="str">
        <f>_xlfn.IFNA(VLOOKUP(Master_Reference[[#This Row],[C-Flex 5000K Eco Part Number]],Lutron_CFlex_Lookup[],MATCH("Lutron Kit PN",Lutron_CFlex_Lookup[#Headers],0),FALSE),"")</f>
        <v/>
      </c>
      <c r="AJ939" s="1" t="str">
        <f>_xlfn.IFNA(VLOOKUP(Master_Reference[[#This Row],[C-Flex 3000K 3W Part Number]],Lutron_CFlex_Lookup[],MATCH("Lutron Kit PN",Lutron_CFlex_Lookup[#Headers],0),FALSE),"")</f>
        <v/>
      </c>
      <c r="AK939" s="1" t="str">
        <f>_xlfn.IFNA(VLOOKUP(Master_Reference[[#This Row],[C-Flex 3500K 3W Part Number]],Lutron_CFlex_Lookup[],MATCH("Lutron Kit PN",Lutron_CFlex_Lookup[#Headers],0),FALSE),"")</f>
        <v/>
      </c>
      <c r="AL939" s="1" t="str">
        <f>_xlfn.IFNA(VLOOKUP(Master_Reference[[#This Row],[C-Flex 4000K 3W Part Number]],Lutron_CFlex_Lookup[],MATCH("Lutron Kit PN",Lutron_CFlex_Lookup[#Headers],0),FALSE),"")</f>
        <v/>
      </c>
      <c r="AM939" s="1" t="str">
        <f>_xlfn.IFNA(VLOOKUP(Master_Reference[[#This Row],[C-Flex 5000K 3W Part Number]],Lutron_CFlex_Lookup[],MATCH("Lutron Kit PN",Lutron_CFlex_Lookup[#Headers],0),FALSE),"")</f>
        <v/>
      </c>
      <c r="AN939" s="1" t="b">
        <f>NOT(ISNA(VLOOKUP(Master_Reference[[#This Row],[Model Number]],ObsoleteModels[],1,FALSE)))</f>
        <v>1</v>
      </c>
      <c r="AO939" s="1" t="str">
        <f>IF(LEFT(Master_Reference[[#This Row],[Model Number]],1)="U",LEFT(Master_Reference[[#This Row],[Model Number]],4),LEFT(Master_Reference[[#This Row],[Model Number]],3))</f>
        <v>TVE</v>
      </c>
    </row>
    <row r="940" spans="1:41" x14ac:dyDescent="0.25">
      <c r="A940" s="2" t="s">
        <v>1244</v>
      </c>
      <c r="B940" s="1"/>
      <c r="E940" s="1" t="b">
        <v>1</v>
      </c>
      <c r="G940" s="1" t="str">
        <f>IF(OR(LEFT(RIGHT(Master_Reference[[#This Row],[Model Number]],3),1)="C",LEFT(RIGHT(Master_Reference[[#This Row],[Model Number]],4),1)="C"),TRUE,"")</f>
        <v/>
      </c>
      <c r="H940" s="1" t="str">
        <f>IF(LEFT(Master_Reference[[#This Row],[Model Number]],1)="U",TRUE,"")</f>
        <v/>
      </c>
      <c r="I940" s="1" t="b">
        <f>IF(Master_Reference[[#This Row],[Lamp Type]]="T4","",IF(Master_Reference[[#This Row],[Case Type]]="M","",TRUE))</f>
        <v>1</v>
      </c>
      <c r="J940" s="1" t="s">
        <v>111</v>
      </c>
      <c r="K940" s="1">
        <v>25</v>
      </c>
      <c r="L940" s="1" t="s">
        <v>115</v>
      </c>
      <c r="M940" s="1">
        <v>1</v>
      </c>
      <c r="N940" s="1">
        <v>120</v>
      </c>
      <c r="O940" s="1" t="s">
        <v>144</v>
      </c>
      <c r="R940" t="b">
        <f>IF(COUNTBLANK(Master_Reference[[#This Row],[C-Flex 3000K Eco Part Number]:[C-Flex 4000K Eco Part Number]])=3,FALSE,TRUE)</f>
        <v>0</v>
      </c>
      <c r="S940" t="b">
        <f>IF(COUNTBLANK(Master_Reference[[#This Row],[C-Flex 3000K 3W Part Number]:[C-Flex 4000K 3W Part Number]])=3,FALSE,TRUE)</f>
        <v>0</v>
      </c>
      <c r="T940" t="b">
        <f>IF(COUNTBLANK(Master_Reference[[#This Row],[Lutron 3000K Eco Part Number]:[Lutron 4000K Eco Part Number]])=3,FALSE,TRUE)</f>
        <v>0</v>
      </c>
      <c r="U940" t="b">
        <f>IF(COUNTBLANK(Master_Reference[[#This Row],[Lutron 3000K 3W Part Number]:[Lutron 4000K 3W Part Number]])=3,FALSE,TRUE)</f>
        <v>0</v>
      </c>
      <c r="V940" s="12"/>
      <c r="W940" s="12"/>
      <c r="X940" s="12"/>
      <c r="Y940" t="s">
        <v>2125</v>
      </c>
      <c r="Z940" s="12"/>
      <c r="AA940" s="12"/>
      <c r="AB940" s="12"/>
      <c r="AC940" t="s">
        <v>2125</v>
      </c>
      <c r="AD940" t="str">
        <f>SUBSTITUTE(Master_Reference[[#This Row],[C-Flex 4000K Eco Part Number]],"40-","xx-")</f>
        <v/>
      </c>
      <c r="AE940" t="str">
        <f>SUBSTITUTE(Master_Reference[[#This Row],[C-Flex 4000K 3W Part Number]],"40-","xx-")</f>
        <v/>
      </c>
      <c r="AF940" s="1" t="str">
        <f>_xlfn.IFNA(VLOOKUP(Master_Reference[[#This Row],[C-Flex 3000K Eco Part Number]],Lutron_CFlex_Lookup[],MATCH("Lutron Kit PN",Lutron_CFlex_Lookup[#Headers],0),FALSE),"")</f>
        <v/>
      </c>
      <c r="AG940" s="1" t="str">
        <f>_xlfn.IFNA(VLOOKUP(Master_Reference[[#This Row],[C-Flex 3500K Eco Part Number]],Lutron_CFlex_Lookup[],MATCH("Lutron Kit PN",Lutron_CFlex_Lookup[#Headers],0),FALSE),"")</f>
        <v/>
      </c>
      <c r="AH940" s="1" t="str">
        <f>_xlfn.IFNA(VLOOKUP(Master_Reference[[#This Row],[C-Flex 4000K Eco Part Number]],Lutron_CFlex_Lookup[],MATCH("Lutron Kit PN",Lutron_CFlex_Lookup[#Headers],0),FALSE),"")</f>
        <v/>
      </c>
      <c r="AI940" s="1" t="str">
        <f>_xlfn.IFNA(VLOOKUP(Master_Reference[[#This Row],[C-Flex 5000K Eco Part Number]],Lutron_CFlex_Lookup[],MATCH("Lutron Kit PN",Lutron_CFlex_Lookup[#Headers],0),FALSE),"")</f>
        <v/>
      </c>
      <c r="AJ940" s="1" t="str">
        <f>_xlfn.IFNA(VLOOKUP(Master_Reference[[#This Row],[C-Flex 3000K 3W Part Number]],Lutron_CFlex_Lookup[],MATCH("Lutron Kit PN",Lutron_CFlex_Lookup[#Headers],0),FALSE),"")</f>
        <v/>
      </c>
      <c r="AK940" s="1" t="str">
        <f>_xlfn.IFNA(VLOOKUP(Master_Reference[[#This Row],[C-Flex 3500K 3W Part Number]],Lutron_CFlex_Lookup[],MATCH("Lutron Kit PN",Lutron_CFlex_Lookup[#Headers],0),FALSE),"")</f>
        <v/>
      </c>
      <c r="AL940" s="1" t="str">
        <f>_xlfn.IFNA(VLOOKUP(Master_Reference[[#This Row],[C-Flex 4000K 3W Part Number]],Lutron_CFlex_Lookup[],MATCH("Lutron Kit PN",Lutron_CFlex_Lookup[#Headers],0),FALSE),"")</f>
        <v/>
      </c>
      <c r="AM940" s="1" t="str">
        <f>_xlfn.IFNA(VLOOKUP(Master_Reference[[#This Row],[C-Flex 5000K 3W Part Number]],Lutron_CFlex_Lookup[],MATCH("Lutron Kit PN",Lutron_CFlex_Lookup[#Headers],0),FALSE),"")</f>
        <v/>
      </c>
      <c r="AN940" s="1" t="b">
        <f>NOT(ISNA(VLOOKUP(Master_Reference[[#This Row],[Model Number]],ObsoleteModels[],1,FALSE)))</f>
        <v>1</v>
      </c>
      <c r="AO940" s="1" t="str">
        <f>IF(LEFT(Master_Reference[[#This Row],[Model Number]],1)="U",LEFT(Master_Reference[[#This Row],[Model Number]],4),LEFT(Master_Reference[[#This Row],[Model Number]],3))</f>
        <v>TVE</v>
      </c>
    </row>
    <row r="941" spans="1:41" x14ac:dyDescent="0.25">
      <c r="A941" s="2" t="s">
        <v>1245</v>
      </c>
      <c r="B941" s="1"/>
      <c r="E941" s="1" t="b">
        <v>1</v>
      </c>
      <c r="G941" s="1" t="str">
        <f>IF(OR(LEFT(RIGHT(Master_Reference[[#This Row],[Model Number]],3),1)="C",LEFT(RIGHT(Master_Reference[[#This Row],[Model Number]],4),1)="C"),TRUE,"")</f>
        <v/>
      </c>
      <c r="H941" s="1" t="str">
        <f>IF(LEFT(Master_Reference[[#This Row],[Model Number]],1)="U",TRUE,"")</f>
        <v/>
      </c>
      <c r="I941" s="1" t="b">
        <f>IF(Master_Reference[[#This Row],[Lamp Type]]="T4","",IF(Master_Reference[[#This Row],[Case Type]]="M","",TRUE))</f>
        <v>1</v>
      </c>
      <c r="J941" s="1" t="s">
        <v>111</v>
      </c>
      <c r="K941" s="1">
        <v>32</v>
      </c>
      <c r="L941" s="1" t="s">
        <v>118</v>
      </c>
      <c r="M941" s="1">
        <v>1</v>
      </c>
      <c r="N941" s="1">
        <v>120</v>
      </c>
      <c r="O941" s="1" t="s">
        <v>144</v>
      </c>
      <c r="R941" t="b">
        <f>IF(COUNTBLANK(Master_Reference[[#This Row],[C-Flex 3000K Eco Part Number]:[C-Flex 4000K Eco Part Number]])=3,FALSE,TRUE)</f>
        <v>0</v>
      </c>
      <c r="S941" t="b">
        <f>IF(COUNTBLANK(Master_Reference[[#This Row],[C-Flex 3000K 3W Part Number]:[C-Flex 4000K 3W Part Number]])=3,FALSE,TRUE)</f>
        <v>0</v>
      </c>
      <c r="T941" t="b">
        <f>IF(COUNTBLANK(Master_Reference[[#This Row],[Lutron 3000K Eco Part Number]:[Lutron 4000K Eco Part Number]])=3,FALSE,TRUE)</f>
        <v>0</v>
      </c>
      <c r="U941" t="b">
        <f>IF(COUNTBLANK(Master_Reference[[#This Row],[Lutron 3000K 3W Part Number]:[Lutron 4000K 3W Part Number]])=3,FALSE,TRUE)</f>
        <v>0</v>
      </c>
      <c r="V941" s="12"/>
      <c r="W941" s="12"/>
      <c r="X941" s="12"/>
      <c r="Y941" t="s">
        <v>2125</v>
      </c>
      <c r="Z941" s="12"/>
      <c r="AA941" s="12"/>
      <c r="AB941" s="12"/>
      <c r="AC941" t="s">
        <v>2125</v>
      </c>
      <c r="AD941" t="str">
        <f>SUBSTITUTE(Master_Reference[[#This Row],[C-Flex 4000K Eco Part Number]],"40-","xx-")</f>
        <v/>
      </c>
      <c r="AE941" t="str">
        <f>SUBSTITUTE(Master_Reference[[#This Row],[C-Flex 4000K 3W Part Number]],"40-","xx-")</f>
        <v/>
      </c>
      <c r="AF941" s="1" t="str">
        <f>_xlfn.IFNA(VLOOKUP(Master_Reference[[#This Row],[C-Flex 3000K Eco Part Number]],Lutron_CFlex_Lookup[],MATCH("Lutron Kit PN",Lutron_CFlex_Lookup[#Headers],0),FALSE),"")</f>
        <v/>
      </c>
      <c r="AG941" s="1" t="str">
        <f>_xlfn.IFNA(VLOOKUP(Master_Reference[[#This Row],[C-Flex 3500K Eco Part Number]],Lutron_CFlex_Lookup[],MATCH("Lutron Kit PN",Lutron_CFlex_Lookup[#Headers],0),FALSE),"")</f>
        <v/>
      </c>
      <c r="AH941" s="1" t="str">
        <f>_xlfn.IFNA(VLOOKUP(Master_Reference[[#This Row],[C-Flex 4000K Eco Part Number]],Lutron_CFlex_Lookup[],MATCH("Lutron Kit PN",Lutron_CFlex_Lookup[#Headers],0),FALSE),"")</f>
        <v/>
      </c>
      <c r="AI941" s="1" t="str">
        <f>_xlfn.IFNA(VLOOKUP(Master_Reference[[#This Row],[C-Flex 5000K Eco Part Number]],Lutron_CFlex_Lookup[],MATCH("Lutron Kit PN",Lutron_CFlex_Lookup[#Headers],0),FALSE),"")</f>
        <v/>
      </c>
      <c r="AJ941" s="1" t="str">
        <f>_xlfn.IFNA(VLOOKUP(Master_Reference[[#This Row],[C-Flex 3000K 3W Part Number]],Lutron_CFlex_Lookup[],MATCH("Lutron Kit PN",Lutron_CFlex_Lookup[#Headers],0),FALSE),"")</f>
        <v/>
      </c>
      <c r="AK941" s="1" t="str">
        <f>_xlfn.IFNA(VLOOKUP(Master_Reference[[#This Row],[C-Flex 3500K 3W Part Number]],Lutron_CFlex_Lookup[],MATCH("Lutron Kit PN",Lutron_CFlex_Lookup[#Headers],0),FALSE),"")</f>
        <v/>
      </c>
      <c r="AL941" s="1" t="str">
        <f>_xlfn.IFNA(VLOOKUP(Master_Reference[[#This Row],[C-Flex 4000K 3W Part Number]],Lutron_CFlex_Lookup[],MATCH("Lutron Kit PN",Lutron_CFlex_Lookup[#Headers],0),FALSE),"")</f>
        <v/>
      </c>
      <c r="AM941" s="1" t="str">
        <f>_xlfn.IFNA(VLOOKUP(Master_Reference[[#This Row],[C-Flex 5000K 3W Part Number]],Lutron_CFlex_Lookup[],MATCH("Lutron Kit PN",Lutron_CFlex_Lookup[#Headers],0),FALSE),"")</f>
        <v/>
      </c>
      <c r="AN941" s="1" t="b">
        <f>NOT(ISNA(VLOOKUP(Master_Reference[[#This Row],[Model Number]],ObsoleteModels[],1,FALSE)))</f>
        <v>1</v>
      </c>
      <c r="AO941" s="1" t="str">
        <f>IF(LEFT(Master_Reference[[#This Row],[Model Number]],1)="U",LEFT(Master_Reference[[#This Row],[Model Number]],4),LEFT(Master_Reference[[#This Row],[Model Number]],3))</f>
        <v>TVE</v>
      </c>
    </row>
    <row r="942" spans="1:41" x14ac:dyDescent="0.25">
      <c r="A942" s="2" t="s">
        <v>1246</v>
      </c>
      <c r="B942" s="1"/>
      <c r="E942" s="1" t="b">
        <v>1</v>
      </c>
      <c r="G942" s="1" t="str">
        <f>IF(OR(LEFT(RIGHT(Master_Reference[[#This Row],[Model Number]],3),1)="C",LEFT(RIGHT(Master_Reference[[#This Row],[Model Number]],4),1)="C"),TRUE,"")</f>
        <v/>
      </c>
      <c r="H942" s="1" t="str">
        <f>IF(LEFT(Master_Reference[[#This Row],[Model Number]],1)="U",TRUE,"")</f>
        <v/>
      </c>
      <c r="I942" s="1" t="b">
        <f>IF(Master_Reference[[#This Row],[Lamp Type]]="T4","",IF(Master_Reference[[#This Row],[Case Type]]="M","",TRUE))</f>
        <v>1</v>
      </c>
      <c r="J942" s="1" t="s">
        <v>111</v>
      </c>
      <c r="K942" s="1">
        <v>32</v>
      </c>
      <c r="L942" s="1" t="s">
        <v>118</v>
      </c>
      <c r="M942" s="1">
        <v>2</v>
      </c>
      <c r="N942" s="1">
        <v>120</v>
      </c>
      <c r="O942" s="1" t="s">
        <v>144</v>
      </c>
      <c r="R942" t="b">
        <f>IF(COUNTBLANK(Master_Reference[[#This Row],[C-Flex 3000K Eco Part Number]:[C-Flex 4000K Eco Part Number]])=3,FALSE,TRUE)</f>
        <v>0</v>
      </c>
      <c r="S942" t="b">
        <f>IF(COUNTBLANK(Master_Reference[[#This Row],[C-Flex 3000K 3W Part Number]:[C-Flex 4000K 3W Part Number]])=3,FALSE,TRUE)</f>
        <v>0</v>
      </c>
      <c r="T942" t="b">
        <f>IF(COUNTBLANK(Master_Reference[[#This Row],[Lutron 3000K Eco Part Number]:[Lutron 4000K Eco Part Number]])=3,FALSE,TRUE)</f>
        <v>0</v>
      </c>
      <c r="U942" t="b">
        <f>IF(COUNTBLANK(Master_Reference[[#This Row],[Lutron 3000K 3W Part Number]:[Lutron 4000K 3W Part Number]])=3,FALSE,TRUE)</f>
        <v>0</v>
      </c>
      <c r="V942" s="12"/>
      <c r="W942" s="12"/>
      <c r="X942" s="12"/>
      <c r="Y942" t="s">
        <v>2125</v>
      </c>
      <c r="Z942" s="12"/>
      <c r="AA942" s="12"/>
      <c r="AB942" s="12"/>
      <c r="AC942" t="s">
        <v>2125</v>
      </c>
      <c r="AD942" t="str">
        <f>SUBSTITUTE(Master_Reference[[#This Row],[C-Flex 4000K Eco Part Number]],"40-","xx-")</f>
        <v/>
      </c>
      <c r="AE942" t="str">
        <f>SUBSTITUTE(Master_Reference[[#This Row],[C-Flex 4000K 3W Part Number]],"40-","xx-")</f>
        <v/>
      </c>
      <c r="AF942" s="1" t="str">
        <f>_xlfn.IFNA(VLOOKUP(Master_Reference[[#This Row],[C-Flex 3000K Eco Part Number]],Lutron_CFlex_Lookup[],MATCH("Lutron Kit PN",Lutron_CFlex_Lookup[#Headers],0),FALSE),"")</f>
        <v/>
      </c>
      <c r="AG942" s="1" t="str">
        <f>_xlfn.IFNA(VLOOKUP(Master_Reference[[#This Row],[C-Flex 3500K Eco Part Number]],Lutron_CFlex_Lookup[],MATCH("Lutron Kit PN",Lutron_CFlex_Lookup[#Headers],0),FALSE),"")</f>
        <v/>
      </c>
      <c r="AH942" s="1" t="str">
        <f>_xlfn.IFNA(VLOOKUP(Master_Reference[[#This Row],[C-Flex 4000K Eco Part Number]],Lutron_CFlex_Lookup[],MATCH("Lutron Kit PN",Lutron_CFlex_Lookup[#Headers],0),FALSE),"")</f>
        <v/>
      </c>
      <c r="AI942" s="1" t="str">
        <f>_xlfn.IFNA(VLOOKUP(Master_Reference[[#This Row],[C-Flex 5000K Eco Part Number]],Lutron_CFlex_Lookup[],MATCH("Lutron Kit PN",Lutron_CFlex_Lookup[#Headers],0),FALSE),"")</f>
        <v/>
      </c>
      <c r="AJ942" s="1" t="str">
        <f>_xlfn.IFNA(VLOOKUP(Master_Reference[[#This Row],[C-Flex 3000K 3W Part Number]],Lutron_CFlex_Lookup[],MATCH("Lutron Kit PN",Lutron_CFlex_Lookup[#Headers],0),FALSE),"")</f>
        <v/>
      </c>
      <c r="AK942" s="1" t="str">
        <f>_xlfn.IFNA(VLOOKUP(Master_Reference[[#This Row],[C-Flex 3500K 3W Part Number]],Lutron_CFlex_Lookup[],MATCH("Lutron Kit PN",Lutron_CFlex_Lookup[#Headers],0),FALSE),"")</f>
        <v/>
      </c>
      <c r="AL942" s="1" t="str">
        <f>_xlfn.IFNA(VLOOKUP(Master_Reference[[#This Row],[C-Flex 4000K 3W Part Number]],Lutron_CFlex_Lookup[],MATCH("Lutron Kit PN",Lutron_CFlex_Lookup[#Headers],0),FALSE),"")</f>
        <v/>
      </c>
      <c r="AM942" s="1" t="str">
        <f>_xlfn.IFNA(VLOOKUP(Master_Reference[[#This Row],[C-Flex 5000K 3W Part Number]],Lutron_CFlex_Lookup[],MATCH("Lutron Kit PN",Lutron_CFlex_Lookup[#Headers],0),FALSE),"")</f>
        <v/>
      </c>
      <c r="AN942" s="1" t="b">
        <f>NOT(ISNA(VLOOKUP(Master_Reference[[#This Row],[Model Number]],ObsoleteModels[],1,FALSE)))</f>
        <v>1</v>
      </c>
      <c r="AO942" s="1" t="str">
        <f>IF(LEFT(Master_Reference[[#This Row],[Model Number]],1)="U",LEFT(Master_Reference[[#This Row],[Model Number]],4),LEFT(Master_Reference[[#This Row],[Model Number]],3))</f>
        <v>TVE</v>
      </c>
    </row>
    <row r="943" spans="1:41" x14ac:dyDescent="0.25">
      <c r="A943" s="2" t="s">
        <v>1247</v>
      </c>
      <c r="B943" s="1"/>
      <c r="E943" s="1" t="b">
        <v>1</v>
      </c>
      <c r="G943" s="1" t="str">
        <f>IF(OR(LEFT(RIGHT(Master_Reference[[#This Row],[Model Number]],3),1)="C",LEFT(RIGHT(Master_Reference[[#This Row],[Model Number]],4),1)="C"),TRUE,"")</f>
        <v/>
      </c>
      <c r="H943" s="1" t="str">
        <f>IF(LEFT(Master_Reference[[#This Row],[Model Number]],1)="U",TRUE,"")</f>
        <v/>
      </c>
      <c r="I943" s="1" t="b">
        <f>IF(Master_Reference[[#This Row],[Lamp Type]]="T4","",IF(Master_Reference[[#This Row],[Case Type]]="M","",TRUE))</f>
        <v>1</v>
      </c>
      <c r="J943" s="1" t="s">
        <v>111</v>
      </c>
      <c r="K943" s="1">
        <v>32</v>
      </c>
      <c r="L943" s="1" t="s">
        <v>118</v>
      </c>
      <c r="M943" s="1">
        <v>3</v>
      </c>
      <c r="N943" s="1">
        <v>120</v>
      </c>
      <c r="O943" s="1" t="s">
        <v>144</v>
      </c>
      <c r="R943" t="b">
        <f>IF(COUNTBLANK(Master_Reference[[#This Row],[C-Flex 3000K Eco Part Number]:[C-Flex 4000K Eco Part Number]])=3,FALSE,TRUE)</f>
        <v>0</v>
      </c>
      <c r="S943" t="b">
        <f>IF(COUNTBLANK(Master_Reference[[#This Row],[C-Flex 3000K 3W Part Number]:[C-Flex 4000K 3W Part Number]])=3,FALSE,TRUE)</f>
        <v>0</v>
      </c>
      <c r="T943" t="b">
        <f>IF(COUNTBLANK(Master_Reference[[#This Row],[Lutron 3000K Eco Part Number]:[Lutron 4000K Eco Part Number]])=3,FALSE,TRUE)</f>
        <v>0</v>
      </c>
      <c r="U943" t="b">
        <f>IF(COUNTBLANK(Master_Reference[[#This Row],[Lutron 3000K 3W Part Number]:[Lutron 4000K 3W Part Number]])=3,FALSE,TRUE)</f>
        <v>0</v>
      </c>
      <c r="V943" s="12"/>
      <c r="W943" s="12"/>
      <c r="X943" s="12"/>
      <c r="Y943" t="s">
        <v>2125</v>
      </c>
      <c r="Z943" s="12"/>
      <c r="AA943" s="12"/>
      <c r="AB943" s="12"/>
      <c r="AC943" t="s">
        <v>2125</v>
      </c>
      <c r="AD943" t="str">
        <f>SUBSTITUTE(Master_Reference[[#This Row],[C-Flex 4000K Eco Part Number]],"40-","xx-")</f>
        <v/>
      </c>
      <c r="AE943" t="str">
        <f>SUBSTITUTE(Master_Reference[[#This Row],[C-Flex 4000K 3W Part Number]],"40-","xx-")</f>
        <v/>
      </c>
      <c r="AF943" s="1" t="str">
        <f>_xlfn.IFNA(VLOOKUP(Master_Reference[[#This Row],[C-Flex 3000K Eco Part Number]],Lutron_CFlex_Lookup[],MATCH("Lutron Kit PN",Lutron_CFlex_Lookup[#Headers],0),FALSE),"")</f>
        <v/>
      </c>
      <c r="AG943" s="1" t="str">
        <f>_xlfn.IFNA(VLOOKUP(Master_Reference[[#This Row],[C-Flex 3500K Eco Part Number]],Lutron_CFlex_Lookup[],MATCH("Lutron Kit PN",Lutron_CFlex_Lookup[#Headers],0),FALSE),"")</f>
        <v/>
      </c>
      <c r="AH943" s="1" t="str">
        <f>_xlfn.IFNA(VLOOKUP(Master_Reference[[#This Row],[C-Flex 4000K Eco Part Number]],Lutron_CFlex_Lookup[],MATCH("Lutron Kit PN",Lutron_CFlex_Lookup[#Headers],0),FALSE),"")</f>
        <v/>
      </c>
      <c r="AI943" s="1" t="str">
        <f>_xlfn.IFNA(VLOOKUP(Master_Reference[[#This Row],[C-Flex 5000K Eco Part Number]],Lutron_CFlex_Lookup[],MATCH("Lutron Kit PN",Lutron_CFlex_Lookup[#Headers],0),FALSE),"")</f>
        <v/>
      </c>
      <c r="AJ943" s="1" t="str">
        <f>_xlfn.IFNA(VLOOKUP(Master_Reference[[#This Row],[C-Flex 3000K 3W Part Number]],Lutron_CFlex_Lookup[],MATCH("Lutron Kit PN",Lutron_CFlex_Lookup[#Headers],0),FALSE),"")</f>
        <v/>
      </c>
      <c r="AK943" s="1" t="str">
        <f>_xlfn.IFNA(VLOOKUP(Master_Reference[[#This Row],[C-Flex 3500K 3W Part Number]],Lutron_CFlex_Lookup[],MATCH("Lutron Kit PN",Lutron_CFlex_Lookup[#Headers],0),FALSE),"")</f>
        <v/>
      </c>
      <c r="AL943" s="1" t="str">
        <f>_xlfn.IFNA(VLOOKUP(Master_Reference[[#This Row],[C-Flex 4000K 3W Part Number]],Lutron_CFlex_Lookup[],MATCH("Lutron Kit PN",Lutron_CFlex_Lookup[#Headers],0),FALSE),"")</f>
        <v/>
      </c>
      <c r="AM943" s="1" t="str">
        <f>_xlfn.IFNA(VLOOKUP(Master_Reference[[#This Row],[C-Flex 5000K 3W Part Number]],Lutron_CFlex_Lookup[],MATCH("Lutron Kit PN",Lutron_CFlex_Lookup[#Headers],0),FALSE),"")</f>
        <v/>
      </c>
      <c r="AN943" s="1" t="b">
        <f>NOT(ISNA(VLOOKUP(Master_Reference[[#This Row],[Model Number]],ObsoleteModels[],1,FALSE)))</f>
        <v>1</v>
      </c>
      <c r="AO943" s="1" t="str">
        <f>IF(LEFT(Master_Reference[[#This Row],[Model Number]],1)="U",LEFT(Master_Reference[[#This Row],[Model Number]],4),LEFT(Master_Reference[[#This Row],[Model Number]],3))</f>
        <v>TVE</v>
      </c>
    </row>
    <row r="944" spans="1:41" x14ac:dyDescent="0.25">
      <c r="A944" s="2" t="s">
        <v>1248</v>
      </c>
      <c r="B944" s="1"/>
      <c r="E944" s="1" t="b">
        <v>1</v>
      </c>
      <c r="G944" s="1" t="str">
        <f>IF(OR(LEFT(RIGHT(Master_Reference[[#This Row],[Model Number]],3),1)="C",LEFT(RIGHT(Master_Reference[[#This Row],[Model Number]],4),1)="C"),TRUE,"")</f>
        <v/>
      </c>
      <c r="H944" s="1" t="str">
        <f>IF(LEFT(Master_Reference[[#This Row],[Model Number]],1)="U",TRUE,"")</f>
        <v/>
      </c>
      <c r="I944" s="1" t="b">
        <f>IF(Master_Reference[[#This Row],[Lamp Type]]="T4","",IF(Master_Reference[[#This Row],[Case Type]]="M","",TRUE))</f>
        <v>1</v>
      </c>
      <c r="J944" s="1" t="s">
        <v>111</v>
      </c>
      <c r="K944" s="1">
        <v>32</v>
      </c>
      <c r="L944" s="1" t="s">
        <v>118</v>
      </c>
      <c r="M944" s="1">
        <v>1</v>
      </c>
      <c r="N944" s="1">
        <v>277</v>
      </c>
      <c r="O944" s="1" t="s">
        <v>144</v>
      </c>
      <c r="R944" t="b">
        <f>IF(COUNTBLANK(Master_Reference[[#This Row],[C-Flex 3000K Eco Part Number]:[C-Flex 4000K Eco Part Number]])=3,FALSE,TRUE)</f>
        <v>0</v>
      </c>
      <c r="S944" t="b">
        <f>IF(COUNTBLANK(Master_Reference[[#This Row],[C-Flex 3000K 3W Part Number]:[C-Flex 4000K 3W Part Number]])=3,FALSE,TRUE)</f>
        <v>0</v>
      </c>
      <c r="T944" t="b">
        <f>IF(COUNTBLANK(Master_Reference[[#This Row],[Lutron 3000K Eco Part Number]:[Lutron 4000K Eco Part Number]])=3,FALSE,TRUE)</f>
        <v>0</v>
      </c>
      <c r="U944" t="b">
        <f>IF(COUNTBLANK(Master_Reference[[#This Row],[Lutron 3000K 3W Part Number]:[Lutron 4000K 3W Part Number]])=3,FALSE,TRUE)</f>
        <v>0</v>
      </c>
      <c r="V944" s="12"/>
      <c r="W944" s="12"/>
      <c r="X944" s="12"/>
      <c r="Y944" t="s">
        <v>2125</v>
      </c>
      <c r="Z944" s="12"/>
      <c r="AA944" s="12"/>
      <c r="AB944" s="12"/>
      <c r="AC944" t="s">
        <v>2125</v>
      </c>
      <c r="AD944" t="str">
        <f>SUBSTITUTE(Master_Reference[[#This Row],[C-Flex 4000K Eco Part Number]],"40-","xx-")</f>
        <v/>
      </c>
      <c r="AE944" t="str">
        <f>SUBSTITUTE(Master_Reference[[#This Row],[C-Flex 4000K 3W Part Number]],"40-","xx-")</f>
        <v/>
      </c>
      <c r="AF944" s="1" t="str">
        <f>_xlfn.IFNA(VLOOKUP(Master_Reference[[#This Row],[C-Flex 3000K Eco Part Number]],Lutron_CFlex_Lookup[],MATCH("Lutron Kit PN",Lutron_CFlex_Lookup[#Headers],0),FALSE),"")</f>
        <v/>
      </c>
      <c r="AG944" s="1" t="str">
        <f>_xlfn.IFNA(VLOOKUP(Master_Reference[[#This Row],[C-Flex 3500K Eco Part Number]],Lutron_CFlex_Lookup[],MATCH("Lutron Kit PN",Lutron_CFlex_Lookup[#Headers],0),FALSE),"")</f>
        <v/>
      </c>
      <c r="AH944" s="1" t="str">
        <f>_xlfn.IFNA(VLOOKUP(Master_Reference[[#This Row],[C-Flex 4000K Eco Part Number]],Lutron_CFlex_Lookup[],MATCH("Lutron Kit PN",Lutron_CFlex_Lookup[#Headers],0),FALSE),"")</f>
        <v/>
      </c>
      <c r="AI944" s="1" t="str">
        <f>_xlfn.IFNA(VLOOKUP(Master_Reference[[#This Row],[C-Flex 5000K Eco Part Number]],Lutron_CFlex_Lookup[],MATCH("Lutron Kit PN",Lutron_CFlex_Lookup[#Headers],0),FALSE),"")</f>
        <v/>
      </c>
      <c r="AJ944" s="1" t="str">
        <f>_xlfn.IFNA(VLOOKUP(Master_Reference[[#This Row],[C-Flex 3000K 3W Part Number]],Lutron_CFlex_Lookup[],MATCH("Lutron Kit PN",Lutron_CFlex_Lookup[#Headers],0),FALSE),"")</f>
        <v/>
      </c>
      <c r="AK944" s="1" t="str">
        <f>_xlfn.IFNA(VLOOKUP(Master_Reference[[#This Row],[C-Flex 3500K 3W Part Number]],Lutron_CFlex_Lookup[],MATCH("Lutron Kit PN",Lutron_CFlex_Lookup[#Headers],0),FALSE),"")</f>
        <v/>
      </c>
      <c r="AL944" s="1" t="str">
        <f>_xlfn.IFNA(VLOOKUP(Master_Reference[[#This Row],[C-Flex 4000K 3W Part Number]],Lutron_CFlex_Lookup[],MATCH("Lutron Kit PN",Lutron_CFlex_Lookup[#Headers],0),FALSE),"")</f>
        <v/>
      </c>
      <c r="AM944" s="1" t="str">
        <f>_xlfn.IFNA(VLOOKUP(Master_Reference[[#This Row],[C-Flex 5000K 3W Part Number]],Lutron_CFlex_Lookup[],MATCH("Lutron Kit PN",Lutron_CFlex_Lookup[#Headers],0),FALSE),"")</f>
        <v/>
      </c>
      <c r="AN944" s="1" t="b">
        <f>NOT(ISNA(VLOOKUP(Master_Reference[[#This Row],[Model Number]],ObsoleteModels[],1,FALSE)))</f>
        <v>1</v>
      </c>
      <c r="AO944" s="1" t="str">
        <f>IF(LEFT(Master_Reference[[#This Row],[Model Number]],1)="U",LEFT(Master_Reference[[#This Row],[Model Number]],4),LEFT(Master_Reference[[#This Row],[Model Number]],3))</f>
        <v>TVE</v>
      </c>
    </row>
    <row r="945" spans="1:41" x14ac:dyDescent="0.25">
      <c r="A945" s="2" t="s">
        <v>1249</v>
      </c>
      <c r="B945" s="1"/>
      <c r="E945" s="1" t="b">
        <v>1</v>
      </c>
      <c r="G945" s="1" t="str">
        <f>IF(OR(LEFT(RIGHT(Master_Reference[[#This Row],[Model Number]],3),1)="C",LEFT(RIGHT(Master_Reference[[#This Row],[Model Number]],4),1)="C"),TRUE,"")</f>
        <v/>
      </c>
      <c r="H945" s="1" t="str">
        <f>IF(LEFT(Master_Reference[[#This Row],[Model Number]],1)="U",TRUE,"")</f>
        <v/>
      </c>
      <c r="I945" s="1" t="b">
        <f>IF(Master_Reference[[#This Row],[Lamp Type]]="T4","",IF(Master_Reference[[#This Row],[Case Type]]="M","",TRUE))</f>
        <v>1</v>
      </c>
      <c r="J945" s="1" t="s">
        <v>111</v>
      </c>
      <c r="K945" s="1">
        <v>32</v>
      </c>
      <c r="L945" s="1" t="s">
        <v>118</v>
      </c>
      <c r="M945" s="1">
        <v>2</v>
      </c>
      <c r="N945" s="1">
        <v>277</v>
      </c>
      <c r="O945" s="1" t="s">
        <v>144</v>
      </c>
      <c r="R945" t="b">
        <f>IF(COUNTBLANK(Master_Reference[[#This Row],[C-Flex 3000K Eco Part Number]:[C-Flex 4000K Eco Part Number]])=3,FALSE,TRUE)</f>
        <v>0</v>
      </c>
      <c r="S945" t="b">
        <f>IF(COUNTBLANK(Master_Reference[[#This Row],[C-Flex 3000K 3W Part Number]:[C-Flex 4000K 3W Part Number]])=3,FALSE,TRUE)</f>
        <v>0</v>
      </c>
      <c r="T945" t="b">
        <f>IF(COUNTBLANK(Master_Reference[[#This Row],[Lutron 3000K Eco Part Number]:[Lutron 4000K Eco Part Number]])=3,FALSE,TRUE)</f>
        <v>0</v>
      </c>
      <c r="U945" t="b">
        <f>IF(COUNTBLANK(Master_Reference[[#This Row],[Lutron 3000K 3W Part Number]:[Lutron 4000K 3W Part Number]])=3,FALSE,TRUE)</f>
        <v>0</v>
      </c>
      <c r="V945" s="12"/>
      <c r="W945" s="12"/>
      <c r="X945" s="12"/>
      <c r="Y945" t="s">
        <v>2125</v>
      </c>
      <c r="Z945" s="12"/>
      <c r="AA945" s="12"/>
      <c r="AB945" s="12"/>
      <c r="AC945" t="s">
        <v>2125</v>
      </c>
      <c r="AD945" t="str">
        <f>SUBSTITUTE(Master_Reference[[#This Row],[C-Flex 4000K Eco Part Number]],"40-","xx-")</f>
        <v/>
      </c>
      <c r="AE945" t="str">
        <f>SUBSTITUTE(Master_Reference[[#This Row],[C-Flex 4000K 3W Part Number]],"40-","xx-")</f>
        <v/>
      </c>
      <c r="AF945" s="1" t="str">
        <f>_xlfn.IFNA(VLOOKUP(Master_Reference[[#This Row],[C-Flex 3000K Eco Part Number]],Lutron_CFlex_Lookup[],MATCH("Lutron Kit PN",Lutron_CFlex_Lookup[#Headers],0),FALSE),"")</f>
        <v/>
      </c>
      <c r="AG945" s="1" t="str">
        <f>_xlfn.IFNA(VLOOKUP(Master_Reference[[#This Row],[C-Flex 3500K Eco Part Number]],Lutron_CFlex_Lookup[],MATCH("Lutron Kit PN",Lutron_CFlex_Lookup[#Headers],0),FALSE),"")</f>
        <v/>
      </c>
      <c r="AH945" s="1" t="str">
        <f>_xlfn.IFNA(VLOOKUP(Master_Reference[[#This Row],[C-Flex 4000K Eco Part Number]],Lutron_CFlex_Lookup[],MATCH("Lutron Kit PN",Lutron_CFlex_Lookup[#Headers],0),FALSE),"")</f>
        <v/>
      </c>
      <c r="AI945" s="1" t="str">
        <f>_xlfn.IFNA(VLOOKUP(Master_Reference[[#This Row],[C-Flex 5000K Eco Part Number]],Lutron_CFlex_Lookup[],MATCH("Lutron Kit PN",Lutron_CFlex_Lookup[#Headers],0),FALSE),"")</f>
        <v/>
      </c>
      <c r="AJ945" s="1" t="str">
        <f>_xlfn.IFNA(VLOOKUP(Master_Reference[[#This Row],[C-Flex 3000K 3W Part Number]],Lutron_CFlex_Lookup[],MATCH("Lutron Kit PN",Lutron_CFlex_Lookup[#Headers],0),FALSE),"")</f>
        <v/>
      </c>
      <c r="AK945" s="1" t="str">
        <f>_xlfn.IFNA(VLOOKUP(Master_Reference[[#This Row],[C-Flex 3500K 3W Part Number]],Lutron_CFlex_Lookup[],MATCH("Lutron Kit PN",Lutron_CFlex_Lookup[#Headers],0),FALSE),"")</f>
        <v/>
      </c>
      <c r="AL945" s="1" t="str">
        <f>_xlfn.IFNA(VLOOKUP(Master_Reference[[#This Row],[C-Flex 4000K 3W Part Number]],Lutron_CFlex_Lookup[],MATCH("Lutron Kit PN",Lutron_CFlex_Lookup[#Headers],0),FALSE),"")</f>
        <v/>
      </c>
      <c r="AM945" s="1" t="str">
        <f>_xlfn.IFNA(VLOOKUP(Master_Reference[[#This Row],[C-Flex 5000K 3W Part Number]],Lutron_CFlex_Lookup[],MATCH("Lutron Kit PN",Lutron_CFlex_Lookup[#Headers],0),FALSE),"")</f>
        <v/>
      </c>
      <c r="AN945" s="1" t="b">
        <f>NOT(ISNA(VLOOKUP(Master_Reference[[#This Row],[Model Number]],ObsoleteModels[],1,FALSE)))</f>
        <v>1</v>
      </c>
      <c r="AO945" s="1" t="str">
        <f>IF(LEFT(Master_Reference[[#This Row],[Model Number]],1)="U",LEFT(Master_Reference[[#This Row],[Model Number]],4),LEFT(Master_Reference[[#This Row],[Model Number]],3))</f>
        <v>TVE</v>
      </c>
    </row>
    <row r="946" spans="1:41" x14ac:dyDescent="0.25">
      <c r="A946" s="2" t="s">
        <v>1250</v>
      </c>
      <c r="B946" s="1"/>
      <c r="E946" s="1" t="b">
        <v>1</v>
      </c>
      <c r="G946" s="1" t="str">
        <f>IF(OR(LEFT(RIGHT(Master_Reference[[#This Row],[Model Number]],3),1)="C",LEFT(RIGHT(Master_Reference[[#This Row],[Model Number]],4),1)="C"),TRUE,"")</f>
        <v/>
      </c>
      <c r="H946" s="1" t="str">
        <f>IF(LEFT(Master_Reference[[#This Row],[Model Number]],1)="U",TRUE,"")</f>
        <v/>
      </c>
      <c r="I946" s="1" t="b">
        <f>IF(Master_Reference[[#This Row],[Lamp Type]]="T4","",IF(Master_Reference[[#This Row],[Case Type]]="M","",TRUE))</f>
        <v>1</v>
      </c>
      <c r="J946" s="1" t="s">
        <v>111</v>
      </c>
      <c r="K946" s="1">
        <v>32</v>
      </c>
      <c r="L946" s="1" t="s">
        <v>118</v>
      </c>
      <c r="M946" s="1">
        <v>3</v>
      </c>
      <c r="N946" s="1">
        <v>277</v>
      </c>
      <c r="O946" s="1" t="s">
        <v>144</v>
      </c>
      <c r="R946" t="b">
        <f>IF(COUNTBLANK(Master_Reference[[#This Row],[C-Flex 3000K Eco Part Number]:[C-Flex 4000K Eco Part Number]])=3,FALSE,TRUE)</f>
        <v>0</v>
      </c>
      <c r="S946" t="b">
        <f>IF(COUNTBLANK(Master_Reference[[#This Row],[C-Flex 3000K 3W Part Number]:[C-Flex 4000K 3W Part Number]])=3,FALSE,TRUE)</f>
        <v>0</v>
      </c>
      <c r="T946" t="b">
        <f>IF(COUNTBLANK(Master_Reference[[#This Row],[Lutron 3000K Eco Part Number]:[Lutron 4000K Eco Part Number]])=3,FALSE,TRUE)</f>
        <v>0</v>
      </c>
      <c r="U946" t="b">
        <f>IF(COUNTBLANK(Master_Reference[[#This Row],[Lutron 3000K 3W Part Number]:[Lutron 4000K 3W Part Number]])=3,FALSE,TRUE)</f>
        <v>0</v>
      </c>
      <c r="V946" s="12"/>
      <c r="W946" s="12"/>
      <c r="X946" s="12"/>
      <c r="Y946" t="s">
        <v>2125</v>
      </c>
      <c r="Z946" s="12"/>
      <c r="AA946" s="12"/>
      <c r="AB946" s="12"/>
      <c r="AC946" t="s">
        <v>2125</v>
      </c>
      <c r="AD946" t="str">
        <f>SUBSTITUTE(Master_Reference[[#This Row],[C-Flex 4000K Eco Part Number]],"40-","xx-")</f>
        <v/>
      </c>
      <c r="AE946" t="str">
        <f>SUBSTITUTE(Master_Reference[[#This Row],[C-Flex 4000K 3W Part Number]],"40-","xx-")</f>
        <v/>
      </c>
      <c r="AF946" s="1" t="str">
        <f>_xlfn.IFNA(VLOOKUP(Master_Reference[[#This Row],[C-Flex 3000K Eco Part Number]],Lutron_CFlex_Lookup[],MATCH("Lutron Kit PN",Lutron_CFlex_Lookup[#Headers],0),FALSE),"")</f>
        <v/>
      </c>
      <c r="AG946" s="1" t="str">
        <f>_xlfn.IFNA(VLOOKUP(Master_Reference[[#This Row],[C-Flex 3500K Eco Part Number]],Lutron_CFlex_Lookup[],MATCH("Lutron Kit PN",Lutron_CFlex_Lookup[#Headers],0),FALSE),"")</f>
        <v/>
      </c>
      <c r="AH946" s="1" t="str">
        <f>_xlfn.IFNA(VLOOKUP(Master_Reference[[#This Row],[C-Flex 4000K Eco Part Number]],Lutron_CFlex_Lookup[],MATCH("Lutron Kit PN",Lutron_CFlex_Lookup[#Headers],0),FALSE),"")</f>
        <v/>
      </c>
      <c r="AI946" s="1" t="str">
        <f>_xlfn.IFNA(VLOOKUP(Master_Reference[[#This Row],[C-Flex 5000K Eco Part Number]],Lutron_CFlex_Lookup[],MATCH("Lutron Kit PN",Lutron_CFlex_Lookup[#Headers],0),FALSE),"")</f>
        <v/>
      </c>
      <c r="AJ946" s="1" t="str">
        <f>_xlfn.IFNA(VLOOKUP(Master_Reference[[#This Row],[C-Flex 3000K 3W Part Number]],Lutron_CFlex_Lookup[],MATCH("Lutron Kit PN",Lutron_CFlex_Lookup[#Headers],0),FALSE),"")</f>
        <v/>
      </c>
      <c r="AK946" s="1" t="str">
        <f>_xlfn.IFNA(VLOOKUP(Master_Reference[[#This Row],[C-Flex 3500K 3W Part Number]],Lutron_CFlex_Lookup[],MATCH("Lutron Kit PN",Lutron_CFlex_Lookup[#Headers],0),FALSE),"")</f>
        <v/>
      </c>
      <c r="AL946" s="1" t="str">
        <f>_xlfn.IFNA(VLOOKUP(Master_Reference[[#This Row],[C-Flex 4000K 3W Part Number]],Lutron_CFlex_Lookup[],MATCH("Lutron Kit PN",Lutron_CFlex_Lookup[#Headers],0),FALSE),"")</f>
        <v/>
      </c>
      <c r="AM946" s="1" t="str">
        <f>_xlfn.IFNA(VLOOKUP(Master_Reference[[#This Row],[C-Flex 5000K 3W Part Number]],Lutron_CFlex_Lookup[],MATCH("Lutron Kit PN",Lutron_CFlex_Lookup[#Headers],0),FALSE),"")</f>
        <v/>
      </c>
      <c r="AN946" s="1" t="b">
        <f>NOT(ISNA(VLOOKUP(Master_Reference[[#This Row],[Model Number]],ObsoleteModels[],1,FALSE)))</f>
        <v>1</v>
      </c>
      <c r="AO946" s="1" t="str">
        <f>IF(LEFT(Master_Reference[[#This Row],[Model Number]],1)="U",LEFT(Master_Reference[[#This Row],[Model Number]],4),LEFT(Master_Reference[[#This Row],[Model Number]],3))</f>
        <v>TVE</v>
      </c>
    </row>
    <row r="947" spans="1:41" x14ac:dyDescent="0.25">
      <c r="A947" s="2" t="s">
        <v>1251</v>
      </c>
      <c r="B947" s="1"/>
      <c r="E947" s="1" t="b">
        <v>1</v>
      </c>
      <c r="G947" s="1" t="str">
        <f>IF(OR(LEFT(RIGHT(Master_Reference[[#This Row],[Model Number]],3),1)="C",LEFT(RIGHT(Master_Reference[[#This Row],[Model Number]],4),1)="C"),TRUE,"")</f>
        <v/>
      </c>
      <c r="H947" s="1" t="str">
        <f>IF(LEFT(Master_Reference[[#This Row],[Model Number]],1)="U",TRUE,"")</f>
        <v/>
      </c>
      <c r="I947" s="1" t="b">
        <f>IF(Master_Reference[[#This Row],[Lamp Type]]="T4","",IF(Master_Reference[[#This Row],[Case Type]]="M","",TRUE))</f>
        <v>1</v>
      </c>
      <c r="J947" s="1" t="s">
        <v>111</v>
      </c>
      <c r="K947" s="1">
        <v>32</v>
      </c>
      <c r="L947" s="1" t="s">
        <v>118</v>
      </c>
      <c r="M947" s="1">
        <v>1</v>
      </c>
      <c r="N947" s="1">
        <v>347</v>
      </c>
      <c r="O947" s="1" t="s">
        <v>144</v>
      </c>
      <c r="Q947" s="1" t="s">
        <v>535</v>
      </c>
      <c r="R947" t="b">
        <f>IF(COUNTBLANK(Master_Reference[[#This Row],[C-Flex 3000K Eco Part Number]:[C-Flex 4000K Eco Part Number]])=3,FALSE,TRUE)</f>
        <v>0</v>
      </c>
      <c r="S947" t="b">
        <f>IF(COUNTBLANK(Master_Reference[[#This Row],[C-Flex 3000K 3W Part Number]:[C-Flex 4000K 3W Part Number]])=3,FALSE,TRUE)</f>
        <v>0</v>
      </c>
      <c r="T947" t="b">
        <f>IF(COUNTBLANK(Master_Reference[[#This Row],[Lutron 3000K Eco Part Number]:[Lutron 4000K Eco Part Number]])=3,FALSE,TRUE)</f>
        <v>0</v>
      </c>
      <c r="U947" t="b">
        <f>IF(COUNTBLANK(Master_Reference[[#This Row],[Lutron 3000K 3W Part Number]:[Lutron 4000K 3W Part Number]])=3,FALSE,TRUE)</f>
        <v>0</v>
      </c>
      <c r="V947" s="12"/>
      <c r="W947" s="12"/>
      <c r="X947" s="12"/>
      <c r="Y947" t="s">
        <v>2125</v>
      </c>
      <c r="Z947" s="12"/>
      <c r="AA947" s="12"/>
      <c r="AB947" s="12"/>
      <c r="AC947" t="s">
        <v>2125</v>
      </c>
      <c r="AD947" t="str">
        <f>SUBSTITUTE(Master_Reference[[#This Row],[C-Flex 4000K Eco Part Number]],"40-","xx-")</f>
        <v/>
      </c>
      <c r="AE947" t="str">
        <f>SUBSTITUTE(Master_Reference[[#This Row],[C-Flex 4000K 3W Part Number]],"40-","xx-")</f>
        <v/>
      </c>
      <c r="AF947" s="1" t="str">
        <f>_xlfn.IFNA(VLOOKUP(Master_Reference[[#This Row],[C-Flex 3000K Eco Part Number]],Lutron_CFlex_Lookup[],MATCH("Lutron Kit PN",Lutron_CFlex_Lookup[#Headers],0),FALSE),"")</f>
        <v/>
      </c>
      <c r="AG947" s="1" t="str">
        <f>_xlfn.IFNA(VLOOKUP(Master_Reference[[#This Row],[C-Flex 3500K Eco Part Number]],Lutron_CFlex_Lookup[],MATCH("Lutron Kit PN",Lutron_CFlex_Lookup[#Headers],0),FALSE),"")</f>
        <v/>
      </c>
      <c r="AH947" s="1" t="str">
        <f>_xlfn.IFNA(VLOOKUP(Master_Reference[[#This Row],[C-Flex 4000K Eco Part Number]],Lutron_CFlex_Lookup[],MATCH("Lutron Kit PN",Lutron_CFlex_Lookup[#Headers],0),FALSE),"")</f>
        <v/>
      </c>
      <c r="AI947" s="1" t="str">
        <f>_xlfn.IFNA(VLOOKUP(Master_Reference[[#This Row],[C-Flex 5000K Eco Part Number]],Lutron_CFlex_Lookup[],MATCH("Lutron Kit PN",Lutron_CFlex_Lookup[#Headers],0),FALSE),"")</f>
        <v/>
      </c>
      <c r="AJ947" s="1" t="str">
        <f>_xlfn.IFNA(VLOOKUP(Master_Reference[[#This Row],[C-Flex 3000K 3W Part Number]],Lutron_CFlex_Lookup[],MATCH("Lutron Kit PN",Lutron_CFlex_Lookup[#Headers],0),FALSE),"")</f>
        <v/>
      </c>
      <c r="AK947" s="1" t="str">
        <f>_xlfn.IFNA(VLOOKUP(Master_Reference[[#This Row],[C-Flex 3500K 3W Part Number]],Lutron_CFlex_Lookup[],MATCH("Lutron Kit PN",Lutron_CFlex_Lookup[#Headers],0),FALSE),"")</f>
        <v/>
      </c>
      <c r="AL947" s="1" t="str">
        <f>_xlfn.IFNA(VLOOKUP(Master_Reference[[#This Row],[C-Flex 4000K 3W Part Number]],Lutron_CFlex_Lookup[],MATCH("Lutron Kit PN",Lutron_CFlex_Lookup[#Headers],0),FALSE),"")</f>
        <v/>
      </c>
      <c r="AM947" s="1" t="str">
        <f>_xlfn.IFNA(VLOOKUP(Master_Reference[[#This Row],[C-Flex 5000K 3W Part Number]],Lutron_CFlex_Lookup[],MATCH("Lutron Kit PN",Lutron_CFlex_Lookup[#Headers],0),FALSE),"")</f>
        <v/>
      </c>
      <c r="AN947" s="1" t="b">
        <f>NOT(ISNA(VLOOKUP(Master_Reference[[#This Row],[Model Number]],ObsoleteModels[],1,FALSE)))</f>
        <v>1</v>
      </c>
      <c r="AO947" s="1" t="str">
        <f>IF(LEFT(Master_Reference[[#This Row],[Model Number]],1)="U",LEFT(Master_Reference[[#This Row],[Model Number]],4),LEFT(Master_Reference[[#This Row],[Model Number]],3))</f>
        <v>TVE</v>
      </c>
    </row>
    <row r="948" spans="1:41" x14ac:dyDescent="0.25">
      <c r="A948" s="2" t="s">
        <v>1252</v>
      </c>
      <c r="B948" s="1"/>
      <c r="E948" s="1" t="b">
        <v>1</v>
      </c>
      <c r="G948" s="1" t="str">
        <f>IF(OR(LEFT(RIGHT(Master_Reference[[#This Row],[Model Number]],3),1)="C",LEFT(RIGHT(Master_Reference[[#This Row],[Model Number]],4),1)="C"),TRUE,"")</f>
        <v/>
      </c>
      <c r="H948" s="1" t="str">
        <f>IF(LEFT(Master_Reference[[#This Row],[Model Number]],1)="U",TRUE,"")</f>
        <v/>
      </c>
      <c r="I948" s="1" t="b">
        <f>IF(Master_Reference[[#This Row],[Lamp Type]]="T4","",IF(Master_Reference[[#This Row],[Case Type]]="M","",TRUE))</f>
        <v>1</v>
      </c>
      <c r="J948" s="1" t="s">
        <v>111</v>
      </c>
      <c r="K948" s="1">
        <v>32</v>
      </c>
      <c r="L948" s="1" t="s">
        <v>118</v>
      </c>
      <c r="M948" s="1">
        <v>2</v>
      </c>
      <c r="N948" s="1">
        <v>347</v>
      </c>
      <c r="O948" s="1" t="s">
        <v>144</v>
      </c>
      <c r="Q948" s="1" t="s">
        <v>535</v>
      </c>
      <c r="R948" t="b">
        <f>IF(COUNTBLANK(Master_Reference[[#This Row],[C-Flex 3000K Eco Part Number]:[C-Flex 4000K Eco Part Number]])=3,FALSE,TRUE)</f>
        <v>0</v>
      </c>
      <c r="S948" t="b">
        <f>IF(COUNTBLANK(Master_Reference[[#This Row],[C-Flex 3000K 3W Part Number]:[C-Flex 4000K 3W Part Number]])=3,FALSE,TRUE)</f>
        <v>0</v>
      </c>
      <c r="T948" t="b">
        <f>IF(COUNTBLANK(Master_Reference[[#This Row],[Lutron 3000K Eco Part Number]:[Lutron 4000K Eco Part Number]])=3,FALSE,TRUE)</f>
        <v>0</v>
      </c>
      <c r="U948" t="b">
        <f>IF(COUNTBLANK(Master_Reference[[#This Row],[Lutron 3000K 3W Part Number]:[Lutron 4000K 3W Part Number]])=3,FALSE,TRUE)</f>
        <v>0</v>
      </c>
      <c r="V948" s="12"/>
      <c r="W948" s="12"/>
      <c r="X948" s="12"/>
      <c r="Y948" t="s">
        <v>2125</v>
      </c>
      <c r="Z948" s="12"/>
      <c r="AA948" s="12"/>
      <c r="AB948" s="12"/>
      <c r="AC948" t="s">
        <v>2125</v>
      </c>
      <c r="AD948" t="str">
        <f>SUBSTITUTE(Master_Reference[[#This Row],[C-Flex 4000K Eco Part Number]],"40-","xx-")</f>
        <v/>
      </c>
      <c r="AE948" t="str">
        <f>SUBSTITUTE(Master_Reference[[#This Row],[C-Flex 4000K 3W Part Number]],"40-","xx-")</f>
        <v/>
      </c>
      <c r="AF948" s="1" t="str">
        <f>_xlfn.IFNA(VLOOKUP(Master_Reference[[#This Row],[C-Flex 3000K Eco Part Number]],Lutron_CFlex_Lookup[],MATCH("Lutron Kit PN",Lutron_CFlex_Lookup[#Headers],0),FALSE),"")</f>
        <v/>
      </c>
      <c r="AG948" s="1" t="str">
        <f>_xlfn.IFNA(VLOOKUP(Master_Reference[[#This Row],[C-Flex 3500K Eco Part Number]],Lutron_CFlex_Lookup[],MATCH("Lutron Kit PN",Lutron_CFlex_Lookup[#Headers],0),FALSE),"")</f>
        <v/>
      </c>
      <c r="AH948" s="1" t="str">
        <f>_xlfn.IFNA(VLOOKUP(Master_Reference[[#This Row],[C-Flex 4000K Eco Part Number]],Lutron_CFlex_Lookup[],MATCH("Lutron Kit PN",Lutron_CFlex_Lookup[#Headers],0),FALSE),"")</f>
        <v/>
      </c>
      <c r="AI948" s="1" t="str">
        <f>_xlfn.IFNA(VLOOKUP(Master_Reference[[#This Row],[C-Flex 5000K Eco Part Number]],Lutron_CFlex_Lookup[],MATCH("Lutron Kit PN",Lutron_CFlex_Lookup[#Headers],0),FALSE),"")</f>
        <v/>
      </c>
      <c r="AJ948" s="1" t="str">
        <f>_xlfn.IFNA(VLOOKUP(Master_Reference[[#This Row],[C-Flex 3000K 3W Part Number]],Lutron_CFlex_Lookup[],MATCH("Lutron Kit PN",Lutron_CFlex_Lookup[#Headers],0),FALSE),"")</f>
        <v/>
      </c>
      <c r="AK948" s="1" t="str">
        <f>_xlfn.IFNA(VLOOKUP(Master_Reference[[#This Row],[C-Flex 3500K 3W Part Number]],Lutron_CFlex_Lookup[],MATCH("Lutron Kit PN",Lutron_CFlex_Lookup[#Headers],0),FALSE),"")</f>
        <v/>
      </c>
      <c r="AL948" s="1" t="str">
        <f>_xlfn.IFNA(VLOOKUP(Master_Reference[[#This Row],[C-Flex 4000K 3W Part Number]],Lutron_CFlex_Lookup[],MATCH("Lutron Kit PN",Lutron_CFlex_Lookup[#Headers],0),FALSE),"")</f>
        <v/>
      </c>
      <c r="AM948" s="1" t="str">
        <f>_xlfn.IFNA(VLOOKUP(Master_Reference[[#This Row],[C-Flex 5000K 3W Part Number]],Lutron_CFlex_Lookup[],MATCH("Lutron Kit PN",Lutron_CFlex_Lookup[#Headers],0),FALSE),"")</f>
        <v/>
      </c>
      <c r="AN948" s="1" t="b">
        <f>NOT(ISNA(VLOOKUP(Master_Reference[[#This Row],[Model Number]],ObsoleteModels[],1,FALSE)))</f>
        <v>1</v>
      </c>
      <c r="AO948" s="1" t="str">
        <f>IF(LEFT(Master_Reference[[#This Row],[Model Number]],1)="U",LEFT(Master_Reference[[#This Row],[Model Number]],4),LEFT(Master_Reference[[#This Row],[Model Number]],3))</f>
        <v>TVE</v>
      </c>
    </row>
    <row r="949" spans="1:41" x14ac:dyDescent="0.25">
      <c r="A949" s="2" t="s">
        <v>1253</v>
      </c>
      <c r="B949" s="1"/>
      <c r="E949" s="1" t="b">
        <v>1</v>
      </c>
      <c r="G949" s="1" t="str">
        <f>IF(OR(LEFT(RIGHT(Master_Reference[[#This Row],[Model Number]],3),1)="C",LEFT(RIGHT(Master_Reference[[#This Row],[Model Number]],4),1)="C"),TRUE,"")</f>
        <v/>
      </c>
      <c r="H949" s="1" t="str">
        <f>IF(LEFT(Master_Reference[[#This Row],[Model Number]],1)="U",TRUE,"")</f>
        <v/>
      </c>
      <c r="I949" s="1" t="b">
        <f>IF(Master_Reference[[#This Row],[Lamp Type]]="T4","",IF(Master_Reference[[#This Row],[Case Type]]="M","",TRUE))</f>
        <v>1</v>
      </c>
      <c r="J949" s="1" t="s">
        <v>111</v>
      </c>
      <c r="K949" s="1">
        <v>45</v>
      </c>
      <c r="M949" s="1">
        <v>1</v>
      </c>
      <c r="N949" s="1">
        <v>200</v>
      </c>
      <c r="O949" s="1" t="s">
        <v>144</v>
      </c>
      <c r="Q949" s="1" t="s">
        <v>892</v>
      </c>
      <c r="R949" t="b">
        <f>IF(COUNTBLANK(Master_Reference[[#This Row],[C-Flex 3000K Eco Part Number]:[C-Flex 4000K Eco Part Number]])=3,FALSE,TRUE)</f>
        <v>0</v>
      </c>
      <c r="S949" t="b">
        <f>IF(COUNTBLANK(Master_Reference[[#This Row],[C-Flex 3000K 3W Part Number]:[C-Flex 4000K 3W Part Number]])=3,FALSE,TRUE)</f>
        <v>0</v>
      </c>
      <c r="T949" t="b">
        <f>IF(COUNTBLANK(Master_Reference[[#This Row],[Lutron 3000K Eco Part Number]:[Lutron 4000K Eco Part Number]])=3,FALSE,TRUE)</f>
        <v>0</v>
      </c>
      <c r="U949" t="b">
        <f>IF(COUNTBLANK(Master_Reference[[#This Row],[Lutron 3000K 3W Part Number]:[Lutron 4000K 3W Part Number]])=3,FALSE,TRUE)</f>
        <v>0</v>
      </c>
      <c r="V949" s="12"/>
      <c r="W949" s="12"/>
      <c r="X949" s="12"/>
      <c r="Y949" t="s">
        <v>2125</v>
      </c>
      <c r="Z949" s="12"/>
      <c r="AA949" s="12"/>
      <c r="AB949" s="12"/>
      <c r="AC949" t="s">
        <v>2125</v>
      </c>
      <c r="AD949" t="str">
        <f>SUBSTITUTE(Master_Reference[[#This Row],[C-Flex 4000K Eco Part Number]],"40-","xx-")</f>
        <v/>
      </c>
      <c r="AE949" t="str">
        <f>SUBSTITUTE(Master_Reference[[#This Row],[C-Flex 4000K 3W Part Number]],"40-","xx-")</f>
        <v/>
      </c>
      <c r="AF949" s="1" t="str">
        <f>_xlfn.IFNA(VLOOKUP(Master_Reference[[#This Row],[C-Flex 3000K Eco Part Number]],Lutron_CFlex_Lookup[],MATCH("Lutron Kit PN",Lutron_CFlex_Lookup[#Headers],0),FALSE),"")</f>
        <v/>
      </c>
      <c r="AG949" s="1" t="str">
        <f>_xlfn.IFNA(VLOOKUP(Master_Reference[[#This Row],[C-Flex 3500K Eco Part Number]],Lutron_CFlex_Lookup[],MATCH("Lutron Kit PN",Lutron_CFlex_Lookup[#Headers],0),FALSE),"")</f>
        <v/>
      </c>
      <c r="AH949" s="1" t="str">
        <f>_xlfn.IFNA(VLOOKUP(Master_Reference[[#This Row],[C-Flex 4000K Eco Part Number]],Lutron_CFlex_Lookup[],MATCH("Lutron Kit PN",Lutron_CFlex_Lookup[#Headers],0),FALSE),"")</f>
        <v/>
      </c>
      <c r="AI949" s="1" t="str">
        <f>_xlfn.IFNA(VLOOKUP(Master_Reference[[#This Row],[C-Flex 5000K Eco Part Number]],Lutron_CFlex_Lookup[],MATCH("Lutron Kit PN",Lutron_CFlex_Lookup[#Headers],0),FALSE),"")</f>
        <v/>
      </c>
      <c r="AJ949" s="1" t="str">
        <f>_xlfn.IFNA(VLOOKUP(Master_Reference[[#This Row],[C-Flex 3000K 3W Part Number]],Lutron_CFlex_Lookup[],MATCH("Lutron Kit PN",Lutron_CFlex_Lookup[#Headers],0),FALSE),"")</f>
        <v/>
      </c>
      <c r="AK949" s="1" t="str">
        <f>_xlfn.IFNA(VLOOKUP(Master_Reference[[#This Row],[C-Flex 3500K 3W Part Number]],Lutron_CFlex_Lookup[],MATCH("Lutron Kit PN",Lutron_CFlex_Lookup[#Headers],0),FALSE),"")</f>
        <v/>
      </c>
      <c r="AL949" s="1" t="str">
        <f>_xlfn.IFNA(VLOOKUP(Master_Reference[[#This Row],[C-Flex 4000K 3W Part Number]],Lutron_CFlex_Lookup[],MATCH("Lutron Kit PN",Lutron_CFlex_Lookup[#Headers],0),FALSE),"")</f>
        <v/>
      </c>
      <c r="AM949" s="1" t="str">
        <f>_xlfn.IFNA(VLOOKUP(Master_Reference[[#This Row],[C-Flex 5000K 3W Part Number]],Lutron_CFlex_Lookup[],MATCH("Lutron Kit PN",Lutron_CFlex_Lookup[#Headers],0),FALSE),"")</f>
        <v/>
      </c>
      <c r="AN949" s="1" t="b">
        <f>NOT(ISNA(VLOOKUP(Master_Reference[[#This Row],[Model Number]],ObsoleteModels[],1,FALSE)))</f>
        <v>1</v>
      </c>
      <c r="AO949" s="1" t="str">
        <f>IF(LEFT(Master_Reference[[#This Row],[Model Number]],1)="U",LEFT(Master_Reference[[#This Row],[Model Number]],4),LEFT(Master_Reference[[#This Row],[Model Number]],3))</f>
        <v>TVE</v>
      </c>
    </row>
    <row r="950" spans="1:41" x14ac:dyDescent="0.25">
      <c r="A950" s="2" t="s">
        <v>1254</v>
      </c>
      <c r="B950" s="1"/>
      <c r="E950" s="1" t="b">
        <v>1</v>
      </c>
      <c r="G950" s="1" t="str">
        <f>IF(OR(LEFT(RIGHT(Master_Reference[[#This Row],[Model Number]],3),1)="C",LEFT(RIGHT(Master_Reference[[#This Row],[Model Number]],4),1)="C"),TRUE,"")</f>
        <v/>
      </c>
      <c r="H950" s="1" t="str">
        <f>IF(LEFT(Master_Reference[[#This Row],[Model Number]],1)="U",TRUE,"")</f>
        <v/>
      </c>
      <c r="I950" s="1" t="b">
        <f>IF(Master_Reference[[#This Row],[Lamp Type]]="T4","",IF(Master_Reference[[#This Row],[Case Type]]="M","",TRUE))</f>
        <v>1</v>
      </c>
      <c r="J950" s="1" t="s">
        <v>111</v>
      </c>
      <c r="K950" s="1">
        <v>45</v>
      </c>
      <c r="M950" s="1">
        <v>2</v>
      </c>
      <c r="N950" s="1">
        <v>200</v>
      </c>
      <c r="O950" s="1" t="s">
        <v>144</v>
      </c>
      <c r="Q950" s="1" t="s">
        <v>892</v>
      </c>
      <c r="R950" t="b">
        <f>IF(COUNTBLANK(Master_Reference[[#This Row],[C-Flex 3000K Eco Part Number]:[C-Flex 4000K Eco Part Number]])=3,FALSE,TRUE)</f>
        <v>0</v>
      </c>
      <c r="S950" t="b">
        <f>IF(COUNTBLANK(Master_Reference[[#This Row],[C-Flex 3000K 3W Part Number]:[C-Flex 4000K 3W Part Number]])=3,FALSE,TRUE)</f>
        <v>0</v>
      </c>
      <c r="T950" t="b">
        <f>IF(COUNTBLANK(Master_Reference[[#This Row],[Lutron 3000K Eco Part Number]:[Lutron 4000K Eco Part Number]])=3,FALSE,TRUE)</f>
        <v>0</v>
      </c>
      <c r="U950" t="b">
        <f>IF(COUNTBLANK(Master_Reference[[#This Row],[Lutron 3000K 3W Part Number]:[Lutron 4000K 3W Part Number]])=3,FALSE,TRUE)</f>
        <v>0</v>
      </c>
      <c r="V950" s="12"/>
      <c r="W950" s="12"/>
      <c r="X950" s="12"/>
      <c r="Y950" t="s">
        <v>2125</v>
      </c>
      <c r="Z950" s="12"/>
      <c r="AA950" s="12"/>
      <c r="AB950" s="12"/>
      <c r="AC950" t="s">
        <v>2125</v>
      </c>
      <c r="AD950" t="str">
        <f>SUBSTITUTE(Master_Reference[[#This Row],[C-Flex 4000K Eco Part Number]],"40-","xx-")</f>
        <v/>
      </c>
      <c r="AE950" t="str">
        <f>SUBSTITUTE(Master_Reference[[#This Row],[C-Flex 4000K 3W Part Number]],"40-","xx-")</f>
        <v/>
      </c>
      <c r="AF950" s="1" t="str">
        <f>_xlfn.IFNA(VLOOKUP(Master_Reference[[#This Row],[C-Flex 3000K Eco Part Number]],Lutron_CFlex_Lookup[],MATCH("Lutron Kit PN",Lutron_CFlex_Lookup[#Headers],0),FALSE),"")</f>
        <v/>
      </c>
      <c r="AG950" s="1" t="str">
        <f>_xlfn.IFNA(VLOOKUP(Master_Reference[[#This Row],[C-Flex 3500K Eco Part Number]],Lutron_CFlex_Lookup[],MATCH("Lutron Kit PN",Lutron_CFlex_Lookup[#Headers],0),FALSE),"")</f>
        <v/>
      </c>
      <c r="AH950" s="1" t="str">
        <f>_xlfn.IFNA(VLOOKUP(Master_Reference[[#This Row],[C-Flex 4000K Eco Part Number]],Lutron_CFlex_Lookup[],MATCH("Lutron Kit PN",Lutron_CFlex_Lookup[#Headers],0),FALSE),"")</f>
        <v/>
      </c>
      <c r="AI950" s="1" t="str">
        <f>_xlfn.IFNA(VLOOKUP(Master_Reference[[#This Row],[C-Flex 5000K Eco Part Number]],Lutron_CFlex_Lookup[],MATCH("Lutron Kit PN",Lutron_CFlex_Lookup[#Headers],0),FALSE),"")</f>
        <v/>
      </c>
      <c r="AJ950" s="1" t="str">
        <f>_xlfn.IFNA(VLOOKUP(Master_Reference[[#This Row],[C-Flex 3000K 3W Part Number]],Lutron_CFlex_Lookup[],MATCH("Lutron Kit PN",Lutron_CFlex_Lookup[#Headers],0),FALSE),"")</f>
        <v/>
      </c>
      <c r="AK950" s="1" t="str">
        <f>_xlfn.IFNA(VLOOKUP(Master_Reference[[#This Row],[C-Flex 3500K 3W Part Number]],Lutron_CFlex_Lookup[],MATCH("Lutron Kit PN",Lutron_CFlex_Lookup[#Headers],0),FALSE),"")</f>
        <v/>
      </c>
      <c r="AL950" s="1" t="str">
        <f>_xlfn.IFNA(VLOOKUP(Master_Reference[[#This Row],[C-Flex 4000K 3W Part Number]],Lutron_CFlex_Lookup[],MATCH("Lutron Kit PN",Lutron_CFlex_Lookup[#Headers],0),FALSE),"")</f>
        <v/>
      </c>
      <c r="AM950" s="1" t="str">
        <f>_xlfn.IFNA(VLOOKUP(Master_Reference[[#This Row],[C-Flex 5000K 3W Part Number]],Lutron_CFlex_Lookup[],MATCH("Lutron Kit PN",Lutron_CFlex_Lookup[#Headers],0),FALSE),"")</f>
        <v/>
      </c>
      <c r="AN950" s="1" t="b">
        <f>NOT(ISNA(VLOOKUP(Master_Reference[[#This Row],[Model Number]],ObsoleteModels[],1,FALSE)))</f>
        <v>1</v>
      </c>
      <c r="AO950" s="1" t="str">
        <f>IF(LEFT(Master_Reference[[#This Row],[Model Number]],1)="U",LEFT(Master_Reference[[#This Row],[Model Number]],4),LEFT(Master_Reference[[#This Row],[Model Number]],3))</f>
        <v>TVE</v>
      </c>
    </row>
    <row r="951" spans="1:41" x14ac:dyDescent="0.25">
      <c r="A951" s="2" t="s">
        <v>1255</v>
      </c>
      <c r="B951" s="1"/>
      <c r="D951" s="1" t="b">
        <v>1</v>
      </c>
      <c r="G951" s="1" t="str">
        <f>IF(OR(LEFT(RIGHT(Master_Reference[[#This Row],[Model Number]],3),1)="C",LEFT(RIGHT(Master_Reference[[#This Row],[Model Number]],4),1)="C"),TRUE,"")</f>
        <v/>
      </c>
      <c r="H951" s="1" t="b">
        <f>IF(LEFT(Master_Reference[[#This Row],[Model Number]],1)="U",TRUE,"")</f>
        <v>1</v>
      </c>
      <c r="I951" s="1" t="b">
        <f>IF(Master_Reference[[#This Row],[Lamp Type]]="T4","",IF(Master_Reference[[#This Row],[Case Type]]="M","",TRUE))</f>
        <v>1</v>
      </c>
      <c r="J951" s="1" t="s">
        <v>111</v>
      </c>
      <c r="K951" s="1">
        <v>32</v>
      </c>
      <c r="L951" s="1" t="s">
        <v>118</v>
      </c>
      <c r="M951" s="1">
        <v>2</v>
      </c>
      <c r="N951" s="1">
        <v>120</v>
      </c>
      <c r="O951" s="1" t="s">
        <v>113</v>
      </c>
      <c r="R951" t="b">
        <f>IF(COUNTBLANK(Master_Reference[[#This Row],[C-Flex 3000K Eco Part Number]:[C-Flex 4000K Eco Part Number]])=3,FALSE,TRUE)</f>
        <v>0</v>
      </c>
      <c r="S951" t="b">
        <f>IF(COUNTBLANK(Master_Reference[[#This Row],[C-Flex 3000K 3W Part Number]:[C-Flex 4000K 3W Part Number]])=3,FALSE,TRUE)</f>
        <v>0</v>
      </c>
      <c r="T951" t="b">
        <f>IF(COUNTBLANK(Master_Reference[[#This Row],[Lutron 3000K Eco Part Number]:[Lutron 4000K Eco Part Number]])=3,FALSE,TRUE)</f>
        <v>0</v>
      </c>
      <c r="U951" t="b">
        <f>IF(COUNTBLANK(Master_Reference[[#This Row],[Lutron 3000K 3W Part Number]:[Lutron 4000K 3W Part Number]])=3,FALSE,TRUE)</f>
        <v>0</v>
      </c>
      <c r="V951" s="12"/>
      <c r="W951" s="12"/>
      <c r="X951" s="12"/>
      <c r="Y951" t="s">
        <v>2125</v>
      </c>
      <c r="Z951" s="12"/>
      <c r="AA951" s="12"/>
      <c r="AB951" s="12"/>
      <c r="AC951" t="s">
        <v>2125</v>
      </c>
      <c r="AD951" t="str">
        <f>SUBSTITUTE(Master_Reference[[#This Row],[C-Flex 4000K Eco Part Number]],"40-","xx-")</f>
        <v/>
      </c>
      <c r="AE951" t="str">
        <f>SUBSTITUTE(Master_Reference[[#This Row],[C-Flex 4000K 3W Part Number]],"40-","xx-")</f>
        <v/>
      </c>
      <c r="AF951" s="1" t="str">
        <f>_xlfn.IFNA(VLOOKUP(Master_Reference[[#This Row],[C-Flex 3000K Eco Part Number]],Lutron_CFlex_Lookup[],MATCH("Lutron Kit PN",Lutron_CFlex_Lookup[#Headers],0),FALSE),"")</f>
        <v/>
      </c>
      <c r="AG951" s="1" t="str">
        <f>_xlfn.IFNA(VLOOKUP(Master_Reference[[#This Row],[C-Flex 3500K Eco Part Number]],Lutron_CFlex_Lookup[],MATCH("Lutron Kit PN",Lutron_CFlex_Lookup[#Headers],0),FALSE),"")</f>
        <v/>
      </c>
      <c r="AH951" s="1" t="str">
        <f>_xlfn.IFNA(VLOOKUP(Master_Reference[[#This Row],[C-Flex 4000K Eco Part Number]],Lutron_CFlex_Lookup[],MATCH("Lutron Kit PN",Lutron_CFlex_Lookup[#Headers],0),FALSE),"")</f>
        <v/>
      </c>
      <c r="AI951" s="1" t="str">
        <f>_xlfn.IFNA(VLOOKUP(Master_Reference[[#This Row],[C-Flex 5000K Eco Part Number]],Lutron_CFlex_Lookup[],MATCH("Lutron Kit PN",Lutron_CFlex_Lookup[#Headers],0),FALSE),"")</f>
        <v/>
      </c>
      <c r="AJ951" s="1" t="str">
        <f>_xlfn.IFNA(VLOOKUP(Master_Reference[[#This Row],[C-Flex 3000K 3W Part Number]],Lutron_CFlex_Lookup[],MATCH("Lutron Kit PN",Lutron_CFlex_Lookup[#Headers],0),FALSE),"")</f>
        <v/>
      </c>
      <c r="AK951" s="1" t="str">
        <f>_xlfn.IFNA(VLOOKUP(Master_Reference[[#This Row],[C-Flex 3500K 3W Part Number]],Lutron_CFlex_Lookup[],MATCH("Lutron Kit PN",Lutron_CFlex_Lookup[#Headers],0),FALSE),"")</f>
        <v/>
      </c>
      <c r="AL951" s="1" t="str">
        <f>_xlfn.IFNA(VLOOKUP(Master_Reference[[#This Row],[C-Flex 4000K 3W Part Number]],Lutron_CFlex_Lookup[],MATCH("Lutron Kit PN",Lutron_CFlex_Lookup[#Headers],0),FALSE),"")</f>
        <v/>
      </c>
      <c r="AM951" s="1" t="str">
        <f>_xlfn.IFNA(VLOOKUP(Master_Reference[[#This Row],[C-Flex 5000K 3W Part Number]],Lutron_CFlex_Lookup[],MATCH("Lutron Kit PN",Lutron_CFlex_Lookup[#Headers],0),FALSE),"")</f>
        <v/>
      </c>
      <c r="AN951" s="1" t="b">
        <f>NOT(ISNA(VLOOKUP(Master_Reference[[#This Row],[Model Number]],ObsoleteModels[],1,FALSE)))</f>
        <v>1</v>
      </c>
      <c r="AO951" s="1" t="str">
        <f>IF(LEFT(Master_Reference[[#This Row],[Model Number]],1)="U",LEFT(Master_Reference[[#This Row],[Model Number]],4),LEFT(Master_Reference[[#This Row],[Model Number]],3))</f>
        <v>U2W-</v>
      </c>
    </row>
    <row r="952" spans="1:41" x14ac:dyDescent="0.25">
      <c r="A952" s="2" t="s">
        <v>1256</v>
      </c>
      <c r="B952" s="1" t="b">
        <v>1</v>
      </c>
      <c r="C952" s="1" t="b">
        <v>1</v>
      </c>
      <c r="G952" s="1" t="str">
        <f>IF(OR(LEFT(RIGHT(Master_Reference[[#This Row],[Model Number]],3),1)="C",LEFT(RIGHT(Master_Reference[[#This Row],[Model Number]],4),1)="C"),TRUE,"")</f>
        <v/>
      </c>
      <c r="H952" s="1" t="b">
        <f>IF(LEFT(Master_Reference[[#This Row],[Model Number]],1)="U",TRUE,"")</f>
        <v>1</v>
      </c>
      <c r="I952" s="1" t="str">
        <f>IF(Master_Reference[[#This Row],[Lamp Type]]="T4","",IF(Master_Reference[[#This Row],[Case Type]]="M","",TRUE))</f>
        <v/>
      </c>
      <c r="J952" s="1" t="s">
        <v>87</v>
      </c>
      <c r="K952" s="1" t="s">
        <v>190</v>
      </c>
      <c r="L952" s="1" t="s">
        <v>88</v>
      </c>
      <c r="M952" s="1">
        <v>1</v>
      </c>
      <c r="N952" s="1" t="s">
        <v>149</v>
      </c>
      <c r="O952" s="1" t="s">
        <v>150</v>
      </c>
      <c r="R952" t="b">
        <f>IF(COUNTBLANK(Master_Reference[[#This Row],[C-Flex 3000K Eco Part Number]:[C-Flex 4000K Eco Part Number]])=3,FALSE,TRUE)</f>
        <v>1</v>
      </c>
      <c r="S952" t="b">
        <f>IF(COUNTBLANK(Master_Reference[[#This Row],[C-Flex 3000K 3W Part Number]:[C-Flex 4000K 3W Part Number]])=3,FALSE,TRUE)</f>
        <v>1</v>
      </c>
      <c r="T952" t="b">
        <f>IF(COUNTBLANK(Master_Reference[[#This Row],[Lutron 3000K Eco Part Number]:[Lutron 4000K Eco Part Number]])=3,FALSE,TRUE)</f>
        <v>0</v>
      </c>
      <c r="U952" t="b">
        <f>IF(COUNTBLANK(Master_Reference[[#This Row],[Lutron 3000K 3W Part Number]:[Lutron 4000K 3W Part Number]])=3,FALSE,TRUE)</f>
        <v>0</v>
      </c>
      <c r="V952" s="12" t="s">
        <v>191</v>
      </c>
      <c r="W952" s="12" t="s">
        <v>192</v>
      </c>
      <c r="X952" s="12" t="s">
        <v>193</v>
      </c>
      <c r="Y952" t="s">
        <v>2125</v>
      </c>
      <c r="Z952" s="12" t="s">
        <v>194</v>
      </c>
      <c r="AA952" s="12" t="s">
        <v>195</v>
      </c>
      <c r="AB952" s="12" t="s">
        <v>196</v>
      </c>
      <c r="AC952" t="s">
        <v>2125</v>
      </c>
      <c r="AD952" t="str">
        <f>SUBSTITUTE(Master_Reference[[#This Row],[C-Flex 4000K Eco Part Number]],"40-","xx-")</f>
        <v>RP-G24Q-1wwm-1L-8xx-E1-KN-G2</v>
      </c>
      <c r="AE952" t="str">
        <f>SUBSTITUTE(Master_Reference[[#This Row],[C-Flex 4000K 3W Part Number]],"40-","xx-")</f>
        <v>RP-G24Q-1wwm-1L-8xx-3W-KN-G2</v>
      </c>
      <c r="AF952" s="1" t="str">
        <f>_xlfn.IFNA(VLOOKUP(Master_Reference[[#This Row],[C-Flex 3000K Eco Part Number]],Lutron_CFlex_Lookup[],MATCH("Lutron Kit PN",Lutron_CFlex_Lookup[#Headers],0),FALSE),"")</f>
        <v/>
      </c>
      <c r="AG952" s="1" t="str">
        <f>_xlfn.IFNA(VLOOKUP(Master_Reference[[#This Row],[C-Flex 3500K Eco Part Number]],Lutron_CFlex_Lookup[],MATCH("Lutron Kit PN",Lutron_CFlex_Lookup[#Headers],0),FALSE),"")</f>
        <v/>
      </c>
      <c r="AH952" s="1" t="str">
        <f>_xlfn.IFNA(VLOOKUP(Master_Reference[[#This Row],[C-Flex 4000K Eco Part Number]],Lutron_CFlex_Lookup[],MATCH("Lutron Kit PN",Lutron_CFlex_Lookup[#Headers],0),FALSE),"")</f>
        <v/>
      </c>
      <c r="AI952" s="1" t="str">
        <f>_xlfn.IFNA(VLOOKUP(Master_Reference[[#This Row],[C-Flex 5000K Eco Part Number]],Lutron_CFlex_Lookup[],MATCH("Lutron Kit PN",Lutron_CFlex_Lookup[#Headers],0),FALSE),"")</f>
        <v/>
      </c>
      <c r="AJ952" s="1" t="str">
        <f>_xlfn.IFNA(VLOOKUP(Master_Reference[[#This Row],[C-Flex 3000K 3W Part Number]],Lutron_CFlex_Lookup[],MATCH("Lutron Kit PN",Lutron_CFlex_Lookup[#Headers],0),FALSE),"")</f>
        <v/>
      </c>
      <c r="AK952" s="1" t="str">
        <f>_xlfn.IFNA(VLOOKUP(Master_Reference[[#This Row],[C-Flex 3500K 3W Part Number]],Lutron_CFlex_Lookup[],MATCH("Lutron Kit PN",Lutron_CFlex_Lookup[#Headers],0),FALSE),"")</f>
        <v/>
      </c>
      <c r="AL952" s="1" t="str">
        <f>_xlfn.IFNA(VLOOKUP(Master_Reference[[#This Row],[C-Flex 4000K 3W Part Number]],Lutron_CFlex_Lookup[],MATCH("Lutron Kit PN",Lutron_CFlex_Lookup[#Headers],0),FALSE),"")</f>
        <v/>
      </c>
      <c r="AM952" s="1" t="str">
        <f>_xlfn.IFNA(VLOOKUP(Master_Reference[[#This Row],[C-Flex 5000K 3W Part Number]],Lutron_CFlex_Lookup[],MATCH("Lutron Kit PN",Lutron_CFlex_Lookup[#Headers],0),FALSE),"")</f>
        <v/>
      </c>
      <c r="AN952" s="1" t="b">
        <f>NOT(ISNA(VLOOKUP(Master_Reference[[#This Row],[Model Number]],ObsoleteModels[],1,FALSE)))</f>
        <v>1</v>
      </c>
      <c r="AO952" s="1" t="str">
        <f>IF(LEFT(Master_Reference[[#This Row],[Model Number]],1)="U",LEFT(Master_Reference[[#This Row],[Model Number]],4),LEFT(Master_Reference[[#This Row],[Model Number]],3))</f>
        <v>UEC3</v>
      </c>
    </row>
    <row r="953" spans="1:41" x14ac:dyDescent="0.25">
      <c r="A953" s="2" t="s">
        <v>1257</v>
      </c>
      <c r="B953" s="1" t="b">
        <v>1</v>
      </c>
      <c r="C953" s="1" t="b">
        <v>1</v>
      </c>
      <c r="G953" s="1" t="str">
        <f>IF(OR(LEFT(RIGHT(Master_Reference[[#This Row],[Model Number]],3),1)="C",LEFT(RIGHT(Master_Reference[[#This Row],[Model Number]],4),1)="C"),TRUE,"")</f>
        <v/>
      </c>
      <c r="H953" s="1" t="b">
        <f>IF(LEFT(Master_Reference[[#This Row],[Model Number]],1)="U",TRUE,"")</f>
        <v>1</v>
      </c>
      <c r="I953" s="1" t="str">
        <f>IF(Master_Reference[[#This Row],[Lamp Type]]="T4","",IF(Master_Reference[[#This Row],[Case Type]]="M","",TRUE))</f>
        <v/>
      </c>
      <c r="J953" s="1" t="s">
        <v>87</v>
      </c>
      <c r="K953" s="1" t="s">
        <v>190</v>
      </c>
      <c r="L953" s="1" t="s">
        <v>88</v>
      </c>
      <c r="M953" s="1">
        <v>1</v>
      </c>
      <c r="N953" s="1" t="s">
        <v>149</v>
      </c>
      <c r="O953" s="1" t="s">
        <v>150</v>
      </c>
      <c r="P953" s="1" t="b">
        <v>1</v>
      </c>
      <c r="R953" t="b">
        <f>IF(COUNTBLANK(Master_Reference[[#This Row],[C-Flex 3000K Eco Part Number]:[C-Flex 4000K Eco Part Number]])=3,FALSE,TRUE)</f>
        <v>1</v>
      </c>
      <c r="S953" t="b">
        <f>IF(COUNTBLANK(Master_Reference[[#This Row],[C-Flex 3000K 3W Part Number]:[C-Flex 4000K 3W Part Number]])=3,FALSE,TRUE)</f>
        <v>1</v>
      </c>
      <c r="T953" t="b">
        <f>IF(COUNTBLANK(Master_Reference[[#This Row],[Lutron 3000K Eco Part Number]:[Lutron 4000K Eco Part Number]])=3,FALSE,TRUE)</f>
        <v>0</v>
      </c>
      <c r="U953" t="b">
        <f>IF(COUNTBLANK(Master_Reference[[#This Row],[Lutron 3000K 3W Part Number]:[Lutron 4000K 3W Part Number]])=3,FALSE,TRUE)</f>
        <v>0</v>
      </c>
      <c r="V953" s="12" t="s">
        <v>199</v>
      </c>
      <c r="W953" s="12" t="s">
        <v>200</v>
      </c>
      <c r="X953" s="12" t="s">
        <v>201</v>
      </c>
      <c r="Y953" t="s">
        <v>2125</v>
      </c>
      <c r="Z953" s="12" t="s">
        <v>202</v>
      </c>
      <c r="AA953" s="12" t="s">
        <v>203</v>
      </c>
      <c r="AB953" s="12" t="s">
        <v>204</v>
      </c>
      <c r="AC953" t="s">
        <v>2125</v>
      </c>
      <c r="AD953" t="str">
        <f>SUBSTITUTE(Master_Reference[[#This Row],[C-Flex 4000K Eco Part Number]],"40-","xx-")</f>
        <v>RP-G24Q-1wwm-1L-8xx-E1-K-G2</v>
      </c>
      <c r="AE953" t="str">
        <f>SUBSTITUTE(Master_Reference[[#This Row],[C-Flex 4000K 3W Part Number]],"40-","xx-")</f>
        <v>RP-G24Q-1wwm-1L-8xx-3W-K-G2</v>
      </c>
      <c r="AF953" s="1" t="str">
        <f>_xlfn.IFNA(VLOOKUP(Master_Reference[[#This Row],[C-Flex 3000K Eco Part Number]],Lutron_CFlex_Lookup[],MATCH("Lutron Kit PN",Lutron_CFlex_Lookup[#Headers],0),FALSE),"")</f>
        <v/>
      </c>
      <c r="AG953" s="1" t="str">
        <f>_xlfn.IFNA(VLOOKUP(Master_Reference[[#This Row],[C-Flex 3500K Eco Part Number]],Lutron_CFlex_Lookup[],MATCH("Lutron Kit PN",Lutron_CFlex_Lookup[#Headers],0),FALSE),"")</f>
        <v/>
      </c>
      <c r="AH953" s="1" t="str">
        <f>_xlfn.IFNA(VLOOKUP(Master_Reference[[#This Row],[C-Flex 4000K Eco Part Number]],Lutron_CFlex_Lookup[],MATCH("Lutron Kit PN",Lutron_CFlex_Lookup[#Headers],0),FALSE),"")</f>
        <v/>
      </c>
      <c r="AI953" s="1" t="str">
        <f>_xlfn.IFNA(VLOOKUP(Master_Reference[[#This Row],[C-Flex 5000K Eco Part Number]],Lutron_CFlex_Lookup[],MATCH("Lutron Kit PN",Lutron_CFlex_Lookup[#Headers],0),FALSE),"")</f>
        <v/>
      </c>
      <c r="AJ953" s="1" t="str">
        <f>_xlfn.IFNA(VLOOKUP(Master_Reference[[#This Row],[C-Flex 3000K 3W Part Number]],Lutron_CFlex_Lookup[],MATCH("Lutron Kit PN",Lutron_CFlex_Lookup[#Headers],0),FALSE),"")</f>
        <v/>
      </c>
      <c r="AK953" s="1" t="str">
        <f>_xlfn.IFNA(VLOOKUP(Master_Reference[[#This Row],[C-Flex 3500K 3W Part Number]],Lutron_CFlex_Lookup[],MATCH("Lutron Kit PN",Lutron_CFlex_Lookup[#Headers],0),FALSE),"")</f>
        <v/>
      </c>
      <c r="AL953" s="1" t="str">
        <f>_xlfn.IFNA(VLOOKUP(Master_Reference[[#This Row],[C-Flex 4000K 3W Part Number]],Lutron_CFlex_Lookup[],MATCH("Lutron Kit PN",Lutron_CFlex_Lookup[#Headers],0),FALSE),"")</f>
        <v/>
      </c>
      <c r="AM953" s="1" t="str">
        <f>_xlfn.IFNA(VLOOKUP(Master_Reference[[#This Row],[C-Flex 5000K 3W Part Number]],Lutron_CFlex_Lookup[],MATCH("Lutron Kit PN",Lutron_CFlex_Lookup[#Headers],0),FALSE),"")</f>
        <v/>
      </c>
      <c r="AN953" s="1" t="b">
        <f>NOT(ISNA(VLOOKUP(Master_Reference[[#This Row],[Model Number]],ObsoleteModels[],1,FALSE)))</f>
        <v>1</v>
      </c>
      <c r="AO953" s="1" t="str">
        <f>IF(LEFT(Master_Reference[[#This Row],[Model Number]],1)="U",LEFT(Master_Reference[[#This Row],[Model Number]],4),LEFT(Master_Reference[[#This Row],[Model Number]],3))</f>
        <v>UEC3</v>
      </c>
    </row>
    <row r="954" spans="1:41" x14ac:dyDescent="0.25">
      <c r="A954" s="2" t="s">
        <v>1258</v>
      </c>
      <c r="B954" s="1" t="b">
        <v>1</v>
      </c>
      <c r="C954" s="1" t="b">
        <v>1</v>
      </c>
      <c r="G954" s="1" t="str">
        <f>IF(OR(LEFT(RIGHT(Master_Reference[[#This Row],[Model Number]],3),1)="C",LEFT(RIGHT(Master_Reference[[#This Row],[Model Number]],4),1)="C"),TRUE,"")</f>
        <v/>
      </c>
      <c r="H954" s="1" t="b">
        <f>IF(LEFT(Master_Reference[[#This Row],[Model Number]],1)="U",TRUE,"")</f>
        <v>1</v>
      </c>
      <c r="I954" s="1" t="str">
        <f>IF(Master_Reference[[#This Row],[Lamp Type]]="T4","",IF(Master_Reference[[#This Row],[Case Type]]="M","",TRUE))</f>
        <v/>
      </c>
      <c r="J954" s="1" t="s">
        <v>87</v>
      </c>
      <c r="K954" s="1" t="s">
        <v>190</v>
      </c>
      <c r="L954" s="1" t="s">
        <v>88</v>
      </c>
      <c r="M954" s="1">
        <v>2</v>
      </c>
      <c r="N954" s="1" t="s">
        <v>149</v>
      </c>
      <c r="O954" s="1" t="s">
        <v>150</v>
      </c>
      <c r="R954" t="b">
        <f>IF(COUNTBLANK(Master_Reference[[#This Row],[C-Flex 3000K Eco Part Number]:[C-Flex 4000K Eco Part Number]])=3,FALSE,TRUE)</f>
        <v>1</v>
      </c>
      <c r="S954" t="b">
        <f>IF(COUNTBLANK(Master_Reference[[#This Row],[C-Flex 3000K 3W Part Number]:[C-Flex 4000K 3W Part Number]])=3,FALSE,TRUE)</f>
        <v>1</v>
      </c>
      <c r="T954" t="b">
        <f>IF(COUNTBLANK(Master_Reference[[#This Row],[Lutron 3000K Eco Part Number]:[Lutron 4000K Eco Part Number]])=3,FALSE,TRUE)</f>
        <v>0</v>
      </c>
      <c r="U954" t="b">
        <f>IF(COUNTBLANK(Master_Reference[[#This Row],[Lutron 3000K 3W Part Number]:[Lutron 4000K 3W Part Number]])=3,FALSE,TRUE)</f>
        <v>0</v>
      </c>
      <c r="V954" s="12" t="s">
        <v>1576</v>
      </c>
      <c r="W954" s="12" t="s">
        <v>1577</v>
      </c>
      <c r="X954" s="12" t="s">
        <v>1578</v>
      </c>
      <c r="Y954" t="s">
        <v>2125</v>
      </c>
      <c r="Z954" s="12" t="s">
        <v>1579</v>
      </c>
      <c r="AA954" s="12" t="s">
        <v>1580</v>
      </c>
      <c r="AB954" s="12" t="s">
        <v>1581</v>
      </c>
      <c r="AC954" t="s">
        <v>2125</v>
      </c>
      <c r="AD954" t="str">
        <f>SUBSTITUTE(Master_Reference[[#This Row],[C-Flex 4000K Eco Part Number]],"40-","xx-")</f>
        <v>RP-G24Q-2wwm-2L-8xx-E1-KN-G2</v>
      </c>
      <c r="AE954" t="str">
        <f>SUBSTITUTE(Master_Reference[[#This Row],[C-Flex 4000K 3W Part Number]],"40-","xx-")</f>
        <v>RP-G24Q-2wwm-2L-8xx-3W-KN-G2</v>
      </c>
      <c r="AF954" s="1" t="str">
        <f>_xlfn.IFNA(VLOOKUP(Master_Reference[[#This Row],[C-Flex 3000K Eco Part Number]],Lutron_CFlex_Lookup[],MATCH("Lutron Kit PN",Lutron_CFlex_Lookup[#Headers],0),FALSE),"")</f>
        <v/>
      </c>
      <c r="AG954" s="1" t="str">
        <f>_xlfn.IFNA(VLOOKUP(Master_Reference[[#This Row],[C-Flex 3500K Eco Part Number]],Lutron_CFlex_Lookup[],MATCH("Lutron Kit PN",Lutron_CFlex_Lookup[#Headers],0),FALSE),"")</f>
        <v/>
      </c>
      <c r="AH954" s="1" t="str">
        <f>_xlfn.IFNA(VLOOKUP(Master_Reference[[#This Row],[C-Flex 4000K Eco Part Number]],Lutron_CFlex_Lookup[],MATCH("Lutron Kit PN",Lutron_CFlex_Lookup[#Headers],0),FALSE),"")</f>
        <v/>
      </c>
      <c r="AI954" s="1" t="str">
        <f>_xlfn.IFNA(VLOOKUP(Master_Reference[[#This Row],[C-Flex 5000K Eco Part Number]],Lutron_CFlex_Lookup[],MATCH("Lutron Kit PN",Lutron_CFlex_Lookup[#Headers],0),FALSE),"")</f>
        <v/>
      </c>
      <c r="AJ954" s="1" t="str">
        <f>_xlfn.IFNA(VLOOKUP(Master_Reference[[#This Row],[C-Flex 3000K 3W Part Number]],Lutron_CFlex_Lookup[],MATCH("Lutron Kit PN",Lutron_CFlex_Lookup[#Headers],0),FALSE),"")</f>
        <v/>
      </c>
      <c r="AK954" s="1" t="str">
        <f>_xlfn.IFNA(VLOOKUP(Master_Reference[[#This Row],[C-Flex 3500K 3W Part Number]],Lutron_CFlex_Lookup[],MATCH("Lutron Kit PN",Lutron_CFlex_Lookup[#Headers],0),FALSE),"")</f>
        <v/>
      </c>
      <c r="AL954" s="1" t="str">
        <f>_xlfn.IFNA(VLOOKUP(Master_Reference[[#This Row],[C-Flex 4000K 3W Part Number]],Lutron_CFlex_Lookup[],MATCH("Lutron Kit PN",Lutron_CFlex_Lookup[#Headers],0),FALSE),"")</f>
        <v/>
      </c>
      <c r="AM954" s="1" t="str">
        <f>_xlfn.IFNA(VLOOKUP(Master_Reference[[#This Row],[C-Flex 5000K 3W Part Number]],Lutron_CFlex_Lookup[],MATCH("Lutron Kit PN",Lutron_CFlex_Lookup[#Headers],0),FALSE),"")</f>
        <v/>
      </c>
      <c r="AN954" s="1" t="b">
        <f>NOT(ISNA(VLOOKUP(Master_Reference[[#This Row],[Model Number]],ObsoleteModels[],1,FALSE)))</f>
        <v>1</v>
      </c>
      <c r="AO954" s="1" t="str">
        <f>IF(LEFT(Master_Reference[[#This Row],[Model Number]],1)="U",LEFT(Master_Reference[[#This Row],[Model Number]],4),LEFT(Master_Reference[[#This Row],[Model Number]],3))</f>
        <v>UEC3</v>
      </c>
    </row>
    <row r="955" spans="1:41" x14ac:dyDescent="0.25">
      <c r="A955" s="2" t="s">
        <v>1259</v>
      </c>
      <c r="B955" s="1" t="b">
        <v>1</v>
      </c>
      <c r="C955" s="1" t="b">
        <v>1</v>
      </c>
      <c r="G955" s="1" t="str">
        <f>IF(OR(LEFT(RIGHT(Master_Reference[[#This Row],[Model Number]],3),1)="C",LEFT(RIGHT(Master_Reference[[#This Row],[Model Number]],4),1)="C"),TRUE,"")</f>
        <v/>
      </c>
      <c r="H955" s="1" t="b">
        <f>IF(LEFT(Master_Reference[[#This Row],[Model Number]],1)="U",TRUE,"")</f>
        <v>1</v>
      </c>
      <c r="I955" s="1" t="str">
        <f>IF(Master_Reference[[#This Row],[Lamp Type]]="T4","",IF(Master_Reference[[#This Row],[Case Type]]="M","",TRUE))</f>
        <v/>
      </c>
      <c r="J955" s="1" t="s">
        <v>87</v>
      </c>
      <c r="K955" s="1" t="s">
        <v>190</v>
      </c>
      <c r="L955" s="1" t="s">
        <v>88</v>
      </c>
      <c r="M955" s="1">
        <v>2</v>
      </c>
      <c r="N955" s="1" t="s">
        <v>149</v>
      </c>
      <c r="O955" s="1" t="s">
        <v>150</v>
      </c>
      <c r="P955" s="1" t="b">
        <v>1</v>
      </c>
      <c r="R955" t="b">
        <f>IF(COUNTBLANK(Master_Reference[[#This Row],[C-Flex 3000K Eco Part Number]:[C-Flex 4000K Eco Part Number]])=3,FALSE,TRUE)</f>
        <v>1</v>
      </c>
      <c r="S955" t="b">
        <f>IF(COUNTBLANK(Master_Reference[[#This Row],[C-Flex 3000K 3W Part Number]:[C-Flex 4000K 3W Part Number]])=3,FALSE,TRUE)</f>
        <v>1</v>
      </c>
      <c r="T955" t="b">
        <f>IF(COUNTBLANK(Master_Reference[[#This Row],[Lutron 3000K Eco Part Number]:[Lutron 4000K Eco Part Number]])=3,FALSE,TRUE)</f>
        <v>0</v>
      </c>
      <c r="U955" t="b">
        <f>IF(COUNTBLANK(Master_Reference[[#This Row],[Lutron 3000K 3W Part Number]:[Lutron 4000K 3W Part Number]])=3,FALSE,TRUE)</f>
        <v>0</v>
      </c>
      <c r="V955" s="12" t="s">
        <v>1582</v>
      </c>
      <c r="W955" s="12" t="s">
        <v>1583</v>
      </c>
      <c r="X955" s="12" t="s">
        <v>1584</v>
      </c>
      <c r="Y955" t="s">
        <v>2125</v>
      </c>
      <c r="Z955" s="12" t="s">
        <v>1585</v>
      </c>
      <c r="AA955" s="12" t="s">
        <v>1586</v>
      </c>
      <c r="AB955" s="12" t="s">
        <v>1587</v>
      </c>
      <c r="AC955" t="s">
        <v>2125</v>
      </c>
      <c r="AD955" t="str">
        <f>SUBSTITUTE(Master_Reference[[#This Row],[C-Flex 4000K Eco Part Number]],"40-","xx-")</f>
        <v>RP-G24Q-2wwm-2L-8xx-E1-K-G2</v>
      </c>
      <c r="AE955" t="str">
        <f>SUBSTITUTE(Master_Reference[[#This Row],[C-Flex 4000K 3W Part Number]],"40-","xx-")</f>
        <v>RP-G24Q-2wwm-2L-8xx-3W-K-G2</v>
      </c>
      <c r="AF955" s="1" t="str">
        <f>_xlfn.IFNA(VLOOKUP(Master_Reference[[#This Row],[C-Flex 3000K Eco Part Number]],Lutron_CFlex_Lookup[],MATCH("Lutron Kit PN",Lutron_CFlex_Lookup[#Headers],0),FALSE),"")</f>
        <v/>
      </c>
      <c r="AG955" s="1" t="str">
        <f>_xlfn.IFNA(VLOOKUP(Master_Reference[[#This Row],[C-Flex 3500K Eco Part Number]],Lutron_CFlex_Lookup[],MATCH("Lutron Kit PN",Lutron_CFlex_Lookup[#Headers],0),FALSE),"")</f>
        <v/>
      </c>
      <c r="AH955" s="1" t="str">
        <f>_xlfn.IFNA(VLOOKUP(Master_Reference[[#This Row],[C-Flex 4000K Eco Part Number]],Lutron_CFlex_Lookup[],MATCH("Lutron Kit PN",Lutron_CFlex_Lookup[#Headers],0),FALSE),"")</f>
        <v/>
      </c>
      <c r="AI955" s="1" t="str">
        <f>_xlfn.IFNA(VLOOKUP(Master_Reference[[#This Row],[C-Flex 5000K Eco Part Number]],Lutron_CFlex_Lookup[],MATCH("Lutron Kit PN",Lutron_CFlex_Lookup[#Headers],0),FALSE),"")</f>
        <v/>
      </c>
      <c r="AJ955" s="1" t="str">
        <f>_xlfn.IFNA(VLOOKUP(Master_Reference[[#This Row],[C-Flex 3000K 3W Part Number]],Lutron_CFlex_Lookup[],MATCH("Lutron Kit PN",Lutron_CFlex_Lookup[#Headers],0),FALSE),"")</f>
        <v/>
      </c>
      <c r="AK955" s="1" t="str">
        <f>_xlfn.IFNA(VLOOKUP(Master_Reference[[#This Row],[C-Flex 3500K 3W Part Number]],Lutron_CFlex_Lookup[],MATCH("Lutron Kit PN",Lutron_CFlex_Lookup[#Headers],0),FALSE),"")</f>
        <v/>
      </c>
      <c r="AL955" s="1" t="str">
        <f>_xlfn.IFNA(VLOOKUP(Master_Reference[[#This Row],[C-Flex 4000K 3W Part Number]],Lutron_CFlex_Lookup[],MATCH("Lutron Kit PN",Lutron_CFlex_Lookup[#Headers],0),FALSE),"")</f>
        <v/>
      </c>
      <c r="AM955" s="1" t="str">
        <f>_xlfn.IFNA(VLOOKUP(Master_Reference[[#This Row],[C-Flex 5000K 3W Part Number]],Lutron_CFlex_Lookup[],MATCH("Lutron Kit PN",Lutron_CFlex_Lookup[#Headers],0),FALSE),"")</f>
        <v/>
      </c>
      <c r="AN955" s="1" t="b">
        <f>NOT(ISNA(VLOOKUP(Master_Reference[[#This Row],[Model Number]],ObsoleteModels[],1,FALSE)))</f>
        <v>1</v>
      </c>
      <c r="AO955" s="1" t="str">
        <f>IF(LEFT(Master_Reference[[#This Row],[Model Number]],1)="U",LEFT(Master_Reference[[#This Row],[Model Number]],4),LEFT(Master_Reference[[#This Row],[Model Number]],3))</f>
        <v>UEC3</v>
      </c>
    </row>
    <row r="956" spans="1:41" x14ac:dyDescent="0.25">
      <c r="A956" s="2" t="s">
        <v>1260</v>
      </c>
      <c r="B956" s="1"/>
      <c r="C956" s="1" t="b">
        <v>1</v>
      </c>
      <c r="G956" s="1" t="str">
        <f>IF(OR(LEFT(RIGHT(Master_Reference[[#This Row],[Model Number]],3),1)="C",LEFT(RIGHT(Master_Reference[[#This Row],[Model Number]],4),1)="C"),TRUE,"")</f>
        <v/>
      </c>
      <c r="H956" s="1" t="b">
        <f>IF(LEFT(Master_Reference[[#This Row],[Model Number]],1)="U",TRUE,"")</f>
        <v>1</v>
      </c>
      <c r="I956" s="1" t="b">
        <f>IF(Master_Reference[[#This Row],[Lamp Type]]="T4","",IF(Master_Reference[[#This Row],[Case Type]]="M","",TRUE))</f>
        <v>1</v>
      </c>
      <c r="J956" s="1" t="s">
        <v>215</v>
      </c>
      <c r="K956" s="1">
        <v>40</v>
      </c>
      <c r="L956" s="1" t="s">
        <v>225</v>
      </c>
      <c r="M956" s="1">
        <v>2</v>
      </c>
      <c r="N956" s="1" t="s">
        <v>149</v>
      </c>
      <c r="O956" s="1" t="s">
        <v>217</v>
      </c>
      <c r="R956" t="b">
        <f>IF(COUNTBLANK(Master_Reference[[#This Row],[C-Flex 3000K Eco Part Number]:[C-Flex 4000K Eco Part Number]])=3,FALSE,TRUE)</f>
        <v>1</v>
      </c>
      <c r="S956" t="b">
        <f>IF(COUNTBLANK(Master_Reference[[#This Row],[C-Flex 3000K 3W Part Number]:[C-Flex 4000K 3W Part Number]])=3,FALSE,TRUE)</f>
        <v>1</v>
      </c>
      <c r="T956" t="b">
        <f>IF(COUNTBLANK(Master_Reference[[#This Row],[Lutron 3000K Eco Part Number]:[Lutron 4000K Eco Part Number]])=3,FALSE,TRUE)</f>
        <v>1</v>
      </c>
      <c r="U956" t="b">
        <f>IF(COUNTBLANK(Master_Reference[[#This Row],[Lutron 3000K 3W Part Number]:[Lutron 4000K 3W Part Number]])=3,FALSE,TRUE)</f>
        <v>1</v>
      </c>
      <c r="V956" s="12" t="s">
        <v>233</v>
      </c>
      <c r="W956" s="12" t="s">
        <v>234</v>
      </c>
      <c r="X956" s="12" t="s">
        <v>235</v>
      </c>
      <c r="Y956" t="s">
        <v>1713</v>
      </c>
      <c r="Z956" s="12" t="s">
        <v>236</v>
      </c>
      <c r="AA956" s="12" t="s">
        <v>237</v>
      </c>
      <c r="AB956" s="12" t="s">
        <v>238</v>
      </c>
      <c r="AC956" t="s">
        <v>1802</v>
      </c>
      <c r="AD956" t="str">
        <f>SUBSTITUTE(Master_Reference[[#This Row],[C-Flex 4000K Eco Part Number]],"40-","xx-")</f>
        <v>RP-PLL-5.0K-2L-8xx-E1-M-G2</v>
      </c>
      <c r="AE956" t="str">
        <f>SUBSTITUTE(Master_Reference[[#This Row],[C-Flex 4000K 3W Part Number]],"40-","xx-")</f>
        <v>RP-PLL-5.0K-2L-8xx-3W-M-G2</v>
      </c>
      <c r="AF956" s="1" t="str">
        <f>_xlfn.IFNA(VLOOKUP(Master_Reference[[#This Row],[C-Flex 3000K Eco Part Number]],Lutron_CFlex_Lookup[],MATCH("Lutron Kit PN",Lutron_CFlex_Lookup[#Headers],0),FALSE),"")</f>
        <v>ELD-TT-2M30-q</v>
      </c>
      <c r="AG956" s="1" t="str">
        <f>_xlfn.IFNA(VLOOKUP(Master_Reference[[#This Row],[C-Flex 3500K Eco Part Number]],Lutron_CFlex_Lookup[],MATCH("Lutron Kit PN",Lutron_CFlex_Lookup[#Headers],0),FALSE),"")</f>
        <v>ELD-TT-2M35-q</v>
      </c>
      <c r="AH956" s="1" t="str">
        <f>_xlfn.IFNA(VLOOKUP(Master_Reference[[#This Row],[C-Flex 4000K Eco Part Number]],Lutron_CFlex_Lookup[],MATCH("Lutron Kit PN",Lutron_CFlex_Lookup[#Headers],0),FALSE),"")</f>
        <v>ELD-TT-2M40-q</v>
      </c>
      <c r="AI956" s="1" t="str">
        <f>_xlfn.IFNA(VLOOKUP(Master_Reference[[#This Row],[C-Flex 5000K Eco Part Number]],Lutron_CFlex_Lookup[],MATCH("Lutron Kit PN",Lutron_CFlex_Lookup[#Headers],0),FALSE),"")</f>
        <v>ELD-TT-2M50-q</v>
      </c>
      <c r="AJ956" s="1" t="str">
        <f>_xlfn.IFNA(VLOOKUP(Master_Reference[[#This Row],[C-Flex 3000K 3W Part Number]],Lutron_CFlex_Lookup[],MATCH("Lutron Kit PN",Lutron_CFlex_Lookup[#Headers],0),FALSE),"")</f>
        <v>3LD-TT-2M30-q</v>
      </c>
      <c r="AK956" s="1" t="str">
        <f>_xlfn.IFNA(VLOOKUP(Master_Reference[[#This Row],[C-Flex 3500K 3W Part Number]],Lutron_CFlex_Lookup[],MATCH("Lutron Kit PN",Lutron_CFlex_Lookup[#Headers],0),FALSE),"")</f>
        <v>3LD-TT-2M35-q</v>
      </c>
      <c r="AL956" s="1" t="str">
        <f>_xlfn.IFNA(VLOOKUP(Master_Reference[[#This Row],[C-Flex 4000K 3W Part Number]],Lutron_CFlex_Lookup[],MATCH("Lutron Kit PN",Lutron_CFlex_Lookup[#Headers],0),FALSE),"")</f>
        <v>3LD-TT-2M40-q</v>
      </c>
      <c r="AM956" s="1" t="str">
        <f>_xlfn.IFNA(VLOOKUP(Master_Reference[[#This Row],[C-Flex 5000K 3W Part Number]],Lutron_CFlex_Lookup[],MATCH("Lutron Kit PN",Lutron_CFlex_Lookup[#Headers],0),FALSE),"")</f>
        <v>3LD-TT-2M50-q</v>
      </c>
      <c r="AN956" s="1" t="b">
        <f>NOT(ISNA(VLOOKUP(Master_Reference[[#This Row],[Model Number]],ObsoleteModels[],1,FALSE)))</f>
        <v>1</v>
      </c>
      <c r="AO956" s="1" t="str">
        <f>IF(LEFT(Master_Reference[[#This Row],[Model Number]],1)="U",LEFT(Master_Reference[[#This Row],[Model Number]],4),LEFT(Master_Reference[[#This Row],[Model Number]],3))</f>
        <v>UEC3</v>
      </c>
    </row>
    <row r="957" spans="1:41" x14ac:dyDescent="0.25">
      <c r="A957" s="2" t="s">
        <v>1261</v>
      </c>
      <c r="B957" s="1"/>
      <c r="C957" s="1" t="b">
        <v>1</v>
      </c>
      <c r="G957" s="1" t="str">
        <f>IF(OR(LEFT(RIGHT(Master_Reference[[#This Row],[Model Number]],3),1)="C",LEFT(RIGHT(Master_Reference[[#This Row],[Model Number]],4),1)="C"),TRUE,"")</f>
        <v/>
      </c>
      <c r="H957" s="1" t="b">
        <f>IF(LEFT(Master_Reference[[#This Row],[Model Number]],1)="U",TRUE,"")</f>
        <v>1</v>
      </c>
      <c r="I957" s="1" t="b">
        <f>IF(Master_Reference[[#This Row],[Lamp Type]]="T4","",IF(Master_Reference[[#This Row],[Case Type]]="M","",TRUE))</f>
        <v>1</v>
      </c>
      <c r="J957" s="1" t="s">
        <v>111</v>
      </c>
      <c r="K957" s="1">
        <v>17</v>
      </c>
      <c r="L957" s="1" t="s">
        <v>112</v>
      </c>
      <c r="M957" s="1">
        <v>2</v>
      </c>
      <c r="N957" s="1" t="s">
        <v>149</v>
      </c>
      <c r="O957" s="1" t="s">
        <v>217</v>
      </c>
      <c r="R957" t="b">
        <f>IF(COUNTBLANK(Master_Reference[[#This Row],[C-Flex 3000K Eco Part Number]:[C-Flex 4000K Eco Part Number]])=3,FALSE,TRUE)</f>
        <v>0</v>
      </c>
      <c r="S957" t="b">
        <f>IF(COUNTBLANK(Master_Reference[[#This Row],[C-Flex 3000K 3W Part Number]:[C-Flex 4000K 3W Part Number]])=3,FALSE,TRUE)</f>
        <v>1</v>
      </c>
      <c r="T957" t="b">
        <f>IF(COUNTBLANK(Master_Reference[[#This Row],[Lutron 3000K Eco Part Number]:[Lutron 4000K Eco Part Number]])=3,FALSE,TRUE)</f>
        <v>0</v>
      </c>
      <c r="U957" t="b">
        <f>IF(COUNTBLANK(Master_Reference[[#This Row],[Lutron 3000K 3W Part Number]:[Lutron 4000K 3W Part Number]])=3,FALSE,TRUE)</f>
        <v>1</v>
      </c>
      <c r="V957" s="12"/>
      <c r="W957" s="12"/>
      <c r="X957" s="12"/>
      <c r="Y957" t="s">
        <v>2125</v>
      </c>
      <c r="Z957" s="12" t="s">
        <v>244</v>
      </c>
      <c r="AA957" s="12" t="s">
        <v>245</v>
      </c>
      <c r="AB957" s="12" t="s">
        <v>246</v>
      </c>
      <c r="AC957" t="s">
        <v>1824</v>
      </c>
      <c r="AD957" t="str">
        <f>SUBSTITUTE(Master_Reference[[#This Row],[C-Flex 4000K Eco Part Number]],"40-","xx-")</f>
        <v/>
      </c>
      <c r="AE957" t="str">
        <f>SUBSTITUTE(Master_Reference[[#This Row],[C-Flex 4000K 3W Part Number]],"40-","xx-")</f>
        <v>RP-T8-2FT-2L-8xx-3W-M-G2</v>
      </c>
      <c r="AF957" s="1" t="str">
        <f>_xlfn.IFNA(VLOOKUP(Master_Reference[[#This Row],[C-Flex 3000K Eco Part Number]],Lutron_CFlex_Lookup[],MATCH("Lutron Kit PN",Lutron_CFlex_Lookup[#Headers],0),FALSE),"")</f>
        <v/>
      </c>
      <c r="AG957" s="1" t="str">
        <f>_xlfn.IFNA(VLOOKUP(Master_Reference[[#This Row],[C-Flex 3500K Eco Part Number]],Lutron_CFlex_Lookup[],MATCH("Lutron Kit PN",Lutron_CFlex_Lookup[#Headers],0),FALSE),"")</f>
        <v/>
      </c>
      <c r="AH957" s="1" t="str">
        <f>_xlfn.IFNA(VLOOKUP(Master_Reference[[#This Row],[C-Flex 4000K Eco Part Number]],Lutron_CFlex_Lookup[],MATCH("Lutron Kit PN",Lutron_CFlex_Lookup[#Headers],0),FALSE),"")</f>
        <v/>
      </c>
      <c r="AI957" s="1" t="str">
        <f>_xlfn.IFNA(VLOOKUP(Master_Reference[[#This Row],[C-Flex 5000K Eco Part Number]],Lutron_CFlex_Lookup[],MATCH("Lutron Kit PN",Lutron_CFlex_Lookup[#Headers],0),FALSE),"")</f>
        <v/>
      </c>
      <c r="AJ957" s="1" t="str">
        <f>_xlfn.IFNA(VLOOKUP(Master_Reference[[#This Row],[C-Flex 3000K 3W Part Number]],Lutron_CFlex_Lookup[],MATCH("Lutron Kit PN",Lutron_CFlex_Lookup[#Headers],0),FALSE),"")</f>
        <v>3LD2T8-2M30-q</v>
      </c>
      <c r="AK957" s="1" t="str">
        <f>_xlfn.IFNA(VLOOKUP(Master_Reference[[#This Row],[C-Flex 3500K 3W Part Number]],Lutron_CFlex_Lookup[],MATCH("Lutron Kit PN",Lutron_CFlex_Lookup[#Headers],0),FALSE),"")</f>
        <v>3LD2T8-2M35-q</v>
      </c>
      <c r="AL957" s="1" t="str">
        <f>_xlfn.IFNA(VLOOKUP(Master_Reference[[#This Row],[C-Flex 4000K 3W Part Number]],Lutron_CFlex_Lookup[],MATCH("Lutron Kit PN",Lutron_CFlex_Lookup[#Headers],0),FALSE),"")</f>
        <v>3LD2T8-2M40-q</v>
      </c>
      <c r="AM957" s="1" t="str">
        <f>_xlfn.IFNA(VLOOKUP(Master_Reference[[#This Row],[C-Flex 5000K 3W Part Number]],Lutron_CFlex_Lookup[],MATCH("Lutron Kit PN",Lutron_CFlex_Lookup[#Headers],0),FALSE),"")</f>
        <v>3LD2T8-2M50-q</v>
      </c>
      <c r="AN957" s="1" t="b">
        <f>NOT(ISNA(VLOOKUP(Master_Reference[[#This Row],[Model Number]],ObsoleteModels[],1,FALSE)))</f>
        <v>1</v>
      </c>
      <c r="AO957" s="1" t="str">
        <f>IF(LEFT(Master_Reference[[#This Row],[Model Number]],1)="U",LEFT(Master_Reference[[#This Row],[Model Number]],4),LEFT(Master_Reference[[#This Row],[Model Number]],3))</f>
        <v>UEC3</v>
      </c>
    </row>
    <row r="958" spans="1:41" x14ac:dyDescent="0.25">
      <c r="A958" s="2" t="s">
        <v>1262</v>
      </c>
      <c r="B958" s="1"/>
      <c r="C958" s="1" t="b">
        <v>1</v>
      </c>
      <c r="G958" s="1" t="str">
        <f>IF(OR(LEFT(RIGHT(Master_Reference[[#This Row],[Model Number]],3),1)="C",LEFT(RIGHT(Master_Reference[[#This Row],[Model Number]],4),1)="C"),TRUE,"")</f>
        <v/>
      </c>
      <c r="H958" s="1" t="b">
        <f>IF(LEFT(Master_Reference[[#This Row],[Model Number]],1)="U",TRUE,"")</f>
        <v>1</v>
      </c>
      <c r="I958" s="1" t="b">
        <f>IF(Master_Reference[[#This Row],[Lamp Type]]="T4","",IF(Master_Reference[[#This Row],[Case Type]]="M","",TRUE))</f>
        <v>1</v>
      </c>
      <c r="J958" s="1" t="s">
        <v>111</v>
      </c>
      <c r="K958" s="1">
        <v>32</v>
      </c>
      <c r="L958" s="1" t="s">
        <v>118</v>
      </c>
      <c r="M958" s="1">
        <v>2</v>
      </c>
      <c r="N958" s="1" t="s">
        <v>149</v>
      </c>
      <c r="O958" s="1" t="s">
        <v>113</v>
      </c>
      <c r="R958" t="b">
        <f>IF(COUNTBLANK(Master_Reference[[#This Row],[C-Flex 3000K Eco Part Number]:[C-Flex 4000K Eco Part Number]])=3,FALSE,TRUE)</f>
        <v>0</v>
      </c>
      <c r="S958" t="b">
        <f>IF(COUNTBLANK(Master_Reference[[#This Row],[C-Flex 3000K 3W Part Number]:[C-Flex 4000K 3W Part Number]])=3,FALSE,TRUE)</f>
        <v>1</v>
      </c>
      <c r="T958" t="b">
        <f>IF(COUNTBLANK(Master_Reference[[#This Row],[Lutron 3000K Eco Part Number]:[Lutron 4000K Eco Part Number]])=3,FALSE,TRUE)</f>
        <v>0</v>
      </c>
      <c r="U958" t="b">
        <f>IF(COUNTBLANK(Master_Reference[[#This Row],[Lutron 3000K 3W Part Number]:[Lutron 4000K 3W Part Number]])=3,FALSE,TRUE)</f>
        <v>1</v>
      </c>
      <c r="V958" s="12"/>
      <c r="W958" s="12"/>
      <c r="X958" s="12"/>
      <c r="Y958" t="s">
        <v>2125</v>
      </c>
      <c r="Z958" s="12" t="s">
        <v>145</v>
      </c>
      <c r="AA958" s="12" t="s">
        <v>146</v>
      </c>
      <c r="AB958" s="12" t="s">
        <v>147</v>
      </c>
      <c r="AC958" t="s">
        <v>1830</v>
      </c>
      <c r="AD958" t="str">
        <f>SUBSTITUTE(Master_Reference[[#This Row],[C-Flex 4000K Eco Part Number]],"40-","xx-")</f>
        <v/>
      </c>
      <c r="AE958" t="str">
        <f>SUBSTITUTE(Master_Reference[[#This Row],[C-Flex 4000K 3W Part Number]],"40-","xx-")</f>
        <v>RP-T8-4FT-2L-8xx-3W-M-G2</v>
      </c>
      <c r="AF958" s="1" t="str">
        <f>_xlfn.IFNA(VLOOKUP(Master_Reference[[#This Row],[C-Flex 3000K Eco Part Number]],Lutron_CFlex_Lookup[],MATCH("Lutron Kit PN",Lutron_CFlex_Lookup[#Headers],0),FALSE),"")</f>
        <v/>
      </c>
      <c r="AG958" s="1" t="str">
        <f>_xlfn.IFNA(VLOOKUP(Master_Reference[[#This Row],[C-Flex 3500K Eco Part Number]],Lutron_CFlex_Lookup[],MATCH("Lutron Kit PN",Lutron_CFlex_Lookup[#Headers],0),FALSE),"")</f>
        <v/>
      </c>
      <c r="AH958" s="1" t="str">
        <f>_xlfn.IFNA(VLOOKUP(Master_Reference[[#This Row],[C-Flex 4000K Eco Part Number]],Lutron_CFlex_Lookup[],MATCH("Lutron Kit PN",Lutron_CFlex_Lookup[#Headers],0),FALSE),"")</f>
        <v/>
      </c>
      <c r="AI958" s="1" t="str">
        <f>_xlfn.IFNA(VLOOKUP(Master_Reference[[#This Row],[C-Flex 5000K Eco Part Number]],Lutron_CFlex_Lookup[],MATCH("Lutron Kit PN",Lutron_CFlex_Lookup[#Headers],0),FALSE),"")</f>
        <v/>
      </c>
      <c r="AJ958" s="1" t="str">
        <f>_xlfn.IFNA(VLOOKUP(Master_Reference[[#This Row],[C-Flex 3000K 3W Part Number]],Lutron_CFlex_Lookup[],MATCH("Lutron Kit PN",Lutron_CFlex_Lookup[#Headers],0),FALSE),"")</f>
        <v>3LD4T8-2M30-q</v>
      </c>
      <c r="AK958" s="1" t="str">
        <f>_xlfn.IFNA(VLOOKUP(Master_Reference[[#This Row],[C-Flex 3500K 3W Part Number]],Lutron_CFlex_Lookup[],MATCH("Lutron Kit PN",Lutron_CFlex_Lookup[#Headers],0),FALSE),"")</f>
        <v>3LD4T8-2M35-q</v>
      </c>
      <c r="AL958" s="1" t="str">
        <f>_xlfn.IFNA(VLOOKUP(Master_Reference[[#This Row],[C-Flex 4000K 3W Part Number]],Lutron_CFlex_Lookup[],MATCH("Lutron Kit PN",Lutron_CFlex_Lookup[#Headers],0),FALSE),"")</f>
        <v>3LD4T8-2M40-q</v>
      </c>
      <c r="AM958" s="1" t="str">
        <f>_xlfn.IFNA(VLOOKUP(Master_Reference[[#This Row],[C-Flex 5000K 3W Part Number]],Lutron_CFlex_Lookup[],MATCH("Lutron Kit PN",Lutron_CFlex_Lookup[#Headers],0),FALSE),"")</f>
        <v>3LD4T8-2M50-q</v>
      </c>
      <c r="AN958" s="1" t="b">
        <f>NOT(ISNA(VLOOKUP(Master_Reference[[#This Row],[Model Number]],ObsoleteModels[],1,FALSE)))</f>
        <v>1</v>
      </c>
      <c r="AO958" s="1" t="str">
        <f>IF(LEFT(Master_Reference[[#This Row],[Model Number]],1)="U",LEFT(Master_Reference[[#This Row],[Model Number]],4),LEFT(Master_Reference[[#This Row],[Model Number]],3))</f>
        <v>UEC3</v>
      </c>
    </row>
    <row r="959" spans="1:41" x14ac:dyDescent="0.25">
      <c r="A959" s="2" t="s">
        <v>1263</v>
      </c>
      <c r="B959" s="1"/>
      <c r="C959" s="1" t="b">
        <v>1</v>
      </c>
      <c r="G959" s="1" t="str">
        <f>IF(OR(LEFT(RIGHT(Master_Reference[[#This Row],[Model Number]],3),1)="C",LEFT(RIGHT(Master_Reference[[#This Row],[Model Number]],4),1)="C"),TRUE,"")</f>
        <v/>
      </c>
      <c r="H959" s="1" t="b">
        <f>IF(LEFT(Master_Reference[[#This Row],[Model Number]],1)="U",TRUE,"")</f>
        <v>1</v>
      </c>
      <c r="I959" s="1" t="b">
        <f>IF(Master_Reference[[#This Row],[Lamp Type]]="T4","",IF(Master_Reference[[#This Row],[Case Type]]="M","",TRUE))</f>
        <v>1</v>
      </c>
      <c r="J959" s="1" t="s">
        <v>111</v>
      </c>
      <c r="K959" s="1">
        <v>32</v>
      </c>
      <c r="L959" s="1" t="s">
        <v>118</v>
      </c>
      <c r="M959" s="1">
        <v>2</v>
      </c>
      <c r="N959" s="1" t="s">
        <v>149</v>
      </c>
      <c r="O959" s="1" t="s">
        <v>217</v>
      </c>
      <c r="R959" t="b">
        <f>IF(COUNTBLANK(Master_Reference[[#This Row],[C-Flex 3000K Eco Part Number]:[C-Flex 4000K Eco Part Number]])=3,FALSE,TRUE)</f>
        <v>0</v>
      </c>
      <c r="S959" t="b">
        <f>IF(COUNTBLANK(Master_Reference[[#This Row],[C-Flex 3000K 3W Part Number]:[C-Flex 4000K 3W Part Number]])=3,FALSE,TRUE)</f>
        <v>1</v>
      </c>
      <c r="T959" t="b">
        <f>IF(COUNTBLANK(Master_Reference[[#This Row],[Lutron 3000K Eco Part Number]:[Lutron 4000K Eco Part Number]])=3,FALSE,TRUE)</f>
        <v>0</v>
      </c>
      <c r="U959" t="b">
        <f>IF(COUNTBLANK(Master_Reference[[#This Row],[Lutron 3000K 3W Part Number]:[Lutron 4000K 3W Part Number]])=3,FALSE,TRUE)</f>
        <v>1</v>
      </c>
      <c r="V959" s="12"/>
      <c r="W959" s="12"/>
      <c r="X959" s="12"/>
      <c r="Y959" t="s">
        <v>2125</v>
      </c>
      <c r="Z959" s="12" t="s">
        <v>145</v>
      </c>
      <c r="AA959" s="12" t="s">
        <v>146</v>
      </c>
      <c r="AB959" s="12" t="s">
        <v>147</v>
      </c>
      <c r="AC959" t="s">
        <v>1830</v>
      </c>
      <c r="AD959" t="str">
        <f>SUBSTITUTE(Master_Reference[[#This Row],[C-Flex 4000K Eco Part Number]],"40-","xx-")</f>
        <v/>
      </c>
      <c r="AE959" t="str">
        <f>SUBSTITUTE(Master_Reference[[#This Row],[C-Flex 4000K 3W Part Number]],"40-","xx-")</f>
        <v>RP-T8-4FT-2L-8xx-3W-M-G2</v>
      </c>
      <c r="AF959" s="1" t="str">
        <f>_xlfn.IFNA(VLOOKUP(Master_Reference[[#This Row],[C-Flex 3000K Eco Part Number]],Lutron_CFlex_Lookup[],MATCH("Lutron Kit PN",Lutron_CFlex_Lookup[#Headers],0),FALSE),"")</f>
        <v/>
      </c>
      <c r="AG959" s="1" t="str">
        <f>_xlfn.IFNA(VLOOKUP(Master_Reference[[#This Row],[C-Flex 3500K Eco Part Number]],Lutron_CFlex_Lookup[],MATCH("Lutron Kit PN",Lutron_CFlex_Lookup[#Headers],0),FALSE),"")</f>
        <v/>
      </c>
      <c r="AH959" s="1" t="str">
        <f>_xlfn.IFNA(VLOOKUP(Master_Reference[[#This Row],[C-Flex 4000K Eco Part Number]],Lutron_CFlex_Lookup[],MATCH("Lutron Kit PN",Lutron_CFlex_Lookup[#Headers],0),FALSE),"")</f>
        <v/>
      </c>
      <c r="AI959" s="1" t="str">
        <f>_xlfn.IFNA(VLOOKUP(Master_Reference[[#This Row],[C-Flex 5000K Eco Part Number]],Lutron_CFlex_Lookup[],MATCH("Lutron Kit PN",Lutron_CFlex_Lookup[#Headers],0),FALSE),"")</f>
        <v/>
      </c>
      <c r="AJ959" s="1" t="str">
        <f>_xlfn.IFNA(VLOOKUP(Master_Reference[[#This Row],[C-Flex 3000K 3W Part Number]],Lutron_CFlex_Lookup[],MATCH("Lutron Kit PN",Lutron_CFlex_Lookup[#Headers],0),FALSE),"")</f>
        <v>3LD4T8-2M30-q</v>
      </c>
      <c r="AK959" s="1" t="str">
        <f>_xlfn.IFNA(VLOOKUP(Master_Reference[[#This Row],[C-Flex 3500K 3W Part Number]],Lutron_CFlex_Lookup[],MATCH("Lutron Kit PN",Lutron_CFlex_Lookup[#Headers],0),FALSE),"")</f>
        <v>3LD4T8-2M35-q</v>
      </c>
      <c r="AL959" s="1" t="str">
        <f>_xlfn.IFNA(VLOOKUP(Master_Reference[[#This Row],[C-Flex 4000K 3W Part Number]],Lutron_CFlex_Lookup[],MATCH("Lutron Kit PN",Lutron_CFlex_Lookup[#Headers],0),FALSE),"")</f>
        <v>3LD4T8-2M40-q</v>
      </c>
      <c r="AM959" s="1" t="str">
        <f>_xlfn.IFNA(VLOOKUP(Master_Reference[[#This Row],[C-Flex 5000K 3W Part Number]],Lutron_CFlex_Lookup[],MATCH("Lutron Kit PN",Lutron_CFlex_Lookup[#Headers],0),FALSE),"")</f>
        <v>3LD4T8-2M50-q</v>
      </c>
      <c r="AN959" s="1" t="b">
        <f>NOT(ISNA(VLOOKUP(Master_Reference[[#This Row],[Model Number]],ObsoleteModels[],1,FALSE)))</f>
        <v>1</v>
      </c>
      <c r="AO959" s="1" t="str">
        <f>IF(LEFT(Master_Reference[[#This Row],[Model Number]],1)="U",LEFT(Master_Reference[[#This Row],[Model Number]],4),LEFT(Master_Reference[[#This Row],[Model Number]],3))</f>
        <v>UEC3</v>
      </c>
    </row>
    <row r="960" spans="1:41" x14ac:dyDescent="0.25">
      <c r="A960" s="2" t="s">
        <v>1264</v>
      </c>
      <c r="B960" s="1" t="b">
        <v>1</v>
      </c>
      <c r="C960" s="1" t="b">
        <v>1</v>
      </c>
      <c r="F960" s="1" t="b">
        <v>1</v>
      </c>
      <c r="G960" s="1" t="str">
        <f>IF(OR(LEFT(RIGHT(Master_Reference[[#This Row],[Model Number]],3),1)="C",LEFT(RIGHT(Master_Reference[[#This Row],[Model Number]],4),1)="C"),TRUE,"")</f>
        <v/>
      </c>
      <c r="H960" s="1" t="b">
        <f>IF(LEFT(Master_Reference[[#This Row],[Model Number]],1)="U",TRUE,"")</f>
        <v>1</v>
      </c>
      <c r="I960" s="1" t="b">
        <f>IF(Master_Reference[[#This Row],[Lamp Type]]="T4","",IF(Master_Reference[[#This Row],[Case Type]]="M","",TRUE))</f>
        <v>1</v>
      </c>
      <c r="J960" s="1" t="s">
        <v>123</v>
      </c>
      <c r="K960" s="1">
        <v>28</v>
      </c>
      <c r="L960" s="1" t="s">
        <v>118</v>
      </c>
      <c r="M960" s="1">
        <v>1</v>
      </c>
      <c r="N960" s="1" t="s">
        <v>149</v>
      </c>
      <c r="O960" s="1" t="s">
        <v>320</v>
      </c>
      <c r="R960" t="b">
        <f>IF(COUNTBLANK(Master_Reference[[#This Row],[C-Flex 3000K Eco Part Number]:[C-Flex 4000K Eco Part Number]])=3,FALSE,TRUE)</f>
        <v>1</v>
      </c>
      <c r="S960" t="b">
        <f>IF(COUNTBLANK(Master_Reference[[#This Row],[C-Flex 3000K 3W Part Number]:[C-Flex 4000K 3W Part Number]])=3,FALSE,TRUE)</f>
        <v>1</v>
      </c>
      <c r="T960" t="b">
        <f>IF(COUNTBLANK(Master_Reference[[#This Row],[Lutron 3000K Eco Part Number]:[Lutron 4000K Eco Part Number]])=3,FALSE,TRUE)</f>
        <v>1</v>
      </c>
      <c r="U960" t="b">
        <f>IF(COUNTBLANK(Master_Reference[[#This Row],[Lutron 3000K 3W Part Number]:[Lutron 4000K 3W Part Number]])=3,FALSE,TRUE)</f>
        <v>1</v>
      </c>
      <c r="V960" s="12" t="s">
        <v>283</v>
      </c>
      <c r="W960" s="12" t="s">
        <v>284</v>
      </c>
      <c r="X960" s="12" t="s">
        <v>285</v>
      </c>
      <c r="Y960" t="s">
        <v>1719</v>
      </c>
      <c r="Z960" s="12" t="s">
        <v>286</v>
      </c>
      <c r="AA960" s="12" t="s">
        <v>287</v>
      </c>
      <c r="AB960" s="12" t="s">
        <v>288</v>
      </c>
      <c r="AC960" t="s">
        <v>1807</v>
      </c>
      <c r="AD960" t="str">
        <f>SUBSTITUTE(Master_Reference[[#This Row],[C-Flex 4000K Eco Part Number]],"40-","xx-")</f>
        <v>RP-T5-4FT-1L-8xx-E1-M-G2</v>
      </c>
      <c r="AE960" t="str">
        <f>SUBSTITUTE(Master_Reference[[#This Row],[C-Flex 4000K 3W Part Number]],"40-","xx-")</f>
        <v>RP-T5-4FT-1L-8xx-3W-M-G2</v>
      </c>
      <c r="AF960" s="1" t="str">
        <f>_xlfn.IFNA(VLOOKUP(Master_Reference[[#This Row],[C-Flex 3000K Eco Part Number]],Lutron_CFlex_Lookup[],MATCH("Lutron Kit PN",Lutron_CFlex_Lookup[#Headers],0),FALSE),"")</f>
        <v>ELD4T5-1M30-q</v>
      </c>
      <c r="AG960" s="1" t="str">
        <f>_xlfn.IFNA(VLOOKUP(Master_Reference[[#This Row],[C-Flex 3500K Eco Part Number]],Lutron_CFlex_Lookup[],MATCH("Lutron Kit PN",Lutron_CFlex_Lookup[#Headers],0),FALSE),"")</f>
        <v>ELD4T5-1M35-q</v>
      </c>
      <c r="AH960" s="1" t="str">
        <f>_xlfn.IFNA(VLOOKUP(Master_Reference[[#This Row],[C-Flex 4000K Eco Part Number]],Lutron_CFlex_Lookup[],MATCH("Lutron Kit PN",Lutron_CFlex_Lookup[#Headers],0),FALSE),"")</f>
        <v>ELD4T5-1M40-q</v>
      </c>
      <c r="AI960" s="1" t="str">
        <f>_xlfn.IFNA(VLOOKUP(Master_Reference[[#This Row],[C-Flex 5000K Eco Part Number]],Lutron_CFlex_Lookup[],MATCH("Lutron Kit PN",Lutron_CFlex_Lookup[#Headers],0),FALSE),"")</f>
        <v>ELD4T5-1M50-q</v>
      </c>
      <c r="AJ960" s="1" t="str">
        <f>_xlfn.IFNA(VLOOKUP(Master_Reference[[#This Row],[C-Flex 3000K 3W Part Number]],Lutron_CFlex_Lookup[],MATCH("Lutron Kit PN",Lutron_CFlex_Lookup[#Headers],0),FALSE),"")</f>
        <v>3LD4T5-1M30-q</v>
      </c>
      <c r="AK960" s="1" t="str">
        <f>_xlfn.IFNA(VLOOKUP(Master_Reference[[#This Row],[C-Flex 3500K 3W Part Number]],Lutron_CFlex_Lookup[],MATCH("Lutron Kit PN",Lutron_CFlex_Lookup[#Headers],0),FALSE),"")</f>
        <v>3LD4T5-1M35-q</v>
      </c>
      <c r="AL960" s="1" t="str">
        <f>_xlfn.IFNA(VLOOKUP(Master_Reference[[#This Row],[C-Flex 4000K 3W Part Number]],Lutron_CFlex_Lookup[],MATCH("Lutron Kit PN",Lutron_CFlex_Lookup[#Headers],0),FALSE),"")</f>
        <v>3LD4T5-1M40-q</v>
      </c>
      <c r="AM960" s="1" t="str">
        <f>_xlfn.IFNA(VLOOKUP(Master_Reference[[#This Row],[C-Flex 5000K 3W Part Number]],Lutron_CFlex_Lookup[],MATCH("Lutron Kit PN",Lutron_CFlex_Lookup[#Headers],0),FALSE),"")</f>
        <v>3LD4T5-1M50-q</v>
      </c>
      <c r="AN960" s="1" t="b">
        <f>NOT(ISNA(VLOOKUP(Master_Reference[[#This Row],[Model Number]],ObsoleteModels[],1,FALSE)))</f>
        <v>0</v>
      </c>
      <c r="AO960" s="1" t="str">
        <f>IF(LEFT(Master_Reference[[#This Row],[Model Number]],1)="U",LEFT(Master_Reference[[#This Row],[Model Number]],4),LEFT(Master_Reference[[#This Row],[Model Number]],3))</f>
        <v>UEC5</v>
      </c>
    </row>
    <row r="961" spans="1:41" x14ac:dyDescent="0.25">
      <c r="A961" s="2" t="s">
        <v>1265</v>
      </c>
      <c r="B961" s="1" t="b">
        <v>1</v>
      </c>
      <c r="C961" s="1" t="b">
        <v>1</v>
      </c>
      <c r="F961" s="1" t="b">
        <v>1</v>
      </c>
      <c r="G961" s="1" t="str">
        <f>IF(OR(LEFT(RIGHT(Master_Reference[[#This Row],[Model Number]],3),1)="C",LEFT(RIGHT(Master_Reference[[#This Row],[Model Number]],4),1)="C"),TRUE,"")</f>
        <v/>
      </c>
      <c r="H961" s="1" t="b">
        <f>IF(LEFT(Master_Reference[[#This Row],[Model Number]],1)="U",TRUE,"")</f>
        <v>1</v>
      </c>
      <c r="I961" s="1" t="b">
        <f>IF(Master_Reference[[#This Row],[Lamp Type]]="T4","",IF(Master_Reference[[#This Row],[Case Type]]="M","",TRUE))</f>
        <v>1</v>
      </c>
      <c r="J961" s="1" t="s">
        <v>123</v>
      </c>
      <c r="K961" s="1">
        <v>28</v>
      </c>
      <c r="L961" s="1" t="s">
        <v>118</v>
      </c>
      <c r="M961" s="1">
        <v>2</v>
      </c>
      <c r="N961" s="1" t="s">
        <v>149</v>
      </c>
      <c r="O961" s="1" t="s">
        <v>320</v>
      </c>
      <c r="R961" t="b">
        <f>IF(COUNTBLANK(Master_Reference[[#This Row],[C-Flex 3000K Eco Part Number]:[C-Flex 4000K Eco Part Number]])=3,FALSE,TRUE)</f>
        <v>1</v>
      </c>
      <c r="S961" t="b">
        <f>IF(COUNTBLANK(Master_Reference[[#This Row],[C-Flex 3000K 3W Part Number]:[C-Flex 4000K 3W Part Number]])=3,FALSE,TRUE)</f>
        <v>1</v>
      </c>
      <c r="T961" t="b">
        <f>IF(COUNTBLANK(Master_Reference[[#This Row],[Lutron 3000K Eco Part Number]:[Lutron 4000K Eco Part Number]])=3,FALSE,TRUE)</f>
        <v>1</v>
      </c>
      <c r="U961" t="b">
        <f>IF(COUNTBLANK(Master_Reference[[#This Row],[Lutron 3000K 3W Part Number]:[Lutron 4000K 3W Part Number]])=3,FALSE,TRUE)</f>
        <v>1</v>
      </c>
      <c r="V961" s="12" t="s">
        <v>290</v>
      </c>
      <c r="W961" s="12" t="s">
        <v>291</v>
      </c>
      <c r="X961" s="12" t="s">
        <v>292</v>
      </c>
      <c r="Y961" t="s">
        <v>1720</v>
      </c>
      <c r="Z961" s="12" t="s">
        <v>293</v>
      </c>
      <c r="AA961" s="12" t="s">
        <v>294</v>
      </c>
      <c r="AB961" s="12" t="s">
        <v>295</v>
      </c>
      <c r="AC961" t="s">
        <v>1808</v>
      </c>
      <c r="AD961" t="str">
        <f>SUBSTITUTE(Master_Reference[[#This Row],[C-Flex 4000K Eco Part Number]],"40-","xx-")</f>
        <v>RP-T5-4FT-2L-8xx-E1-M-G2</v>
      </c>
      <c r="AE961" t="str">
        <f>SUBSTITUTE(Master_Reference[[#This Row],[C-Flex 4000K 3W Part Number]],"40-","xx-")</f>
        <v>RP-T5-4FT-2L-8xx-3W-M-G2</v>
      </c>
      <c r="AF961" s="1" t="str">
        <f>_xlfn.IFNA(VLOOKUP(Master_Reference[[#This Row],[C-Flex 3000K Eco Part Number]],Lutron_CFlex_Lookup[],MATCH("Lutron Kit PN",Lutron_CFlex_Lookup[#Headers],0),FALSE),"")</f>
        <v>ELD4T5-2M30-q</v>
      </c>
      <c r="AG961" s="1" t="str">
        <f>_xlfn.IFNA(VLOOKUP(Master_Reference[[#This Row],[C-Flex 3500K Eco Part Number]],Lutron_CFlex_Lookup[],MATCH("Lutron Kit PN",Lutron_CFlex_Lookup[#Headers],0),FALSE),"")</f>
        <v>ELD4T5-2M35-q</v>
      </c>
      <c r="AH961" s="1" t="str">
        <f>_xlfn.IFNA(VLOOKUP(Master_Reference[[#This Row],[C-Flex 4000K Eco Part Number]],Lutron_CFlex_Lookup[],MATCH("Lutron Kit PN",Lutron_CFlex_Lookup[#Headers],0),FALSE),"")</f>
        <v>ELD4T5-2M40-q</v>
      </c>
      <c r="AI961" s="1" t="str">
        <f>_xlfn.IFNA(VLOOKUP(Master_Reference[[#This Row],[C-Flex 5000K Eco Part Number]],Lutron_CFlex_Lookup[],MATCH("Lutron Kit PN",Lutron_CFlex_Lookup[#Headers],0),FALSE),"")</f>
        <v>ELD4T5-2M50-q</v>
      </c>
      <c r="AJ961" s="1" t="str">
        <f>_xlfn.IFNA(VLOOKUP(Master_Reference[[#This Row],[C-Flex 3000K 3W Part Number]],Lutron_CFlex_Lookup[],MATCH("Lutron Kit PN",Lutron_CFlex_Lookup[#Headers],0),FALSE),"")</f>
        <v>3LD4T5-2M30-q</v>
      </c>
      <c r="AK961" s="1" t="str">
        <f>_xlfn.IFNA(VLOOKUP(Master_Reference[[#This Row],[C-Flex 3500K 3W Part Number]],Lutron_CFlex_Lookup[],MATCH("Lutron Kit PN",Lutron_CFlex_Lookup[#Headers],0),FALSE),"")</f>
        <v>3LD4T5-2M35-q</v>
      </c>
      <c r="AL961" s="1" t="str">
        <f>_xlfn.IFNA(VLOOKUP(Master_Reference[[#This Row],[C-Flex 4000K 3W Part Number]],Lutron_CFlex_Lookup[],MATCH("Lutron Kit PN",Lutron_CFlex_Lookup[#Headers],0),FALSE),"")</f>
        <v>3LD4T5-2M40-q</v>
      </c>
      <c r="AM961" s="1" t="str">
        <f>_xlfn.IFNA(VLOOKUP(Master_Reference[[#This Row],[C-Flex 5000K 3W Part Number]],Lutron_CFlex_Lookup[],MATCH("Lutron Kit PN",Lutron_CFlex_Lookup[#Headers],0),FALSE),"")</f>
        <v>3LD4T5-2M50-q</v>
      </c>
      <c r="AN961" s="1" t="b">
        <f>NOT(ISNA(VLOOKUP(Master_Reference[[#This Row],[Model Number]],ObsoleteModels[],1,FALSE)))</f>
        <v>0</v>
      </c>
      <c r="AO961" s="1" t="str">
        <f>IF(LEFT(Master_Reference[[#This Row],[Model Number]],1)="U",LEFT(Master_Reference[[#This Row],[Model Number]],4),LEFT(Master_Reference[[#This Row],[Model Number]],3))</f>
        <v>UEC5</v>
      </c>
    </row>
    <row r="962" spans="1:41" x14ac:dyDescent="0.25">
      <c r="A962" s="2" t="s">
        <v>1266</v>
      </c>
      <c r="B962" s="1" t="b">
        <v>1</v>
      </c>
      <c r="C962" s="1" t="b">
        <v>1</v>
      </c>
      <c r="F962" s="1" t="b">
        <v>1</v>
      </c>
      <c r="G962" s="1" t="str">
        <f>IF(OR(LEFT(RIGHT(Master_Reference[[#This Row],[Model Number]],3),1)="C",LEFT(RIGHT(Master_Reference[[#This Row],[Model Number]],4),1)="C"),TRUE,"")</f>
        <v/>
      </c>
      <c r="H962" s="1" t="b">
        <f>IF(LEFT(Master_Reference[[#This Row],[Model Number]],1)="U",TRUE,"")</f>
        <v>1</v>
      </c>
      <c r="I962" s="1" t="b">
        <f>IF(Master_Reference[[#This Row],[Lamp Type]]="T4","",IF(Master_Reference[[#This Row],[Case Type]]="M","",TRUE))</f>
        <v>1</v>
      </c>
      <c r="J962" s="1" t="s">
        <v>215</v>
      </c>
      <c r="K962" s="1">
        <v>40</v>
      </c>
      <c r="L962" s="1" t="s">
        <v>225</v>
      </c>
      <c r="M962" s="1">
        <v>2</v>
      </c>
      <c r="N962" s="1" t="s">
        <v>149</v>
      </c>
      <c r="O962" s="1" t="s">
        <v>320</v>
      </c>
      <c r="R962" t="b">
        <f>IF(COUNTBLANK(Master_Reference[[#This Row],[C-Flex 3000K Eco Part Number]:[C-Flex 4000K Eco Part Number]])=3,FALSE,TRUE)</f>
        <v>1</v>
      </c>
      <c r="S962" t="b">
        <f>IF(COUNTBLANK(Master_Reference[[#This Row],[C-Flex 3000K 3W Part Number]:[C-Flex 4000K 3W Part Number]])=3,FALSE,TRUE)</f>
        <v>1</v>
      </c>
      <c r="T962" t="b">
        <f>IF(COUNTBLANK(Master_Reference[[#This Row],[Lutron 3000K Eco Part Number]:[Lutron 4000K Eco Part Number]])=3,FALSE,TRUE)</f>
        <v>1</v>
      </c>
      <c r="U962" t="b">
        <f>IF(COUNTBLANK(Master_Reference[[#This Row],[Lutron 3000K 3W Part Number]:[Lutron 4000K 3W Part Number]])=3,FALSE,TRUE)</f>
        <v>1</v>
      </c>
      <c r="V962" s="12" t="s">
        <v>233</v>
      </c>
      <c r="W962" s="12" t="s">
        <v>234</v>
      </c>
      <c r="X962" s="12" t="s">
        <v>235</v>
      </c>
      <c r="Y962" t="s">
        <v>1713</v>
      </c>
      <c r="Z962" s="12" t="s">
        <v>236</v>
      </c>
      <c r="AA962" s="12" t="s">
        <v>237</v>
      </c>
      <c r="AB962" s="12" t="s">
        <v>238</v>
      </c>
      <c r="AC962" t="s">
        <v>1802</v>
      </c>
      <c r="AD962" t="str">
        <f>SUBSTITUTE(Master_Reference[[#This Row],[C-Flex 4000K Eco Part Number]],"40-","xx-")</f>
        <v>RP-PLL-5.0K-2L-8xx-E1-M-G2</v>
      </c>
      <c r="AE962" t="str">
        <f>SUBSTITUTE(Master_Reference[[#This Row],[C-Flex 4000K 3W Part Number]],"40-","xx-")</f>
        <v>RP-PLL-5.0K-2L-8xx-3W-M-G2</v>
      </c>
      <c r="AF962" s="1" t="str">
        <f>_xlfn.IFNA(VLOOKUP(Master_Reference[[#This Row],[C-Flex 3000K Eco Part Number]],Lutron_CFlex_Lookup[],MATCH("Lutron Kit PN",Lutron_CFlex_Lookup[#Headers],0),FALSE),"")</f>
        <v>ELD-TT-2M30-q</v>
      </c>
      <c r="AG962" s="1" t="str">
        <f>_xlfn.IFNA(VLOOKUP(Master_Reference[[#This Row],[C-Flex 3500K Eco Part Number]],Lutron_CFlex_Lookup[],MATCH("Lutron Kit PN",Lutron_CFlex_Lookup[#Headers],0),FALSE),"")</f>
        <v>ELD-TT-2M35-q</v>
      </c>
      <c r="AH962" s="1" t="str">
        <f>_xlfn.IFNA(VLOOKUP(Master_Reference[[#This Row],[C-Flex 4000K Eco Part Number]],Lutron_CFlex_Lookup[],MATCH("Lutron Kit PN",Lutron_CFlex_Lookup[#Headers],0),FALSE),"")</f>
        <v>ELD-TT-2M40-q</v>
      </c>
      <c r="AI962" s="1" t="str">
        <f>_xlfn.IFNA(VLOOKUP(Master_Reference[[#This Row],[C-Flex 5000K Eco Part Number]],Lutron_CFlex_Lookup[],MATCH("Lutron Kit PN",Lutron_CFlex_Lookup[#Headers],0),FALSE),"")</f>
        <v>ELD-TT-2M50-q</v>
      </c>
      <c r="AJ962" s="1" t="str">
        <f>_xlfn.IFNA(VLOOKUP(Master_Reference[[#This Row],[C-Flex 3000K 3W Part Number]],Lutron_CFlex_Lookup[],MATCH("Lutron Kit PN",Lutron_CFlex_Lookup[#Headers],0),FALSE),"")</f>
        <v>3LD-TT-2M30-q</v>
      </c>
      <c r="AK962" s="1" t="str">
        <f>_xlfn.IFNA(VLOOKUP(Master_Reference[[#This Row],[C-Flex 3500K 3W Part Number]],Lutron_CFlex_Lookup[],MATCH("Lutron Kit PN",Lutron_CFlex_Lookup[#Headers],0),FALSE),"")</f>
        <v>3LD-TT-2M35-q</v>
      </c>
      <c r="AL962" s="1" t="str">
        <f>_xlfn.IFNA(VLOOKUP(Master_Reference[[#This Row],[C-Flex 4000K 3W Part Number]],Lutron_CFlex_Lookup[],MATCH("Lutron Kit PN",Lutron_CFlex_Lookup[#Headers],0),FALSE),"")</f>
        <v>3LD-TT-2M40-q</v>
      </c>
      <c r="AM962" s="1" t="str">
        <f>_xlfn.IFNA(VLOOKUP(Master_Reference[[#This Row],[C-Flex 5000K 3W Part Number]],Lutron_CFlex_Lookup[],MATCH("Lutron Kit PN",Lutron_CFlex_Lookup[#Headers],0),FALSE),"")</f>
        <v>3LD-TT-2M50-q</v>
      </c>
      <c r="AN962" s="1" t="b">
        <f>NOT(ISNA(VLOOKUP(Master_Reference[[#This Row],[Model Number]],ObsoleteModels[],1,FALSE)))</f>
        <v>0</v>
      </c>
      <c r="AO962" s="1" t="str">
        <f>IF(LEFT(Master_Reference[[#This Row],[Model Number]],1)="U",LEFT(Master_Reference[[#This Row],[Model Number]],4),LEFT(Master_Reference[[#This Row],[Model Number]],3))</f>
        <v>UEC5</v>
      </c>
    </row>
    <row r="963" spans="1:41" x14ac:dyDescent="0.25">
      <c r="A963" s="2" t="s">
        <v>1267</v>
      </c>
      <c r="B963" s="1" t="b">
        <v>1</v>
      </c>
      <c r="C963" s="1" t="b">
        <v>1</v>
      </c>
      <c r="F963" s="1" t="b">
        <v>1</v>
      </c>
      <c r="G963" s="1" t="str">
        <f>IF(OR(LEFT(RIGHT(Master_Reference[[#This Row],[Model Number]],3),1)="C",LEFT(RIGHT(Master_Reference[[#This Row],[Model Number]],4),1)="C"),TRUE,"")</f>
        <v/>
      </c>
      <c r="H963" s="1" t="b">
        <f>IF(LEFT(Master_Reference[[#This Row],[Model Number]],1)="U",TRUE,"")</f>
        <v>1</v>
      </c>
      <c r="I963" s="1" t="b">
        <f>IF(Master_Reference[[#This Row],[Lamp Type]]="T4","",IF(Master_Reference[[#This Row],[Case Type]]="M","",TRUE))</f>
        <v>1</v>
      </c>
      <c r="J963" s="1" t="s">
        <v>297</v>
      </c>
      <c r="K963" s="1">
        <v>54</v>
      </c>
      <c r="L963" s="1" t="s">
        <v>118</v>
      </c>
      <c r="M963" s="1">
        <v>1</v>
      </c>
      <c r="N963" s="1" t="s">
        <v>149</v>
      </c>
      <c r="O963" s="1" t="s">
        <v>320</v>
      </c>
      <c r="R963" t="b">
        <f>IF(COUNTBLANK(Master_Reference[[#This Row],[C-Flex 3000K Eco Part Number]:[C-Flex 4000K Eco Part Number]])=3,FALSE,TRUE)</f>
        <v>1</v>
      </c>
      <c r="S963" t="b">
        <f>IF(COUNTBLANK(Master_Reference[[#This Row],[C-Flex 3000K 3W Part Number]:[C-Flex 4000K 3W Part Number]])=3,FALSE,TRUE)</f>
        <v>1</v>
      </c>
      <c r="T963" t="b">
        <f>IF(COUNTBLANK(Master_Reference[[#This Row],[Lutron 3000K Eco Part Number]:[Lutron 4000K Eco Part Number]])=3,FALSE,TRUE)</f>
        <v>1</v>
      </c>
      <c r="U963" t="b">
        <f>IF(COUNTBLANK(Master_Reference[[#This Row],[Lutron 3000K 3W Part Number]:[Lutron 4000K 3W Part Number]])=3,FALSE,TRUE)</f>
        <v>1</v>
      </c>
      <c r="V963" s="12" t="s">
        <v>298</v>
      </c>
      <c r="W963" s="12" t="s">
        <v>299</v>
      </c>
      <c r="X963" s="12" t="s">
        <v>300</v>
      </c>
      <c r="Y963" t="s">
        <v>1733</v>
      </c>
      <c r="Z963" s="12" t="s">
        <v>301</v>
      </c>
      <c r="AA963" s="12" t="s">
        <v>302</v>
      </c>
      <c r="AB963" s="12" t="s">
        <v>303</v>
      </c>
      <c r="AC963" t="s">
        <v>1821</v>
      </c>
      <c r="AD963" t="str">
        <f>SUBSTITUTE(Master_Reference[[#This Row],[C-Flex 4000K Eco Part Number]],"40-","xx-")</f>
        <v>RP-T5HO-4FT-1L-8xx-E1-M-G2</v>
      </c>
      <c r="AE963" t="str">
        <f>SUBSTITUTE(Master_Reference[[#This Row],[C-Flex 4000K 3W Part Number]],"40-","xx-")</f>
        <v>RP-T5HO-4FT-1L-8xx-3W-M-G2</v>
      </c>
      <c r="AF963" s="1" t="str">
        <f>_xlfn.IFNA(VLOOKUP(Master_Reference[[#This Row],[C-Flex 3000K Eco Part Number]],Lutron_CFlex_Lookup[],MATCH("Lutron Kit PN",Lutron_CFlex_Lookup[#Headers],0),FALSE),"")</f>
        <v>ELD4T5H-1M30-q</v>
      </c>
      <c r="AG963" s="1" t="str">
        <f>_xlfn.IFNA(VLOOKUP(Master_Reference[[#This Row],[C-Flex 3500K Eco Part Number]],Lutron_CFlex_Lookup[],MATCH("Lutron Kit PN",Lutron_CFlex_Lookup[#Headers],0),FALSE),"")</f>
        <v>ELD4T5H-1M35-q</v>
      </c>
      <c r="AH963" s="1" t="str">
        <f>_xlfn.IFNA(VLOOKUP(Master_Reference[[#This Row],[C-Flex 4000K Eco Part Number]],Lutron_CFlex_Lookup[],MATCH("Lutron Kit PN",Lutron_CFlex_Lookup[#Headers],0),FALSE),"")</f>
        <v>ELD4T5H-1M40-q</v>
      </c>
      <c r="AI963" s="1" t="str">
        <f>_xlfn.IFNA(VLOOKUP(Master_Reference[[#This Row],[C-Flex 5000K Eco Part Number]],Lutron_CFlex_Lookup[],MATCH("Lutron Kit PN",Lutron_CFlex_Lookup[#Headers],0),FALSE),"")</f>
        <v>ELD4T5H-1M50-q</v>
      </c>
      <c r="AJ963" s="1" t="str">
        <f>_xlfn.IFNA(VLOOKUP(Master_Reference[[#This Row],[C-Flex 3000K 3W Part Number]],Lutron_CFlex_Lookup[],MATCH("Lutron Kit PN",Lutron_CFlex_Lookup[#Headers],0),FALSE),"")</f>
        <v>3LD4T5H-1M30-q</v>
      </c>
      <c r="AK963" s="1" t="str">
        <f>_xlfn.IFNA(VLOOKUP(Master_Reference[[#This Row],[C-Flex 3500K 3W Part Number]],Lutron_CFlex_Lookup[],MATCH("Lutron Kit PN",Lutron_CFlex_Lookup[#Headers],0),FALSE),"")</f>
        <v>3LD4T5H-1M35-q</v>
      </c>
      <c r="AL963" s="1" t="str">
        <f>_xlfn.IFNA(VLOOKUP(Master_Reference[[#This Row],[C-Flex 4000K 3W Part Number]],Lutron_CFlex_Lookup[],MATCH("Lutron Kit PN",Lutron_CFlex_Lookup[#Headers],0),FALSE),"")</f>
        <v>3LD4T5H-1M40-q</v>
      </c>
      <c r="AM963" s="1" t="str">
        <f>_xlfn.IFNA(VLOOKUP(Master_Reference[[#This Row],[C-Flex 5000K 3W Part Number]],Lutron_CFlex_Lookup[],MATCH("Lutron Kit PN",Lutron_CFlex_Lookup[#Headers],0),FALSE),"")</f>
        <v>3LD4T5H-1M50-q</v>
      </c>
      <c r="AN963" s="1" t="b">
        <f>NOT(ISNA(VLOOKUP(Master_Reference[[#This Row],[Model Number]],ObsoleteModels[],1,FALSE)))</f>
        <v>0</v>
      </c>
      <c r="AO963" s="1" t="str">
        <f>IF(LEFT(Master_Reference[[#This Row],[Model Number]],1)="U",LEFT(Master_Reference[[#This Row],[Model Number]],4),LEFT(Master_Reference[[#This Row],[Model Number]],3))</f>
        <v>UEC5</v>
      </c>
    </row>
    <row r="964" spans="1:41" x14ac:dyDescent="0.25">
      <c r="A964" s="2" t="s">
        <v>1268</v>
      </c>
      <c r="B964" s="1" t="b">
        <v>1</v>
      </c>
      <c r="C964" s="1" t="b">
        <v>1</v>
      </c>
      <c r="F964" s="1" t="b">
        <v>1</v>
      </c>
      <c r="G964" s="1" t="str">
        <f>IF(OR(LEFT(RIGHT(Master_Reference[[#This Row],[Model Number]],3),1)="C",LEFT(RIGHT(Master_Reference[[#This Row],[Model Number]],4),1)="C"),TRUE,"")</f>
        <v/>
      </c>
      <c r="H964" s="1" t="b">
        <f>IF(LEFT(Master_Reference[[#This Row],[Model Number]],1)="U",TRUE,"")</f>
        <v>1</v>
      </c>
      <c r="I964" s="1" t="b">
        <f>IF(Master_Reference[[#This Row],[Lamp Type]]="T4","",IF(Master_Reference[[#This Row],[Case Type]]="M","",TRUE))</f>
        <v>1</v>
      </c>
      <c r="J964" s="1" t="s">
        <v>297</v>
      </c>
      <c r="K964" s="1">
        <v>54</v>
      </c>
      <c r="L964" s="1" t="s">
        <v>118</v>
      </c>
      <c r="M964" s="1">
        <v>2</v>
      </c>
      <c r="N964" s="1" t="s">
        <v>149</v>
      </c>
      <c r="O964" s="1" t="s">
        <v>320</v>
      </c>
      <c r="R964" t="b">
        <f>IF(COUNTBLANK(Master_Reference[[#This Row],[C-Flex 3000K Eco Part Number]:[C-Flex 4000K Eco Part Number]])=3,FALSE,TRUE)</f>
        <v>1</v>
      </c>
      <c r="S964" t="b">
        <f>IF(COUNTBLANK(Master_Reference[[#This Row],[C-Flex 3000K 3W Part Number]:[C-Flex 4000K 3W Part Number]])=3,FALSE,TRUE)</f>
        <v>1</v>
      </c>
      <c r="T964" t="b">
        <f>IF(COUNTBLANK(Master_Reference[[#This Row],[Lutron 3000K Eco Part Number]:[Lutron 4000K Eco Part Number]])=3,FALSE,TRUE)</f>
        <v>1</v>
      </c>
      <c r="U964" t="b">
        <f>IF(COUNTBLANK(Master_Reference[[#This Row],[Lutron 3000K 3W Part Number]:[Lutron 4000K 3W Part Number]])=3,FALSE,TRUE)</f>
        <v>1</v>
      </c>
      <c r="V964" s="12" t="s">
        <v>305</v>
      </c>
      <c r="W964" s="12" t="s">
        <v>306</v>
      </c>
      <c r="X964" s="12" t="s">
        <v>307</v>
      </c>
      <c r="Y964" t="s">
        <v>1734</v>
      </c>
      <c r="Z964" s="12" t="s">
        <v>308</v>
      </c>
      <c r="AA964" s="12" t="s">
        <v>309</v>
      </c>
      <c r="AB964" s="12" t="s">
        <v>310</v>
      </c>
      <c r="AC964" t="s">
        <v>1822</v>
      </c>
      <c r="AD964" t="str">
        <f>SUBSTITUTE(Master_Reference[[#This Row],[C-Flex 4000K Eco Part Number]],"40-","xx-")</f>
        <v>RP-T5HO-4FT-2L-8xx-E1-M-G2</v>
      </c>
      <c r="AE964" t="str">
        <f>SUBSTITUTE(Master_Reference[[#This Row],[C-Flex 4000K 3W Part Number]],"40-","xx-")</f>
        <v>RP-T5HO-4FT-2L-8xx-3W-M-G2</v>
      </c>
      <c r="AF964" s="1" t="str">
        <f>_xlfn.IFNA(VLOOKUP(Master_Reference[[#This Row],[C-Flex 3000K Eco Part Number]],Lutron_CFlex_Lookup[],MATCH("Lutron Kit PN",Lutron_CFlex_Lookup[#Headers],0),FALSE),"")</f>
        <v>ELD4T5H-2M30-q</v>
      </c>
      <c r="AG964" s="1" t="str">
        <f>_xlfn.IFNA(VLOOKUP(Master_Reference[[#This Row],[C-Flex 3500K Eco Part Number]],Lutron_CFlex_Lookup[],MATCH("Lutron Kit PN",Lutron_CFlex_Lookup[#Headers],0),FALSE),"")</f>
        <v>ELD4T5H-2M35-q</v>
      </c>
      <c r="AH964" s="1" t="str">
        <f>_xlfn.IFNA(VLOOKUP(Master_Reference[[#This Row],[C-Flex 4000K Eco Part Number]],Lutron_CFlex_Lookup[],MATCH("Lutron Kit PN",Lutron_CFlex_Lookup[#Headers],0),FALSE),"")</f>
        <v>ELD4T5H-2M40-q</v>
      </c>
      <c r="AI964" s="1" t="str">
        <f>_xlfn.IFNA(VLOOKUP(Master_Reference[[#This Row],[C-Flex 5000K Eco Part Number]],Lutron_CFlex_Lookup[],MATCH("Lutron Kit PN",Lutron_CFlex_Lookup[#Headers],0),FALSE),"")</f>
        <v>ELD4T5H-2M50-q</v>
      </c>
      <c r="AJ964" s="1" t="str">
        <f>_xlfn.IFNA(VLOOKUP(Master_Reference[[#This Row],[C-Flex 3000K 3W Part Number]],Lutron_CFlex_Lookup[],MATCH("Lutron Kit PN",Lutron_CFlex_Lookup[#Headers],0),FALSE),"")</f>
        <v>3LD4T5H-2M30-q</v>
      </c>
      <c r="AK964" s="1" t="str">
        <f>_xlfn.IFNA(VLOOKUP(Master_Reference[[#This Row],[C-Flex 3500K 3W Part Number]],Lutron_CFlex_Lookup[],MATCH("Lutron Kit PN",Lutron_CFlex_Lookup[#Headers],0),FALSE),"")</f>
        <v>3LD4T5H-2M35-q</v>
      </c>
      <c r="AL964" s="1" t="str">
        <f>_xlfn.IFNA(VLOOKUP(Master_Reference[[#This Row],[C-Flex 4000K 3W Part Number]],Lutron_CFlex_Lookup[],MATCH("Lutron Kit PN",Lutron_CFlex_Lookup[#Headers],0),FALSE),"")</f>
        <v>3LD4T5H-2M40-q</v>
      </c>
      <c r="AM964" s="1" t="str">
        <f>_xlfn.IFNA(VLOOKUP(Master_Reference[[#This Row],[C-Flex 5000K 3W Part Number]],Lutron_CFlex_Lookup[],MATCH("Lutron Kit PN",Lutron_CFlex_Lookup[#Headers],0),FALSE),"")</f>
        <v>3LD4T5H-2M50-q</v>
      </c>
      <c r="AN964" s="1" t="b">
        <f>NOT(ISNA(VLOOKUP(Master_Reference[[#This Row],[Model Number]],ObsoleteModels[],1,FALSE)))</f>
        <v>0</v>
      </c>
      <c r="AO964" s="1" t="str">
        <f>IF(LEFT(Master_Reference[[#This Row],[Model Number]],1)="U",LEFT(Master_Reference[[#This Row],[Model Number]],4),LEFT(Master_Reference[[#This Row],[Model Number]],3))</f>
        <v>UEC5</v>
      </c>
    </row>
    <row r="965" spans="1:41" x14ac:dyDescent="0.25">
      <c r="A965" s="2" t="s">
        <v>1269</v>
      </c>
      <c r="B965" s="1" t="b">
        <v>1</v>
      </c>
      <c r="C965" s="1" t="b">
        <v>1</v>
      </c>
      <c r="F965" s="1" t="b">
        <v>1</v>
      </c>
      <c r="G965" s="1" t="str">
        <f>IF(OR(LEFT(RIGHT(Master_Reference[[#This Row],[Model Number]],3),1)="C",LEFT(RIGHT(Master_Reference[[#This Row],[Model Number]],4),1)="C"),TRUE,"")</f>
        <v/>
      </c>
      <c r="H965" s="1" t="b">
        <f>IF(LEFT(Master_Reference[[#This Row],[Model Number]],1)="U",TRUE,"")</f>
        <v>1</v>
      </c>
      <c r="I965" s="1" t="b">
        <f>IF(Master_Reference[[#This Row],[Lamp Type]]="T4","",IF(Master_Reference[[#This Row],[Case Type]]="M","",TRUE))</f>
        <v>1</v>
      </c>
      <c r="J965" s="1" t="s">
        <v>111</v>
      </c>
      <c r="K965" s="1">
        <v>17</v>
      </c>
      <c r="L965" s="1" t="s">
        <v>112</v>
      </c>
      <c r="M965" s="1">
        <v>2</v>
      </c>
      <c r="N965" s="1" t="s">
        <v>149</v>
      </c>
      <c r="O965" s="1" t="s">
        <v>320</v>
      </c>
      <c r="R965" t="b">
        <f>IF(COUNTBLANK(Master_Reference[[#This Row],[C-Flex 3000K Eco Part Number]:[C-Flex 4000K Eco Part Number]])=3,FALSE,TRUE)</f>
        <v>1</v>
      </c>
      <c r="S965" t="b">
        <f>IF(COUNTBLANK(Master_Reference[[#This Row],[C-Flex 3000K 3W Part Number]:[C-Flex 4000K 3W Part Number]])=3,FALSE,TRUE)</f>
        <v>1</v>
      </c>
      <c r="T965" t="b">
        <f>IF(COUNTBLANK(Master_Reference[[#This Row],[Lutron 3000K Eco Part Number]:[Lutron 4000K Eco Part Number]])=3,FALSE,TRUE)</f>
        <v>1</v>
      </c>
      <c r="U965" t="b">
        <f>IF(COUNTBLANK(Master_Reference[[#This Row],[Lutron 3000K 3W Part Number]:[Lutron 4000K 3W Part Number]])=3,FALSE,TRUE)</f>
        <v>1</v>
      </c>
      <c r="V965" s="12" t="s">
        <v>466</v>
      </c>
      <c r="W965" s="12" t="s">
        <v>467</v>
      </c>
      <c r="X965" s="12" t="s">
        <v>468</v>
      </c>
      <c r="Y965" t="s">
        <v>1736</v>
      </c>
      <c r="Z965" s="12" t="s">
        <v>244</v>
      </c>
      <c r="AA965" s="12" t="s">
        <v>245</v>
      </c>
      <c r="AB965" s="12" t="s">
        <v>246</v>
      </c>
      <c r="AC965" t="s">
        <v>1824</v>
      </c>
      <c r="AD965" t="str">
        <f>SUBSTITUTE(Master_Reference[[#This Row],[C-Flex 4000K Eco Part Number]],"40-","xx-")</f>
        <v>RP-T8-2FT-2L-8xx-E1-M-G2</v>
      </c>
      <c r="AE965" t="str">
        <f>SUBSTITUTE(Master_Reference[[#This Row],[C-Flex 4000K 3W Part Number]],"40-","xx-")</f>
        <v>RP-T8-2FT-2L-8xx-3W-M-G2</v>
      </c>
      <c r="AF965" s="1" t="str">
        <f>_xlfn.IFNA(VLOOKUP(Master_Reference[[#This Row],[C-Flex 3000K Eco Part Number]],Lutron_CFlex_Lookup[],MATCH("Lutron Kit PN",Lutron_CFlex_Lookup[#Headers],0),FALSE),"")</f>
        <v>ELD2T8-2M30-q</v>
      </c>
      <c r="AG965" s="1" t="str">
        <f>_xlfn.IFNA(VLOOKUP(Master_Reference[[#This Row],[C-Flex 3500K Eco Part Number]],Lutron_CFlex_Lookup[],MATCH("Lutron Kit PN",Lutron_CFlex_Lookup[#Headers],0),FALSE),"")</f>
        <v>ELD2T8-2M35-q</v>
      </c>
      <c r="AH965" s="1" t="str">
        <f>_xlfn.IFNA(VLOOKUP(Master_Reference[[#This Row],[C-Flex 4000K Eco Part Number]],Lutron_CFlex_Lookup[],MATCH("Lutron Kit PN",Lutron_CFlex_Lookup[#Headers],0),FALSE),"")</f>
        <v>ELD2T8-2M40-q</v>
      </c>
      <c r="AI965" s="1" t="str">
        <f>_xlfn.IFNA(VLOOKUP(Master_Reference[[#This Row],[C-Flex 5000K Eco Part Number]],Lutron_CFlex_Lookup[],MATCH("Lutron Kit PN",Lutron_CFlex_Lookup[#Headers],0),FALSE),"")</f>
        <v>ELD2T8-2M50-q</v>
      </c>
      <c r="AJ965" s="1" t="str">
        <f>_xlfn.IFNA(VLOOKUP(Master_Reference[[#This Row],[C-Flex 3000K 3W Part Number]],Lutron_CFlex_Lookup[],MATCH("Lutron Kit PN",Lutron_CFlex_Lookup[#Headers],0),FALSE),"")</f>
        <v>3LD2T8-2M30-q</v>
      </c>
      <c r="AK965" s="1" t="str">
        <f>_xlfn.IFNA(VLOOKUP(Master_Reference[[#This Row],[C-Flex 3500K 3W Part Number]],Lutron_CFlex_Lookup[],MATCH("Lutron Kit PN",Lutron_CFlex_Lookup[#Headers],0),FALSE),"")</f>
        <v>3LD2T8-2M35-q</v>
      </c>
      <c r="AL965" s="1" t="str">
        <f>_xlfn.IFNA(VLOOKUP(Master_Reference[[#This Row],[C-Flex 4000K 3W Part Number]],Lutron_CFlex_Lookup[],MATCH("Lutron Kit PN",Lutron_CFlex_Lookup[#Headers],0),FALSE),"")</f>
        <v>3LD2T8-2M40-q</v>
      </c>
      <c r="AM965" s="1" t="str">
        <f>_xlfn.IFNA(VLOOKUP(Master_Reference[[#This Row],[C-Flex 5000K 3W Part Number]],Lutron_CFlex_Lookup[],MATCH("Lutron Kit PN",Lutron_CFlex_Lookup[#Headers],0),FALSE),"")</f>
        <v>3LD2T8-2M50-q</v>
      </c>
      <c r="AN965" s="1" t="b">
        <f>NOT(ISNA(VLOOKUP(Master_Reference[[#This Row],[Model Number]],ObsoleteModels[],1,FALSE)))</f>
        <v>0</v>
      </c>
      <c r="AO965" s="1" t="str">
        <f>IF(LEFT(Master_Reference[[#This Row],[Model Number]],1)="U",LEFT(Master_Reference[[#This Row],[Model Number]],4),LEFT(Master_Reference[[#This Row],[Model Number]],3))</f>
        <v>UEC5</v>
      </c>
    </row>
    <row r="966" spans="1:41" x14ac:dyDescent="0.25">
      <c r="A966" s="2" t="s">
        <v>1270</v>
      </c>
      <c r="B966" s="1" t="b">
        <v>1</v>
      </c>
      <c r="C966" s="1" t="b">
        <v>1</v>
      </c>
      <c r="F966" s="1" t="b">
        <v>1</v>
      </c>
      <c r="G966" s="1" t="str">
        <f>IF(OR(LEFT(RIGHT(Master_Reference[[#This Row],[Model Number]],3),1)="C",LEFT(RIGHT(Master_Reference[[#This Row],[Model Number]],4),1)="C"),TRUE,"")</f>
        <v/>
      </c>
      <c r="H966" s="1" t="b">
        <f>IF(LEFT(Master_Reference[[#This Row],[Model Number]],1)="U",TRUE,"")</f>
        <v>1</v>
      </c>
      <c r="I966" s="1" t="b">
        <f>IF(Master_Reference[[#This Row],[Lamp Type]]="T4","",IF(Master_Reference[[#This Row],[Case Type]]="M","",TRUE))</f>
        <v>1</v>
      </c>
      <c r="J966" s="1" t="s">
        <v>111</v>
      </c>
      <c r="K966" s="1">
        <v>25</v>
      </c>
      <c r="L966" s="1" t="s">
        <v>115</v>
      </c>
      <c r="M966" s="1">
        <v>1</v>
      </c>
      <c r="N966" s="1" t="s">
        <v>149</v>
      </c>
      <c r="O966" s="1" t="s">
        <v>320</v>
      </c>
      <c r="R966" t="b">
        <f>IF(COUNTBLANK(Master_Reference[[#This Row],[C-Flex 3000K Eco Part Number]:[C-Flex 4000K Eco Part Number]])=3,FALSE,TRUE)</f>
        <v>1</v>
      </c>
      <c r="S966" t="b">
        <f>IF(COUNTBLANK(Master_Reference[[#This Row],[C-Flex 3000K 3W Part Number]:[C-Flex 4000K 3W Part Number]])=3,FALSE,TRUE)</f>
        <v>1</v>
      </c>
      <c r="T966" t="b">
        <f>IF(COUNTBLANK(Master_Reference[[#This Row],[Lutron 3000K Eco Part Number]:[Lutron 4000K Eco Part Number]])=3,FALSE,TRUE)</f>
        <v>1</v>
      </c>
      <c r="U966" t="b">
        <f>IF(COUNTBLANK(Master_Reference[[#This Row],[Lutron 3000K 3W Part Number]:[Lutron 4000K 3W Part Number]])=3,FALSE,TRUE)</f>
        <v>1</v>
      </c>
      <c r="V966" s="12" t="s">
        <v>478</v>
      </c>
      <c r="W966" s="12" t="s">
        <v>479</v>
      </c>
      <c r="X966" s="12" t="s">
        <v>480</v>
      </c>
      <c r="Y966" t="s">
        <v>1738</v>
      </c>
      <c r="Z966" s="12" t="s">
        <v>255</v>
      </c>
      <c r="AA966" s="12" t="s">
        <v>256</v>
      </c>
      <c r="AB966" s="12" t="s">
        <v>257</v>
      </c>
      <c r="AC966" t="s">
        <v>1826</v>
      </c>
      <c r="AD966" t="str">
        <f>SUBSTITUTE(Master_Reference[[#This Row],[C-Flex 4000K Eco Part Number]],"40-","xx-")</f>
        <v>RP-T8-3FT-1L-8xx-E1-M-G2</v>
      </c>
      <c r="AE966" t="str">
        <f>SUBSTITUTE(Master_Reference[[#This Row],[C-Flex 4000K 3W Part Number]],"40-","xx-")</f>
        <v>RP-T8-3FT-1L-8xx-3W-M-G2</v>
      </c>
      <c r="AF966" s="1" t="str">
        <f>_xlfn.IFNA(VLOOKUP(Master_Reference[[#This Row],[C-Flex 3000K Eco Part Number]],Lutron_CFlex_Lookup[],MATCH("Lutron Kit PN",Lutron_CFlex_Lookup[#Headers],0),FALSE),"")</f>
        <v>ELD3T8-1M30-q</v>
      </c>
      <c r="AG966" s="1" t="str">
        <f>_xlfn.IFNA(VLOOKUP(Master_Reference[[#This Row],[C-Flex 3500K Eco Part Number]],Lutron_CFlex_Lookup[],MATCH("Lutron Kit PN",Lutron_CFlex_Lookup[#Headers],0),FALSE),"")</f>
        <v>ELD3T8-1M35-q</v>
      </c>
      <c r="AH966" s="1" t="str">
        <f>_xlfn.IFNA(VLOOKUP(Master_Reference[[#This Row],[C-Flex 4000K Eco Part Number]],Lutron_CFlex_Lookup[],MATCH("Lutron Kit PN",Lutron_CFlex_Lookup[#Headers],0),FALSE),"")</f>
        <v>ELD3T8-1M40-q</v>
      </c>
      <c r="AI966" s="1" t="str">
        <f>_xlfn.IFNA(VLOOKUP(Master_Reference[[#This Row],[C-Flex 5000K Eco Part Number]],Lutron_CFlex_Lookup[],MATCH("Lutron Kit PN",Lutron_CFlex_Lookup[#Headers],0),FALSE),"")</f>
        <v>ELD3T8-1M50-q</v>
      </c>
      <c r="AJ966" s="1" t="str">
        <f>_xlfn.IFNA(VLOOKUP(Master_Reference[[#This Row],[C-Flex 3000K 3W Part Number]],Lutron_CFlex_Lookup[],MATCH("Lutron Kit PN",Lutron_CFlex_Lookup[#Headers],0),FALSE),"")</f>
        <v>3LD3T8-1M30-q</v>
      </c>
      <c r="AK966" s="1" t="str">
        <f>_xlfn.IFNA(VLOOKUP(Master_Reference[[#This Row],[C-Flex 3500K 3W Part Number]],Lutron_CFlex_Lookup[],MATCH("Lutron Kit PN",Lutron_CFlex_Lookup[#Headers],0),FALSE),"")</f>
        <v>3LD3T8-1M35-q</v>
      </c>
      <c r="AL966" s="1" t="str">
        <f>_xlfn.IFNA(VLOOKUP(Master_Reference[[#This Row],[C-Flex 4000K 3W Part Number]],Lutron_CFlex_Lookup[],MATCH("Lutron Kit PN",Lutron_CFlex_Lookup[#Headers],0),FALSE),"")</f>
        <v>3LD3T8-1M40-q</v>
      </c>
      <c r="AM966" s="1" t="str">
        <f>_xlfn.IFNA(VLOOKUP(Master_Reference[[#This Row],[C-Flex 5000K 3W Part Number]],Lutron_CFlex_Lookup[],MATCH("Lutron Kit PN",Lutron_CFlex_Lookup[#Headers],0),FALSE),"")</f>
        <v>3LD3T8-1M50-q</v>
      </c>
      <c r="AN966" s="1" t="b">
        <f>NOT(ISNA(VLOOKUP(Master_Reference[[#This Row],[Model Number]],ObsoleteModels[],1,FALSE)))</f>
        <v>0</v>
      </c>
      <c r="AO966" s="1" t="str">
        <f>IF(LEFT(Master_Reference[[#This Row],[Model Number]],1)="U",LEFT(Master_Reference[[#This Row],[Model Number]],4),LEFT(Master_Reference[[#This Row],[Model Number]],3))</f>
        <v>UEC5</v>
      </c>
    </row>
    <row r="967" spans="1:41" x14ac:dyDescent="0.25">
      <c r="A967" s="2" t="s">
        <v>1271</v>
      </c>
      <c r="B967" s="1" t="b">
        <v>1</v>
      </c>
      <c r="C967" s="1" t="b">
        <v>1</v>
      </c>
      <c r="F967" s="1" t="b">
        <v>1</v>
      </c>
      <c r="G967" s="1" t="b">
        <f>IF(OR(LEFT(RIGHT(Master_Reference[[#This Row],[Model Number]],3),1)="C",LEFT(RIGHT(Master_Reference[[#This Row],[Model Number]],4),1)="C"),TRUE,"")</f>
        <v>1</v>
      </c>
      <c r="H967" s="1" t="b">
        <f>IF(LEFT(Master_Reference[[#This Row],[Model Number]],1)="U",TRUE,"")</f>
        <v>1</v>
      </c>
      <c r="I967" s="1" t="b">
        <f>IF(Master_Reference[[#This Row],[Lamp Type]]="T4","",IF(Master_Reference[[#This Row],[Case Type]]="M","",TRUE))</f>
        <v>1</v>
      </c>
      <c r="J967" s="1" t="s">
        <v>111</v>
      </c>
      <c r="K967" s="1">
        <v>32</v>
      </c>
      <c r="L967" s="1" t="s">
        <v>118</v>
      </c>
      <c r="M967" s="1">
        <v>2</v>
      </c>
      <c r="N967" s="1" t="s">
        <v>149</v>
      </c>
      <c r="O967" s="1" t="s">
        <v>217</v>
      </c>
      <c r="R967" t="b">
        <f>IF(COUNTBLANK(Master_Reference[[#This Row],[C-Flex 3000K Eco Part Number]:[C-Flex 4000K Eco Part Number]])=3,FALSE,TRUE)</f>
        <v>1</v>
      </c>
      <c r="S967" t="b">
        <f>IF(COUNTBLANK(Master_Reference[[#This Row],[C-Flex 3000K 3W Part Number]:[C-Flex 4000K 3W Part Number]])=3,FALSE,TRUE)</f>
        <v>1</v>
      </c>
      <c r="T967" t="b">
        <f>IF(COUNTBLANK(Master_Reference[[#This Row],[Lutron 3000K Eco Part Number]:[Lutron 4000K Eco Part Number]])=3,FALSE,TRUE)</f>
        <v>1</v>
      </c>
      <c r="U967" t="b">
        <f>IF(COUNTBLANK(Master_Reference[[#This Row],[Lutron 3000K 3W Part Number]:[Lutron 4000K 3W Part Number]])=3,FALSE,TRUE)</f>
        <v>1</v>
      </c>
      <c r="V967" s="12" t="s">
        <v>316</v>
      </c>
      <c r="W967" s="12" t="s">
        <v>317</v>
      </c>
      <c r="X967" s="12" t="s">
        <v>318</v>
      </c>
      <c r="Y967" t="s">
        <v>1745</v>
      </c>
      <c r="Z967" s="12" t="s">
        <v>145</v>
      </c>
      <c r="AA967" s="12" t="s">
        <v>146</v>
      </c>
      <c r="AB967" s="12" t="s">
        <v>147</v>
      </c>
      <c r="AC967" t="s">
        <v>1830</v>
      </c>
      <c r="AD967" t="str">
        <f>SUBSTITUTE(Master_Reference[[#This Row],[C-Flex 4000K Eco Part Number]],"40-","xx-")</f>
        <v>RP-T8-4FT-2L-8xx-E1-M-G2</v>
      </c>
      <c r="AE967" t="str">
        <f>SUBSTITUTE(Master_Reference[[#This Row],[C-Flex 4000K 3W Part Number]],"40-","xx-")</f>
        <v>RP-T8-4FT-2L-8xx-3W-M-G2</v>
      </c>
      <c r="AF967" s="1" t="str">
        <f>_xlfn.IFNA(VLOOKUP(Master_Reference[[#This Row],[C-Flex 3000K Eco Part Number]],Lutron_CFlex_Lookup[],MATCH("Lutron Kit PN",Lutron_CFlex_Lookup[#Headers],0),FALSE),"")</f>
        <v>ELD4T8-2M30-q</v>
      </c>
      <c r="AG967" s="1" t="str">
        <f>_xlfn.IFNA(VLOOKUP(Master_Reference[[#This Row],[C-Flex 3500K Eco Part Number]],Lutron_CFlex_Lookup[],MATCH("Lutron Kit PN",Lutron_CFlex_Lookup[#Headers],0),FALSE),"")</f>
        <v>ELD4T8-2M35-q</v>
      </c>
      <c r="AH967" s="1" t="str">
        <f>_xlfn.IFNA(VLOOKUP(Master_Reference[[#This Row],[C-Flex 4000K Eco Part Number]],Lutron_CFlex_Lookup[],MATCH("Lutron Kit PN",Lutron_CFlex_Lookup[#Headers],0),FALSE),"")</f>
        <v>ELD4T8-2M40-q</v>
      </c>
      <c r="AI967" s="1" t="str">
        <f>_xlfn.IFNA(VLOOKUP(Master_Reference[[#This Row],[C-Flex 5000K Eco Part Number]],Lutron_CFlex_Lookup[],MATCH("Lutron Kit PN",Lutron_CFlex_Lookup[#Headers],0),FALSE),"")</f>
        <v>ELD4T8-2M50-q</v>
      </c>
      <c r="AJ967" s="1" t="str">
        <f>_xlfn.IFNA(VLOOKUP(Master_Reference[[#This Row],[C-Flex 3000K 3W Part Number]],Lutron_CFlex_Lookup[],MATCH("Lutron Kit PN",Lutron_CFlex_Lookup[#Headers],0),FALSE),"")</f>
        <v>3LD4T8-2M30-q</v>
      </c>
      <c r="AK967" s="1" t="str">
        <f>_xlfn.IFNA(VLOOKUP(Master_Reference[[#This Row],[C-Flex 3500K 3W Part Number]],Lutron_CFlex_Lookup[],MATCH("Lutron Kit PN",Lutron_CFlex_Lookup[#Headers],0),FALSE),"")</f>
        <v>3LD4T8-2M35-q</v>
      </c>
      <c r="AL967" s="1" t="str">
        <f>_xlfn.IFNA(VLOOKUP(Master_Reference[[#This Row],[C-Flex 4000K 3W Part Number]],Lutron_CFlex_Lookup[],MATCH("Lutron Kit PN",Lutron_CFlex_Lookup[#Headers],0),FALSE),"")</f>
        <v>3LD4T8-2M40-q</v>
      </c>
      <c r="AM967" s="1" t="str">
        <f>_xlfn.IFNA(VLOOKUP(Master_Reference[[#This Row],[C-Flex 5000K 3W Part Number]],Lutron_CFlex_Lookup[],MATCH("Lutron Kit PN",Lutron_CFlex_Lookup[#Headers],0),FALSE),"")</f>
        <v>3LD4T8-2M50-q</v>
      </c>
      <c r="AN967" s="1" t="b">
        <f>NOT(ISNA(VLOOKUP(Master_Reference[[#This Row],[Model Number]],ObsoleteModels[],1,FALSE)))</f>
        <v>1</v>
      </c>
      <c r="AO967" s="1" t="str">
        <f>IF(LEFT(Master_Reference[[#This Row],[Model Number]],1)="U",LEFT(Master_Reference[[#This Row],[Model Number]],4),LEFT(Master_Reference[[#This Row],[Model Number]],3))</f>
        <v>UEC5</v>
      </c>
    </row>
    <row r="968" spans="1:41" x14ac:dyDescent="0.25">
      <c r="A968" s="2" t="s">
        <v>1272</v>
      </c>
      <c r="B968" s="1" t="b">
        <v>1</v>
      </c>
      <c r="C968" s="1" t="b">
        <v>1</v>
      </c>
      <c r="F968" s="1" t="b">
        <v>1</v>
      </c>
      <c r="G968" s="1" t="str">
        <f>IF(OR(LEFT(RIGHT(Master_Reference[[#This Row],[Model Number]],3),1)="C",LEFT(RIGHT(Master_Reference[[#This Row],[Model Number]],4),1)="C"),TRUE,"")</f>
        <v/>
      </c>
      <c r="H968" s="1" t="b">
        <f>IF(LEFT(Master_Reference[[#This Row],[Model Number]],1)="U",TRUE,"")</f>
        <v>1</v>
      </c>
      <c r="I968" s="1" t="b">
        <f>IF(Master_Reference[[#This Row],[Lamp Type]]="T4","",IF(Master_Reference[[#This Row],[Case Type]]="M","",TRUE))</f>
        <v>1</v>
      </c>
      <c r="J968" s="1" t="s">
        <v>111</v>
      </c>
      <c r="K968" s="1">
        <v>32</v>
      </c>
      <c r="L968" s="1" t="s">
        <v>118</v>
      </c>
      <c r="M968" s="1">
        <v>2</v>
      </c>
      <c r="N968" s="1" t="s">
        <v>149</v>
      </c>
      <c r="O968" s="1" t="s">
        <v>217</v>
      </c>
      <c r="R968" t="b">
        <f>IF(COUNTBLANK(Master_Reference[[#This Row],[C-Flex 3000K Eco Part Number]:[C-Flex 4000K Eco Part Number]])=3,FALSE,TRUE)</f>
        <v>1</v>
      </c>
      <c r="S968" t="b">
        <f>IF(COUNTBLANK(Master_Reference[[#This Row],[C-Flex 3000K 3W Part Number]:[C-Flex 4000K 3W Part Number]])=3,FALSE,TRUE)</f>
        <v>1</v>
      </c>
      <c r="T968" t="b">
        <f>IF(COUNTBLANK(Master_Reference[[#This Row],[Lutron 3000K Eco Part Number]:[Lutron 4000K Eco Part Number]])=3,FALSE,TRUE)</f>
        <v>1</v>
      </c>
      <c r="U968" t="b">
        <f>IF(COUNTBLANK(Master_Reference[[#This Row],[Lutron 3000K 3W Part Number]:[Lutron 4000K 3W Part Number]])=3,FALSE,TRUE)</f>
        <v>1</v>
      </c>
      <c r="V968" s="12" t="s">
        <v>316</v>
      </c>
      <c r="W968" s="12" t="s">
        <v>317</v>
      </c>
      <c r="X968" s="12" t="s">
        <v>318</v>
      </c>
      <c r="Y968" t="s">
        <v>1745</v>
      </c>
      <c r="Z968" s="12" t="s">
        <v>145</v>
      </c>
      <c r="AA968" s="12" t="s">
        <v>146</v>
      </c>
      <c r="AB968" s="12" t="s">
        <v>147</v>
      </c>
      <c r="AC968" t="s">
        <v>1830</v>
      </c>
      <c r="AD968" t="str">
        <f>SUBSTITUTE(Master_Reference[[#This Row],[C-Flex 4000K Eco Part Number]],"40-","xx-")</f>
        <v>RP-T8-4FT-2L-8xx-E1-M-G2</v>
      </c>
      <c r="AE968" t="str">
        <f>SUBSTITUTE(Master_Reference[[#This Row],[C-Flex 4000K 3W Part Number]],"40-","xx-")</f>
        <v>RP-T8-4FT-2L-8xx-3W-M-G2</v>
      </c>
      <c r="AF968" s="1" t="str">
        <f>_xlfn.IFNA(VLOOKUP(Master_Reference[[#This Row],[C-Flex 3000K Eco Part Number]],Lutron_CFlex_Lookup[],MATCH("Lutron Kit PN",Lutron_CFlex_Lookup[#Headers],0),FALSE),"")</f>
        <v>ELD4T8-2M30-q</v>
      </c>
      <c r="AG968" s="1" t="str">
        <f>_xlfn.IFNA(VLOOKUP(Master_Reference[[#This Row],[C-Flex 3500K Eco Part Number]],Lutron_CFlex_Lookup[],MATCH("Lutron Kit PN",Lutron_CFlex_Lookup[#Headers],0),FALSE),"")</f>
        <v>ELD4T8-2M35-q</v>
      </c>
      <c r="AH968" s="1" t="str">
        <f>_xlfn.IFNA(VLOOKUP(Master_Reference[[#This Row],[C-Flex 4000K Eco Part Number]],Lutron_CFlex_Lookup[],MATCH("Lutron Kit PN",Lutron_CFlex_Lookup[#Headers],0),FALSE),"")</f>
        <v>ELD4T8-2M40-q</v>
      </c>
      <c r="AI968" s="1" t="str">
        <f>_xlfn.IFNA(VLOOKUP(Master_Reference[[#This Row],[C-Flex 5000K Eco Part Number]],Lutron_CFlex_Lookup[],MATCH("Lutron Kit PN",Lutron_CFlex_Lookup[#Headers],0),FALSE),"")</f>
        <v>ELD4T8-2M50-q</v>
      </c>
      <c r="AJ968" s="1" t="str">
        <f>_xlfn.IFNA(VLOOKUP(Master_Reference[[#This Row],[C-Flex 3000K 3W Part Number]],Lutron_CFlex_Lookup[],MATCH("Lutron Kit PN",Lutron_CFlex_Lookup[#Headers],0),FALSE),"")</f>
        <v>3LD4T8-2M30-q</v>
      </c>
      <c r="AK968" s="1" t="str">
        <f>_xlfn.IFNA(VLOOKUP(Master_Reference[[#This Row],[C-Flex 3500K 3W Part Number]],Lutron_CFlex_Lookup[],MATCH("Lutron Kit PN",Lutron_CFlex_Lookup[#Headers],0),FALSE),"")</f>
        <v>3LD4T8-2M35-q</v>
      </c>
      <c r="AL968" s="1" t="str">
        <f>_xlfn.IFNA(VLOOKUP(Master_Reference[[#This Row],[C-Flex 4000K 3W Part Number]],Lutron_CFlex_Lookup[],MATCH("Lutron Kit PN",Lutron_CFlex_Lookup[#Headers],0),FALSE),"")</f>
        <v>3LD4T8-2M40-q</v>
      </c>
      <c r="AM968" s="1" t="str">
        <f>_xlfn.IFNA(VLOOKUP(Master_Reference[[#This Row],[C-Flex 5000K 3W Part Number]],Lutron_CFlex_Lookup[],MATCH("Lutron Kit PN",Lutron_CFlex_Lookup[#Headers],0),FALSE),"")</f>
        <v>3LD4T8-2M50-q</v>
      </c>
      <c r="AN968" s="1" t="b">
        <f>NOT(ISNA(VLOOKUP(Master_Reference[[#This Row],[Model Number]],ObsoleteModels[],1,FALSE)))</f>
        <v>1</v>
      </c>
      <c r="AO968" s="1" t="str">
        <f>IF(LEFT(Master_Reference[[#This Row],[Model Number]],1)="U",LEFT(Master_Reference[[#This Row],[Model Number]],4),LEFT(Master_Reference[[#This Row],[Model Number]],3))</f>
        <v>UEC5</v>
      </c>
    </row>
    <row r="969" spans="1:41" x14ac:dyDescent="0.25">
      <c r="A969" s="2" t="s">
        <v>1273</v>
      </c>
      <c r="B969" s="1" t="b">
        <v>1</v>
      </c>
      <c r="C969" s="1" t="b">
        <v>1</v>
      </c>
      <c r="F969" s="1" t="b">
        <v>1</v>
      </c>
      <c r="G969" s="1" t="str">
        <f>IF(OR(LEFT(RIGHT(Master_Reference[[#This Row],[Model Number]],3),1)="C",LEFT(RIGHT(Master_Reference[[#This Row],[Model Number]],4),1)="C"),TRUE,"")</f>
        <v/>
      </c>
      <c r="H969" s="1" t="b">
        <f>IF(LEFT(Master_Reference[[#This Row],[Model Number]],1)="U",TRUE,"")</f>
        <v>1</v>
      </c>
      <c r="I969" s="1" t="b">
        <f>IF(Master_Reference[[#This Row],[Lamp Type]]="T4","",IF(Master_Reference[[#This Row],[Case Type]]="M","",TRUE))</f>
        <v>1</v>
      </c>
      <c r="J969" s="1" t="s">
        <v>111</v>
      </c>
      <c r="K969" s="1">
        <v>32</v>
      </c>
      <c r="L969" s="1" t="s">
        <v>118</v>
      </c>
      <c r="M969" s="1">
        <v>3</v>
      </c>
      <c r="N969" s="1" t="s">
        <v>149</v>
      </c>
      <c r="O969" s="1" t="s">
        <v>217</v>
      </c>
      <c r="R969" t="b">
        <f>IF(COUNTBLANK(Master_Reference[[#This Row],[C-Flex 3000K Eco Part Number]:[C-Flex 4000K Eco Part Number]])=3,FALSE,TRUE)</f>
        <v>1</v>
      </c>
      <c r="S969" t="b">
        <f>IF(COUNTBLANK(Master_Reference[[#This Row],[C-Flex 3000K 3W Part Number]:[C-Flex 4000K 3W Part Number]])=3,FALSE,TRUE)</f>
        <v>1</v>
      </c>
      <c r="T969" t="b">
        <f>IF(COUNTBLANK(Master_Reference[[#This Row],[Lutron 3000K Eco Part Number]:[Lutron 4000K Eco Part Number]])=3,FALSE,TRUE)</f>
        <v>1</v>
      </c>
      <c r="U969" t="b">
        <f>IF(COUNTBLANK(Master_Reference[[#This Row],[Lutron 3000K 3W Part Number]:[Lutron 4000K 3W Part Number]])=3,FALSE,TRUE)</f>
        <v>1</v>
      </c>
      <c r="V969" s="12" t="s">
        <v>495</v>
      </c>
      <c r="W969" s="12" t="s">
        <v>496</v>
      </c>
      <c r="X969" s="12" t="s">
        <v>497</v>
      </c>
      <c r="Y969" t="s">
        <v>1746</v>
      </c>
      <c r="Z969" s="12" t="s">
        <v>277</v>
      </c>
      <c r="AA969" s="12" t="s">
        <v>278</v>
      </c>
      <c r="AB969" s="12" t="s">
        <v>279</v>
      </c>
      <c r="AC969" t="s">
        <v>1831</v>
      </c>
      <c r="AD969" t="str">
        <f>SUBSTITUTE(Master_Reference[[#This Row],[C-Flex 4000K Eco Part Number]],"40-","xx-")</f>
        <v>RP-T8-4FT-3L-8xx-E1-M-G2</v>
      </c>
      <c r="AE969" t="str">
        <f>SUBSTITUTE(Master_Reference[[#This Row],[C-Flex 4000K 3W Part Number]],"40-","xx-")</f>
        <v>RP-T8-4FT-3L-8xx-3W-M-G2</v>
      </c>
      <c r="AF969" s="1" t="str">
        <f>_xlfn.IFNA(VLOOKUP(Master_Reference[[#This Row],[C-Flex 3000K Eco Part Number]],Lutron_CFlex_Lookup[],MATCH("Lutron Kit PN",Lutron_CFlex_Lookup[#Headers],0),FALSE),"")</f>
        <v>ELD4T8-3M30-q</v>
      </c>
      <c r="AG969" s="1" t="str">
        <f>_xlfn.IFNA(VLOOKUP(Master_Reference[[#This Row],[C-Flex 3500K Eco Part Number]],Lutron_CFlex_Lookup[],MATCH("Lutron Kit PN",Lutron_CFlex_Lookup[#Headers],0),FALSE),"")</f>
        <v>ELD4T8-3M35-q</v>
      </c>
      <c r="AH969" s="1" t="str">
        <f>_xlfn.IFNA(VLOOKUP(Master_Reference[[#This Row],[C-Flex 4000K Eco Part Number]],Lutron_CFlex_Lookup[],MATCH("Lutron Kit PN",Lutron_CFlex_Lookup[#Headers],0),FALSE),"")</f>
        <v>ELD4T8-3M40-q</v>
      </c>
      <c r="AI969" s="1" t="str">
        <f>_xlfn.IFNA(VLOOKUP(Master_Reference[[#This Row],[C-Flex 5000K Eco Part Number]],Lutron_CFlex_Lookup[],MATCH("Lutron Kit PN",Lutron_CFlex_Lookup[#Headers],0),FALSE),"")</f>
        <v>ELD4T8-3M50-q</v>
      </c>
      <c r="AJ969" s="1" t="str">
        <f>_xlfn.IFNA(VLOOKUP(Master_Reference[[#This Row],[C-Flex 3000K 3W Part Number]],Lutron_CFlex_Lookup[],MATCH("Lutron Kit PN",Lutron_CFlex_Lookup[#Headers],0),FALSE),"")</f>
        <v>3LD4T8-3M30-q</v>
      </c>
      <c r="AK969" s="1" t="str">
        <f>_xlfn.IFNA(VLOOKUP(Master_Reference[[#This Row],[C-Flex 3500K 3W Part Number]],Lutron_CFlex_Lookup[],MATCH("Lutron Kit PN",Lutron_CFlex_Lookup[#Headers],0),FALSE),"")</f>
        <v>3LD4T8-3M35-q</v>
      </c>
      <c r="AL969" s="1" t="str">
        <f>_xlfn.IFNA(VLOOKUP(Master_Reference[[#This Row],[C-Flex 4000K 3W Part Number]],Lutron_CFlex_Lookup[],MATCH("Lutron Kit PN",Lutron_CFlex_Lookup[#Headers],0),FALSE),"")</f>
        <v>3LD4T8-3M40-q</v>
      </c>
      <c r="AM969" s="1" t="str">
        <f>_xlfn.IFNA(VLOOKUP(Master_Reference[[#This Row],[C-Flex 5000K 3W Part Number]],Lutron_CFlex_Lookup[],MATCH("Lutron Kit PN",Lutron_CFlex_Lookup[#Headers],0),FALSE),"")</f>
        <v>3LD4T8-3M50-q</v>
      </c>
      <c r="AN969" s="1" t="b">
        <f>NOT(ISNA(VLOOKUP(Master_Reference[[#This Row],[Model Number]],ObsoleteModels[],1,FALSE)))</f>
        <v>0</v>
      </c>
      <c r="AO969" s="1" t="str">
        <f>IF(LEFT(Master_Reference[[#This Row],[Model Number]],1)="U",LEFT(Master_Reference[[#This Row],[Model Number]],4),LEFT(Master_Reference[[#This Row],[Model Number]],3))</f>
        <v>UEC5</v>
      </c>
    </row>
    <row r="970" spans="1:41" x14ac:dyDescent="0.25">
      <c r="A970" s="2" t="s">
        <v>1274</v>
      </c>
      <c r="B970" s="1" t="b">
        <v>1</v>
      </c>
      <c r="C970" s="1" t="b">
        <v>1</v>
      </c>
      <c r="F970" s="1" t="b">
        <v>1</v>
      </c>
      <c r="G970" s="1" t="str">
        <f>IF(OR(LEFT(RIGHT(Master_Reference[[#This Row],[Model Number]],3),1)="C",LEFT(RIGHT(Master_Reference[[#This Row],[Model Number]],4),1)="C"),TRUE,"")</f>
        <v/>
      </c>
      <c r="H970" s="1" t="b">
        <f>IF(LEFT(Master_Reference[[#This Row],[Model Number]],1)="U",TRUE,"")</f>
        <v>1</v>
      </c>
      <c r="I970" s="1" t="b">
        <f>IF(Master_Reference[[#This Row],[Lamp Type]]="T4","",IF(Master_Reference[[#This Row],[Case Type]]="M","",TRUE))</f>
        <v>1</v>
      </c>
      <c r="J970" s="1" t="s">
        <v>111</v>
      </c>
      <c r="K970" s="1">
        <v>32</v>
      </c>
      <c r="L970" s="1" t="s">
        <v>118</v>
      </c>
      <c r="M970" s="1">
        <v>1</v>
      </c>
      <c r="N970" s="1" t="s">
        <v>149</v>
      </c>
      <c r="O970" s="1" t="s">
        <v>320</v>
      </c>
      <c r="R970" t="b">
        <f>IF(COUNTBLANK(Master_Reference[[#This Row],[C-Flex 3000K Eco Part Number]:[C-Flex 4000K Eco Part Number]])=3,FALSE,TRUE)</f>
        <v>1</v>
      </c>
      <c r="S970" t="b">
        <f>IF(COUNTBLANK(Master_Reference[[#This Row],[C-Flex 3000K 3W Part Number]:[C-Flex 4000K 3W Part Number]])=3,FALSE,TRUE)</f>
        <v>1</v>
      </c>
      <c r="T970" t="b">
        <f>IF(COUNTBLANK(Master_Reference[[#This Row],[Lutron 3000K Eco Part Number]:[Lutron 4000K Eco Part Number]])=3,FALSE,TRUE)</f>
        <v>1</v>
      </c>
      <c r="U970" t="b">
        <f>IF(COUNTBLANK(Master_Reference[[#This Row],[Lutron 3000K 3W Part Number]:[Lutron 4000K 3W Part Number]])=3,FALSE,TRUE)</f>
        <v>1</v>
      </c>
      <c r="V970" s="12" t="s">
        <v>312</v>
      </c>
      <c r="W970" s="12" t="s">
        <v>313</v>
      </c>
      <c r="X970" s="12" t="s">
        <v>314</v>
      </c>
      <c r="Y970" t="s">
        <v>1744</v>
      </c>
      <c r="Z970" s="12" t="s">
        <v>264</v>
      </c>
      <c r="AA970" s="12" t="s">
        <v>265</v>
      </c>
      <c r="AB970" s="12" t="s">
        <v>266</v>
      </c>
      <c r="AC970" t="s">
        <v>1829</v>
      </c>
      <c r="AD970" t="str">
        <f>SUBSTITUTE(Master_Reference[[#This Row],[C-Flex 4000K Eco Part Number]],"40-","xx-")</f>
        <v>RP-T8-4FT-1L-8xx-E1-M-G2</v>
      </c>
      <c r="AE970" t="str">
        <f>SUBSTITUTE(Master_Reference[[#This Row],[C-Flex 4000K 3W Part Number]],"40-","xx-")</f>
        <v>RP-T8-4FT-1L-8xx-3W-M-G2</v>
      </c>
      <c r="AF970" s="1" t="str">
        <f>_xlfn.IFNA(VLOOKUP(Master_Reference[[#This Row],[C-Flex 3000K Eco Part Number]],Lutron_CFlex_Lookup[],MATCH("Lutron Kit PN",Lutron_CFlex_Lookup[#Headers],0),FALSE),"")</f>
        <v>ELD4T8-1M30-q</v>
      </c>
      <c r="AG970" s="1" t="str">
        <f>_xlfn.IFNA(VLOOKUP(Master_Reference[[#This Row],[C-Flex 3500K Eco Part Number]],Lutron_CFlex_Lookup[],MATCH("Lutron Kit PN",Lutron_CFlex_Lookup[#Headers],0),FALSE),"")</f>
        <v>ELD4T8-1M35-q</v>
      </c>
      <c r="AH970" s="1" t="str">
        <f>_xlfn.IFNA(VLOOKUP(Master_Reference[[#This Row],[C-Flex 4000K Eco Part Number]],Lutron_CFlex_Lookup[],MATCH("Lutron Kit PN",Lutron_CFlex_Lookup[#Headers],0),FALSE),"")</f>
        <v>ELD4T8-1M40-q</v>
      </c>
      <c r="AI970" s="1" t="str">
        <f>_xlfn.IFNA(VLOOKUP(Master_Reference[[#This Row],[C-Flex 5000K Eco Part Number]],Lutron_CFlex_Lookup[],MATCH("Lutron Kit PN",Lutron_CFlex_Lookup[#Headers],0),FALSE),"")</f>
        <v>ELD4T8-1M50-q</v>
      </c>
      <c r="AJ970" s="1" t="str">
        <f>_xlfn.IFNA(VLOOKUP(Master_Reference[[#This Row],[C-Flex 3000K 3W Part Number]],Lutron_CFlex_Lookup[],MATCH("Lutron Kit PN",Lutron_CFlex_Lookup[#Headers],0),FALSE),"")</f>
        <v>3LD4T8-1M30-q</v>
      </c>
      <c r="AK970" s="1" t="str">
        <f>_xlfn.IFNA(VLOOKUP(Master_Reference[[#This Row],[C-Flex 3500K 3W Part Number]],Lutron_CFlex_Lookup[],MATCH("Lutron Kit PN",Lutron_CFlex_Lookup[#Headers],0),FALSE),"")</f>
        <v>3LD4T8-1M35-q</v>
      </c>
      <c r="AL970" s="1" t="str">
        <f>_xlfn.IFNA(VLOOKUP(Master_Reference[[#This Row],[C-Flex 4000K 3W Part Number]],Lutron_CFlex_Lookup[],MATCH("Lutron Kit PN",Lutron_CFlex_Lookup[#Headers],0),FALSE),"")</f>
        <v>3LD4T8-1M40-q</v>
      </c>
      <c r="AM970" s="1" t="str">
        <f>_xlfn.IFNA(VLOOKUP(Master_Reference[[#This Row],[C-Flex 5000K 3W Part Number]],Lutron_CFlex_Lookup[],MATCH("Lutron Kit PN",Lutron_CFlex_Lookup[#Headers],0),FALSE),"")</f>
        <v>3LD4T8-1M50-q</v>
      </c>
      <c r="AN970" s="1" t="b">
        <f>NOT(ISNA(VLOOKUP(Master_Reference[[#This Row],[Model Number]],ObsoleteModels[],1,FALSE)))</f>
        <v>0</v>
      </c>
      <c r="AO970" s="1" t="str">
        <f>IF(LEFT(Master_Reference[[#This Row],[Model Number]],1)="U",LEFT(Master_Reference[[#This Row],[Model Number]],4),LEFT(Master_Reference[[#This Row],[Model Number]],3))</f>
        <v>UEC5</v>
      </c>
    </row>
    <row r="971" spans="1:41" x14ac:dyDescent="0.25">
      <c r="A971" s="2" t="s">
        <v>1275</v>
      </c>
      <c r="B971" s="1" t="b">
        <v>1</v>
      </c>
      <c r="C971" s="1" t="b">
        <v>1</v>
      </c>
      <c r="F971" s="1" t="b">
        <v>1</v>
      </c>
      <c r="G971" s="1" t="str">
        <f>IF(OR(LEFT(RIGHT(Master_Reference[[#This Row],[Model Number]],3),1)="C",LEFT(RIGHT(Master_Reference[[#This Row],[Model Number]],4),1)="C"),TRUE,"")</f>
        <v/>
      </c>
      <c r="H971" s="1" t="b">
        <f>IF(LEFT(Master_Reference[[#This Row],[Model Number]],1)="U",TRUE,"")</f>
        <v>1</v>
      </c>
      <c r="I971" s="1" t="b">
        <f>IF(Master_Reference[[#This Row],[Lamp Type]]="T4","",IF(Master_Reference[[#This Row],[Case Type]]="M","",TRUE))</f>
        <v>1</v>
      </c>
      <c r="J971" s="1" t="s">
        <v>111</v>
      </c>
      <c r="K971" s="1">
        <v>32</v>
      </c>
      <c r="L971" s="1" t="s">
        <v>118</v>
      </c>
      <c r="M971" s="1">
        <v>2</v>
      </c>
      <c r="N971" s="1" t="s">
        <v>149</v>
      </c>
      <c r="O971" s="1" t="s">
        <v>320</v>
      </c>
      <c r="R971" t="b">
        <f>IF(COUNTBLANK(Master_Reference[[#This Row],[C-Flex 3000K Eco Part Number]:[C-Flex 4000K Eco Part Number]])=3,FALSE,TRUE)</f>
        <v>1</v>
      </c>
      <c r="S971" t="b">
        <f>IF(COUNTBLANK(Master_Reference[[#This Row],[C-Flex 3000K 3W Part Number]:[C-Flex 4000K 3W Part Number]])=3,FALSE,TRUE)</f>
        <v>1</v>
      </c>
      <c r="T971" t="b">
        <f>IF(COUNTBLANK(Master_Reference[[#This Row],[Lutron 3000K Eco Part Number]:[Lutron 4000K Eco Part Number]])=3,FALSE,TRUE)</f>
        <v>1</v>
      </c>
      <c r="U971" t="b">
        <f>IF(COUNTBLANK(Master_Reference[[#This Row],[Lutron 3000K 3W Part Number]:[Lutron 4000K 3W Part Number]])=3,FALSE,TRUE)</f>
        <v>1</v>
      </c>
      <c r="V971" s="12" t="s">
        <v>316</v>
      </c>
      <c r="W971" s="12" t="s">
        <v>317</v>
      </c>
      <c r="X971" s="12" t="s">
        <v>318</v>
      </c>
      <c r="Y971" t="s">
        <v>1745</v>
      </c>
      <c r="Z971" s="12" t="s">
        <v>145</v>
      </c>
      <c r="AA971" s="12" t="s">
        <v>146</v>
      </c>
      <c r="AB971" s="12" t="s">
        <v>147</v>
      </c>
      <c r="AC971" t="s">
        <v>1830</v>
      </c>
      <c r="AD971" t="str">
        <f>SUBSTITUTE(Master_Reference[[#This Row],[C-Flex 4000K Eco Part Number]],"40-","xx-")</f>
        <v>RP-T8-4FT-2L-8xx-E1-M-G2</v>
      </c>
      <c r="AE971" t="str">
        <f>SUBSTITUTE(Master_Reference[[#This Row],[C-Flex 4000K 3W Part Number]],"40-","xx-")</f>
        <v>RP-T8-4FT-2L-8xx-3W-M-G2</v>
      </c>
      <c r="AF971" s="1" t="str">
        <f>_xlfn.IFNA(VLOOKUP(Master_Reference[[#This Row],[C-Flex 3000K Eco Part Number]],Lutron_CFlex_Lookup[],MATCH("Lutron Kit PN",Lutron_CFlex_Lookup[#Headers],0),FALSE),"")</f>
        <v>ELD4T8-2M30-q</v>
      </c>
      <c r="AG971" s="1" t="str">
        <f>_xlfn.IFNA(VLOOKUP(Master_Reference[[#This Row],[C-Flex 3500K Eco Part Number]],Lutron_CFlex_Lookup[],MATCH("Lutron Kit PN",Lutron_CFlex_Lookup[#Headers],0),FALSE),"")</f>
        <v>ELD4T8-2M35-q</v>
      </c>
      <c r="AH971" s="1" t="str">
        <f>_xlfn.IFNA(VLOOKUP(Master_Reference[[#This Row],[C-Flex 4000K Eco Part Number]],Lutron_CFlex_Lookup[],MATCH("Lutron Kit PN",Lutron_CFlex_Lookup[#Headers],0),FALSE),"")</f>
        <v>ELD4T8-2M40-q</v>
      </c>
      <c r="AI971" s="1" t="str">
        <f>_xlfn.IFNA(VLOOKUP(Master_Reference[[#This Row],[C-Flex 5000K Eco Part Number]],Lutron_CFlex_Lookup[],MATCH("Lutron Kit PN",Lutron_CFlex_Lookup[#Headers],0),FALSE),"")</f>
        <v>ELD4T8-2M50-q</v>
      </c>
      <c r="AJ971" s="1" t="str">
        <f>_xlfn.IFNA(VLOOKUP(Master_Reference[[#This Row],[C-Flex 3000K 3W Part Number]],Lutron_CFlex_Lookup[],MATCH("Lutron Kit PN",Lutron_CFlex_Lookup[#Headers],0),FALSE),"")</f>
        <v>3LD4T8-2M30-q</v>
      </c>
      <c r="AK971" s="1" t="str">
        <f>_xlfn.IFNA(VLOOKUP(Master_Reference[[#This Row],[C-Flex 3500K 3W Part Number]],Lutron_CFlex_Lookup[],MATCH("Lutron Kit PN",Lutron_CFlex_Lookup[#Headers],0),FALSE),"")</f>
        <v>3LD4T8-2M35-q</v>
      </c>
      <c r="AL971" s="1" t="str">
        <f>_xlfn.IFNA(VLOOKUP(Master_Reference[[#This Row],[C-Flex 4000K 3W Part Number]],Lutron_CFlex_Lookup[],MATCH("Lutron Kit PN",Lutron_CFlex_Lookup[#Headers],0),FALSE),"")</f>
        <v>3LD4T8-2M40-q</v>
      </c>
      <c r="AM971" s="1" t="str">
        <f>_xlfn.IFNA(VLOOKUP(Master_Reference[[#This Row],[C-Flex 5000K 3W Part Number]],Lutron_CFlex_Lookup[],MATCH("Lutron Kit PN",Lutron_CFlex_Lookup[#Headers],0),FALSE),"")</f>
        <v>3LD4T8-2M50-q</v>
      </c>
      <c r="AN971" s="1" t="b">
        <f>NOT(ISNA(VLOOKUP(Master_Reference[[#This Row],[Model Number]],ObsoleteModels[],1,FALSE)))</f>
        <v>0</v>
      </c>
      <c r="AO971" s="1" t="str">
        <f>IF(LEFT(Master_Reference[[#This Row],[Model Number]],1)="U",LEFT(Master_Reference[[#This Row],[Model Number]],4),LEFT(Master_Reference[[#This Row],[Model Number]],3))</f>
        <v>UEC5</v>
      </c>
    </row>
    <row r="972" spans="1:41" x14ac:dyDescent="0.25">
      <c r="A972" s="2" t="s">
        <v>1276</v>
      </c>
      <c r="B972" s="1" t="b">
        <v>1</v>
      </c>
      <c r="C972" s="1" t="b">
        <v>1</v>
      </c>
      <c r="F972" s="1" t="b">
        <v>1</v>
      </c>
      <c r="G972" s="1" t="b">
        <v>1</v>
      </c>
      <c r="H972" s="1" t="b">
        <f>IF(LEFT(Master_Reference[[#This Row],[Model Number]],1)="U",TRUE,"")</f>
        <v>1</v>
      </c>
      <c r="I972" s="1" t="b">
        <f>IF(Master_Reference[[#This Row],[Lamp Type]]="T4","",IF(Master_Reference[[#This Row],[Case Type]]="M","",TRUE))</f>
        <v>1</v>
      </c>
      <c r="J972" s="1" t="s">
        <v>111</v>
      </c>
      <c r="K972" s="1" t="s">
        <v>531</v>
      </c>
      <c r="L972" s="1" t="s">
        <v>118</v>
      </c>
      <c r="M972" s="1">
        <v>3</v>
      </c>
      <c r="N972" s="1" t="s">
        <v>149</v>
      </c>
      <c r="O972" s="1" t="s">
        <v>217</v>
      </c>
      <c r="R972" t="b">
        <f>IF(COUNTBLANK(Master_Reference[[#This Row],[C-Flex 3000K Eco Part Number]:[C-Flex 4000K Eco Part Number]])=3,FALSE,TRUE)</f>
        <v>1</v>
      </c>
      <c r="S972" t="b">
        <f>IF(COUNTBLANK(Master_Reference[[#This Row],[C-Flex 3000K 3W Part Number]:[C-Flex 4000K 3W Part Number]])=3,FALSE,TRUE)</f>
        <v>1</v>
      </c>
      <c r="T972" t="b">
        <f>IF(COUNTBLANK(Master_Reference[[#This Row],[Lutron 3000K Eco Part Number]:[Lutron 4000K Eco Part Number]])=3,FALSE,TRUE)</f>
        <v>1</v>
      </c>
      <c r="U972" t="b">
        <f>IF(COUNTBLANK(Master_Reference[[#This Row],[Lutron 3000K 3W Part Number]:[Lutron 4000K 3W Part Number]])=3,FALSE,TRUE)</f>
        <v>1</v>
      </c>
      <c r="V972" s="12" t="s">
        <v>495</v>
      </c>
      <c r="W972" s="12" t="s">
        <v>496</v>
      </c>
      <c r="X972" s="12" t="s">
        <v>497</v>
      </c>
      <c r="Y972" t="s">
        <v>1746</v>
      </c>
      <c r="Z972" s="12" t="s">
        <v>277</v>
      </c>
      <c r="AA972" s="12" t="s">
        <v>278</v>
      </c>
      <c r="AB972" s="12" t="s">
        <v>279</v>
      </c>
      <c r="AC972" t="s">
        <v>1831</v>
      </c>
      <c r="AD972" t="str">
        <f>SUBSTITUTE(Master_Reference[[#This Row],[C-Flex 4000K Eco Part Number]],"40-","xx-")</f>
        <v>RP-T8-4FT-3L-8xx-E1-M-G2</v>
      </c>
      <c r="AE972" t="str">
        <f>SUBSTITUTE(Master_Reference[[#This Row],[C-Flex 4000K 3W Part Number]],"40-","xx-")</f>
        <v>RP-T8-4FT-3L-8xx-3W-M-G2</v>
      </c>
      <c r="AF972" s="1" t="str">
        <f>_xlfn.IFNA(VLOOKUP(Master_Reference[[#This Row],[C-Flex 3000K Eco Part Number]],Lutron_CFlex_Lookup[],MATCH("Lutron Kit PN",Lutron_CFlex_Lookup[#Headers],0),FALSE),"")</f>
        <v>ELD4T8-3M30-q</v>
      </c>
      <c r="AG972" s="1" t="str">
        <f>_xlfn.IFNA(VLOOKUP(Master_Reference[[#This Row],[C-Flex 3500K Eco Part Number]],Lutron_CFlex_Lookup[],MATCH("Lutron Kit PN",Lutron_CFlex_Lookup[#Headers],0),FALSE),"")</f>
        <v>ELD4T8-3M35-q</v>
      </c>
      <c r="AH972" s="1" t="str">
        <f>_xlfn.IFNA(VLOOKUP(Master_Reference[[#This Row],[C-Flex 4000K Eco Part Number]],Lutron_CFlex_Lookup[],MATCH("Lutron Kit PN",Lutron_CFlex_Lookup[#Headers],0),FALSE),"")</f>
        <v>ELD4T8-3M40-q</v>
      </c>
      <c r="AI972" s="1" t="str">
        <f>_xlfn.IFNA(VLOOKUP(Master_Reference[[#This Row],[C-Flex 5000K Eco Part Number]],Lutron_CFlex_Lookup[],MATCH("Lutron Kit PN",Lutron_CFlex_Lookup[#Headers],0),FALSE),"")</f>
        <v>ELD4T8-3M50-q</v>
      </c>
      <c r="AJ972" s="1" t="str">
        <f>_xlfn.IFNA(VLOOKUP(Master_Reference[[#This Row],[C-Flex 3000K 3W Part Number]],Lutron_CFlex_Lookup[],MATCH("Lutron Kit PN",Lutron_CFlex_Lookup[#Headers],0),FALSE),"")</f>
        <v>3LD4T8-3M30-q</v>
      </c>
      <c r="AK972" s="1" t="str">
        <f>_xlfn.IFNA(VLOOKUP(Master_Reference[[#This Row],[C-Flex 3500K 3W Part Number]],Lutron_CFlex_Lookup[],MATCH("Lutron Kit PN",Lutron_CFlex_Lookup[#Headers],0),FALSE),"")</f>
        <v>3LD4T8-3M35-q</v>
      </c>
      <c r="AL972" s="1" t="str">
        <f>_xlfn.IFNA(VLOOKUP(Master_Reference[[#This Row],[C-Flex 4000K 3W Part Number]],Lutron_CFlex_Lookup[],MATCH("Lutron Kit PN",Lutron_CFlex_Lookup[#Headers],0),FALSE),"")</f>
        <v>3LD4T8-3M40-q</v>
      </c>
      <c r="AM972" s="1" t="str">
        <f>_xlfn.IFNA(VLOOKUP(Master_Reference[[#This Row],[C-Flex 5000K 3W Part Number]],Lutron_CFlex_Lookup[],MATCH("Lutron Kit PN",Lutron_CFlex_Lookup[#Headers],0),FALSE),"")</f>
        <v>3LD4T8-3M50-q</v>
      </c>
      <c r="AN972" s="1" t="b">
        <f>NOT(ISNA(VLOOKUP(Master_Reference[[#This Row],[Model Number]],ObsoleteModels[],1,FALSE)))</f>
        <v>1</v>
      </c>
      <c r="AO972" s="1" t="str">
        <f>IF(LEFT(Master_Reference[[#This Row],[Model Number]],1)="U",LEFT(Master_Reference[[#This Row],[Model Number]],4),LEFT(Master_Reference[[#This Row],[Model Number]],3))</f>
        <v>UEC5</v>
      </c>
    </row>
    <row r="973" spans="1:41" x14ac:dyDescent="0.25">
      <c r="A973" s="2" t="s">
        <v>1277</v>
      </c>
      <c r="B973" s="1" t="b">
        <v>1</v>
      </c>
      <c r="G973" s="1" t="str">
        <f>IF(OR(LEFT(RIGHT(Master_Reference[[#This Row],[Model Number]],3),1)="C",LEFT(RIGHT(Master_Reference[[#This Row],[Model Number]],4),1)="C"),TRUE,"")</f>
        <v/>
      </c>
      <c r="H973" s="1" t="b">
        <f>IF(LEFT(Master_Reference[[#This Row],[Model Number]],1)="U",TRUE,"")</f>
        <v>1</v>
      </c>
      <c r="I973" s="1" t="str">
        <f>IF(Master_Reference[[#This Row],[Lamp Type]]="T4","",IF(Master_Reference[[#This Row],[Case Type]]="M","",TRUE))</f>
        <v/>
      </c>
      <c r="J973" s="1" t="s">
        <v>123</v>
      </c>
      <c r="K973" s="1">
        <v>21</v>
      </c>
      <c r="L973" s="1" t="s">
        <v>115</v>
      </c>
      <c r="M973" s="1">
        <v>1</v>
      </c>
      <c r="N973" s="1" t="s">
        <v>149</v>
      </c>
      <c r="O973" s="1" t="s">
        <v>632</v>
      </c>
      <c r="R973" t="b">
        <f>IF(COUNTBLANK(Master_Reference[[#This Row],[C-Flex 3000K Eco Part Number]:[C-Flex 4000K Eco Part Number]])=3,FALSE,TRUE)</f>
        <v>1</v>
      </c>
      <c r="S973" t="b">
        <f>IF(COUNTBLANK(Master_Reference[[#This Row],[C-Flex 3000K 3W Part Number]:[C-Flex 4000K 3W Part Number]])=3,FALSE,TRUE)</f>
        <v>0</v>
      </c>
      <c r="T973" t="b">
        <f>IF(COUNTBLANK(Master_Reference[[#This Row],[Lutron 3000K Eco Part Number]:[Lutron 4000K Eco Part Number]])=3,FALSE,TRUE)</f>
        <v>1</v>
      </c>
      <c r="U973" t="b">
        <f>IF(COUNTBLANK(Master_Reference[[#This Row],[Lutron 3000K 3W Part Number]:[Lutron 4000K 3W Part Number]])=3,FALSE,TRUE)</f>
        <v>0</v>
      </c>
      <c r="V973" s="12" t="s">
        <v>337</v>
      </c>
      <c r="W973" s="12" t="s">
        <v>338</v>
      </c>
      <c r="X973" s="12" t="s">
        <v>339</v>
      </c>
      <c r="Y973" t="s">
        <v>1717</v>
      </c>
      <c r="Z973" s="12"/>
      <c r="AA973" s="12"/>
      <c r="AB973" s="12"/>
      <c r="AC973" t="s">
        <v>2125</v>
      </c>
      <c r="AD973" t="str">
        <f>SUBSTITUTE(Master_Reference[[#This Row],[C-Flex 4000K Eco Part Number]],"40-","xx-")</f>
        <v>RP-T5-3FT-1L-8xx-E1-M-G2</v>
      </c>
      <c r="AE973" t="str">
        <f>SUBSTITUTE(Master_Reference[[#This Row],[C-Flex 4000K 3W Part Number]],"40-","xx-")</f>
        <v/>
      </c>
      <c r="AF973" s="1" t="str">
        <f>_xlfn.IFNA(VLOOKUP(Master_Reference[[#This Row],[C-Flex 3000K Eco Part Number]],Lutron_CFlex_Lookup[],MATCH("Lutron Kit PN",Lutron_CFlex_Lookup[#Headers],0),FALSE),"")</f>
        <v>ELD3T5-1M30-q</v>
      </c>
      <c r="AG973" s="1" t="str">
        <f>_xlfn.IFNA(VLOOKUP(Master_Reference[[#This Row],[C-Flex 3500K Eco Part Number]],Lutron_CFlex_Lookup[],MATCH("Lutron Kit PN",Lutron_CFlex_Lookup[#Headers],0),FALSE),"")</f>
        <v>ELD3T5-1M35-q</v>
      </c>
      <c r="AH973" s="1" t="str">
        <f>_xlfn.IFNA(VLOOKUP(Master_Reference[[#This Row],[C-Flex 4000K Eco Part Number]],Lutron_CFlex_Lookup[],MATCH("Lutron Kit PN",Lutron_CFlex_Lookup[#Headers],0),FALSE),"")</f>
        <v>ELD3T5-1M40-q</v>
      </c>
      <c r="AI973" s="1" t="str">
        <f>_xlfn.IFNA(VLOOKUP(Master_Reference[[#This Row],[C-Flex 5000K Eco Part Number]],Lutron_CFlex_Lookup[],MATCH("Lutron Kit PN",Lutron_CFlex_Lookup[#Headers],0),FALSE),"")</f>
        <v>ELD3T5-1M50-q</v>
      </c>
      <c r="AJ973" s="1" t="str">
        <f>_xlfn.IFNA(VLOOKUP(Master_Reference[[#This Row],[C-Flex 3000K 3W Part Number]],Lutron_CFlex_Lookup[],MATCH("Lutron Kit PN",Lutron_CFlex_Lookup[#Headers],0),FALSE),"")</f>
        <v/>
      </c>
      <c r="AK973" s="1" t="str">
        <f>_xlfn.IFNA(VLOOKUP(Master_Reference[[#This Row],[C-Flex 3500K 3W Part Number]],Lutron_CFlex_Lookup[],MATCH("Lutron Kit PN",Lutron_CFlex_Lookup[#Headers],0),FALSE),"")</f>
        <v/>
      </c>
      <c r="AL973" s="1" t="str">
        <f>_xlfn.IFNA(VLOOKUP(Master_Reference[[#This Row],[C-Flex 4000K 3W Part Number]],Lutron_CFlex_Lookup[],MATCH("Lutron Kit PN",Lutron_CFlex_Lookup[#Headers],0),FALSE),"")</f>
        <v/>
      </c>
      <c r="AM973" s="1" t="str">
        <f>_xlfn.IFNA(VLOOKUP(Master_Reference[[#This Row],[C-Flex 5000K 3W Part Number]],Lutron_CFlex_Lookup[],MATCH("Lutron Kit PN",Lutron_CFlex_Lookup[#Headers],0),FALSE),"")</f>
        <v/>
      </c>
      <c r="AN973" s="1" t="b">
        <f>NOT(ISNA(VLOOKUP(Master_Reference[[#This Row],[Model Number]],ObsoleteModels[],1,FALSE)))</f>
        <v>1</v>
      </c>
      <c r="AO973" s="1" t="str">
        <f>IF(LEFT(Master_Reference[[#This Row],[Model Number]],1)="U",LEFT(Master_Reference[[#This Row],[Model Number]],4),LEFT(Master_Reference[[#This Row],[Model Number]],3))</f>
        <v>UEHD</v>
      </c>
    </row>
    <row r="974" spans="1:41" x14ac:dyDescent="0.25">
      <c r="A974" s="2" t="s">
        <v>1278</v>
      </c>
      <c r="B974" s="1" t="b">
        <v>1</v>
      </c>
      <c r="G974" s="1" t="str">
        <f>IF(OR(LEFT(RIGHT(Master_Reference[[#This Row],[Model Number]],3),1)="C",LEFT(RIGHT(Master_Reference[[#This Row],[Model Number]],4),1)="C"),TRUE,"")</f>
        <v/>
      </c>
      <c r="H974" s="1" t="b">
        <f>IF(LEFT(Master_Reference[[#This Row],[Model Number]],1)="U",TRUE,"")</f>
        <v>1</v>
      </c>
      <c r="I974" s="1" t="b">
        <f>IF(Master_Reference[[#This Row],[Lamp Type]]="T4","",IF(Master_Reference[[#This Row],[Case Type]]="M","",TRUE))</f>
        <v>1</v>
      </c>
      <c r="J974" s="1" t="s">
        <v>123</v>
      </c>
      <c r="K974" s="1">
        <v>28</v>
      </c>
      <c r="L974" s="1" t="s">
        <v>118</v>
      </c>
      <c r="M974" s="1">
        <v>2</v>
      </c>
      <c r="N974" s="1" t="s">
        <v>149</v>
      </c>
      <c r="O974" s="1" t="s">
        <v>113</v>
      </c>
      <c r="R974" t="b">
        <f>IF(COUNTBLANK(Master_Reference[[#This Row],[C-Flex 3000K Eco Part Number]:[C-Flex 4000K Eco Part Number]])=3,FALSE,TRUE)</f>
        <v>1</v>
      </c>
      <c r="S974" t="b">
        <f>IF(COUNTBLANK(Master_Reference[[#This Row],[C-Flex 3000K 3W Part Number]:[C-Flex 4000K 3W Part Number]])=3,FALSE,TRUE)</f>
        <v>0</v>
      </c>
      <c r="T974" t="b">
        <f>IF(COUNTBLANK(Master_Reference[[#This Row],[Lutron 3000K Eco Part Number]:[Lutron 4000K Eco Part Number]])=3,FALSE,TRUE)</f>
        <v>1</v>
      </c>
      <c r="U974" t="b">
        <f>IF(COUNTBLANK(Master_Reference[[#This Row],[Lutron 3000K 3W Part Number]:[Lutron 4000K 3W Part Number]])=3,FALSE,TRUE)</f>
        <v>0</v>
      </c>
      <c r="V974" s="12" t="s">
        <v>290</v>
      </c>
      <c r="W974" s="12" t="s">
        <v>291</v>
      </c>
      <c r="X974" s="12" t="s">
        <v>292</v>
      </c>
      <c r="Y974" t="s">
        <v>1720</v>
      </c>
      <c r="Z974" s="12"/>
      <c r="AA974" s="12"/>
      <c r="AB974" s="12"/>
      <c r="AC974" t="s">
        <v>2125</v>
      </c>
      <c r="AD974" t="str">
        <f>SUBSTITUTE(Master_Reference[[#This Row],[C-Flex 4000K Eco Part Number]],"40-","xx-")</f>
        <v>RP-T5-4FT-2L-8xx-E1-M-G2</v>
      </c>
      <c r="AE974" t="str">
        <f>SUBSTITUTE(Master_Reference[[#This Row],[C-Flex 4000K 3W Part Number]],"40-","xx-")</f>
        <v/>
      </c>
      <c r="AF974" s="1" t="str">
        <f>_xlfn.IFNA(VLOOKUP(Master_Reference[[#This Row],[C-Flex 3000K Eco Part Number]],Lutron_CFlex_Lookup[],MATCH("Lutron Kit PN",Lutron_CFlex_Lookup[#Headers],0),FALSE),"")</f>
        <v>ELD4T5-2M30-q</v>
      </c>
      <c r="AG974" s="1" t="str">
        <f>_xlfn.IFNA(VLOOKUP(Master_Reference[[#This Row],[C-Flex 3500K Eco Part Number]],Lutron_CFlex_Lookup[],MATCH("Lutron Kit PN",Lutron_CFlex_Lookup[#Headers],0),FALSE),"")</f>
        <v>ELD4T5-2M35-q</v>
      </c>
      <c r="AH974" s="1" t="str">
        <f>_xlfn.IFNA(VLOOKUP(Master_Reference[[#This Row],[C-Flex 4000K Eco Part Number]],Lutron_CFlex_Lookup[],MATCH("Lutron Kit PN",Lutron_CFlex_Lookup[#Headers],0),FALSE),"")</f>
        <v>ELD4T5-2M40-q</v>
      </c>
      <c r="AI974" s="1" t="str">
        <f>_xlfn.IFNA(VLOOKUP(Master_Reference[[#This Row],[C-Flex 5000K Eco Part Number]],Lutron_CFlex_Lookup[],MATCH("Lutron Kit PN",Lutron_CFlex_Lookup[#Headers],0),FALSE),"")</f>
        <v>ELD4T5-2M50-q</v>
      </c>
      <c r="AJ974" s="1" t="str">
        <f>_xlfn.IFNA(VLOOKUP(Master_Reference[[#This Row],[C-Flex 3000K 3W Part Number]],Lutron_CFlex_Lookup[],MATCH("Lutron Kit PN",Lutron_CFlex_Lookup[#Headers],0),FALSE),"")</f>
        <v/>
      </c>
      <c r="AK974" s="1" t="str">
        <f>_xlfn.IFNA(VLOOKUP(Master_Reference[[#This Row],[C-Flex 3500K 3W Part Number]],Lutron_CFlex_Lookup[],MATCH("Lutron Kit PN",Lutron_CFlex_Lookup[#Headers],0),FALSE),"")</f>
        <v/>
      </c>
      <c r="AL974" s="1" t="str">
        <f>_xlfn.IFNA(VLOOKUP(Master_Reference[[#This Row],[C-Flex 4000K 3W Part Number]],Lutron_CFlex_Lookup[],MATCH("Lutron Kit PN",Lutron_CFlex_Lookup[#Headers],0),FALSE),"")</f>
        <v/>
      </c>
      <c r="AM974" s="1" t="str">
        <f>_xlfn.IFNA(VLOOKUP(Master_Reference[[#This Row],[C-Flex 5000K 3W Part Number]],Lutron_CFlex_Lookup[],MATCH("Lutron Kit PN",Lutron_CFlex_Lookup[#Headers],0),FALSE),"")</f>
        <v/>
      </c>
      <c r="AN974" s="1" t="b">
        <f>NOT(ISNA(VLOOKUP(Master_Reference[[#This Row],[Model Number]],ObsoleteModels[],1,FALSE)))</f>
        <v>1</v>
      </c>
      <c r="AO974" s="1" t="str">
        <f>IF(LEFT(Master_Reference[[#This Row],[Model Number]],1)="U",LEFT(Master_Reference[[#This Row],[Model Number]],4),LEFT(Master_Reference[[#This Row],[Model Number]],3))</f>
        <v>UEHD</v>
      </c>
    </row>
    <row r="975" spans="1:41" x14ac:dyDescent="0.25">
      <c r="A975" s="2" t="s">
        <v>1279</v>
      </c>
      <c r="B975" s="1" t="b">
        <v>1</v>
      </c>
      <c r="G975" s="1" t="str">
        <f>IF(OR(LEFT(RIGHT(Master_Reference[[#This Row],[Model Number]],3),1)="C",LEFT(RIGHT(Master_Reference[[#This Row],[Model Number]],4),1)="C"),TRUE,"")</f>
        <v/>
      </c>
      <c r="H975" s="1" t="b">
        <f>IF(LEFT(Master_Reference[[#This Row],[Model Number]],1)="U",TRUE,"")</f>
        <v>1</v>
      </c>
      <c r="I975" s="1" t="str">
        <f>IF(Master_Reference[[#This Row],[Lamp Type]]="T4","",IF(Master_Reference[[#This Row],[Case Type]]="M","",TRUE))</f>
        <v/>
      </c>
      <c r="J975" s="1" t="s">
        <v>123</v>
      </c>
      <c r="K975" s="1">
        <v>28</v>
      </c>
      <c r="L975" s="1" t="s">
        <v>118</v>
      </c>
      <c r="M975" s="1">
        <v>1</v>
      </c>
      <c r="N975" s="1" t="s">
        <v>149</v>
      </c>
      <c r="O975" s="1" t="s">
        <v>632</v>
      </c>
      <c r="R975" t="b">
        <f>IF(COUNTBLANK(Master_Reference[[#This Row],[C-Flex 3000K Eco Part Number]:[C-Flex 4000K Eco Part Number]])=3,FALSE,TRUE)</f>
        <v>1</v>
      </c>
      <c r="S975" t="b">
        <f>IF(COUNTBLANK(Master_Reference[[#This Row],[C-Flex 3000K 3W Part Number]:[C-Flex 4000K 3W Part Number]])=3,FALSE,TRUE)</f>
        <v>0</v>
      </c>
      <c r="T975" t="b">
        <f>IF(COUNTBLANK(Master_Reference[[#This Row],[Lutron 3000K Eco Part Number]:[Lutron 4000K Eco Part Number]])=3,FALSE,TRUE)</f>
        <v>1</v>
      </c>
      <c r="U975" t="b">
        <f>IF(COUNTBLANK(Master_Reference[[#This Row],[Lutron 3000K 3W Part Number]:[Lutron 4000K 3W Part Number]])=3,FALSE,TRUE)</f>
        <v>0</v>
      </c>
      <c r="V975" s="12" t="s">
        <v>283</v>
      </c>
      <c r="W975" s="12" t="s">
        <v>284</v>
      </c>
      <c r="X975" s="12" t="s">
        <v>285</v>
      </c>
      <c r="Y975" t="s">
        <v>1719</v>
      </c>
      <c r="Z975" s="12"/>
      <c r="AA975" s="12"/>
      <c r="AB975" s="12"/>
      <c r="AC975" t="s">
        <v>2125</v>
      </c>
      <c r="AD975" t="str">
        <f>SUBSTITUTE(Master_Reference[[#This Row],[C-Flex 4000K Eco Part Number]],"40-","xx-")</f>
        <v>RP-T5-4FT-1L-8xx-E1-M-G2</v>
      </c>
      <c r="AE975" t="str">
        <f>SUBSTITUTE(Master_Reference[[#This Row],[C-Flex 4000K 3W Part Number]],"40-","xx-")</f>
        <v/>
      </c>
      <c r="AF975" s="1" t="str">
        <f>_xlfn.IFNA(VLOOKUP(Master_Reference[[#This Row],[C-Flex 3000K Eco Part Number]],Lutron_CFlex_Lookup[],MATCH("Lutron Kit PN",Lutron_CFlex_Lookup[#Headers],0),FALSE),"")</f>
        <v>ELD4T5-1M30-q</v>
      </c>
      <c r="AG975" s="1" t="str">
        <f>_xlfn.IFNA(VLOOKUP(Master_Reference[[#This Row],[C-Flex 3500K Eco Part Number]],Lutron_CFlex_Lookup[],MATCH("Lutron Kit PN",Lutron_CFlex_Lookup[#Headers],0),FALSE),"")</f>
        <v>ELD4T5-1M35-q</v>
      </c>
      <c r="AH975" s="1" t="str">
        <f>_xlfn.IFNA(VLOOKUP(Master_Reference[[#This Row],[C-Flex 4000K Eco Part Number]],Lutron_CFlex_Lookup[],MATCH("Lutron Kit PN",Lutron_CFlex_Lookup[#Headers],0),FALSE),"")</f>
        <v>ELD4T5-1M40-q</v>
      </c>
      <c r="AI975" s="1" t="str">
        <f>_xlfn.IFNA(VLOOKUP(Master_Reference[[#This Row],[C-Flex 5000K Eco Part Number]],Lutron_CFlex_Lookup[],MATCH("Lutron Kit PN",Lutron_CFlex_Lookup[#Headers],0),FALSE),"")</f>
        <v>ELD4T5-1M50-q</v>
      </c>
      <c r="AJ975" s="1" t="str">
        <f>_xlfn.IFNA(VLOOKUP(Master_Reference[[#This Row],[C-Flex 3000K 3W Part Number]],Lutron_CFlex_Lookup[],MATCH("Lutron Kit PN",Lutron_CFlex_Lookup[#Headers],0),FALSE),"")</f>
        <v/>
      </c>
      <c r="AK975" s="1" t="str">
        <f>_xlfn.IFNA(VLOOKUP(Master_Reference[[#This Row],[C-Flex 3500K 3W Part Number]],Lutron_CFlex_Lookup[],MATCH("Lutron Kit PN",Lutron_CFlex_Lookup[#Headers],0),FALSE),"")</f>
        <v/>
      </c>
      <c r="AL975" s="1" t="str">
        <f>_xlfn.IFNA(VLOOKUP(Master_Reference[[#This Row],[C-Flex 4000K 3W Part Number]],Lutron_CFlex_Lookup[],MATCH("Lutron Kit PN",Lutron_CFlex_Lookup[#Headers],0),FALSE),"")</f>
        <v/>
      </c>
      <c r="AM975" s="1" t="str">
        <f>_xlfn.IFNA(VLOOKUP(Master_Reference[[#This Row],[C-Flex 5000K 3W Part Number]],Lutron_CFlex_Lookup[],MATCH("Lutron Kit PN",Lutron_CFlex_Lookup[#Headers],0),FALSE),"")</f>
        <v/>
      </c>
      <c r="AN975" s="1" t="b">
        <f>NOT(ISNA(VLOOKUP(Master_Reference[[#This Row],[Model Number]],ObsoleteModels[],1,FALSE)))</f>
        <v>1</v>
      </c>
      <c r="AO975" s="1" t="str">
        <f>IF(LEFT(Master_Reference[[#This Row],[Model Number]],1)="U",LEFT(Master_Reference[[#This Row],[Model Number]],4),LEFT(Master_Reference[[#This Row],[Model Number]],3))</f>
        <v>UEHD</v>
      </c>
    </row>
    <row r="976" spans="1:41" x14ac:dyDescent="0.25">
      <c r="A976" s="2" t="s">
        <v>1280</v>
      </c>
      <c r="B976" s="1" t="b">
        <v>1</v>
      </c>
      <c r="G976" s="1" t="str">
        <f>IF(OR(LEFT(RIGHT(Master_Reference[[#This Row],[Model Number]],3),1)="C",LEFT(RIGHT(Master_Reference[[#This Row],[Model Number]],4),1)="C"),TRUE,"")</f>
        <v/>
      </c>
      <c r="H976" s="1" t="b">
        <f>IF(LEFT(Master_Reference[[#This Row],[Model Number]],1)="U",TRUE,"")</f>
        <v>1</v>
      </c>
      <c r="I976" s="1" t="b">
        <f>IF(Master_Reference[[#This Row],[Lamp Type]]="T4","",IF(Master_Reference[[#This Row],[Case Type]]="M","",TRUE))</f>
        <v>1</v>
      </c>
      <c r="J976" s="1" t="s">
        <v>297</v>
      </c>
      <c r="K976" s="1">
        <v>54</v>
      </c>
      <c r="L976" s="1" t="s">
        <v>118</v>
      </c>
      <c r="M976" s="1">
        <v>2</v>
      </c>
      <c r="N976" s="1" t="s">
        <v>149</v>
      </c>
      <c r="O976" s="1" t="s">
        <v>113</v>
      </c>
      <c r="R976" t="b">
        <f>IF(COUNTBLANK(Master_Reference[[#This Row],[C-Flex 3000K Eco Part Number]:[C-Flex 4000K Eco Part Number]])=3,FALSE,TRUE)</f>
        <v>1</v>
      </c>
      <c r="S976" t="b">
        <f>IF(COUNTBLANK(Master_Reference[[#This Row],[C-Flex 3000K 3W Part Number]:[C-Flex 4000K 3W Part Number]])=3,FALSE,TRUE)</f>
        <v>0</v>
      </c>
      <c r="T976" t="b">
        <f>IF(COUNTBLANK(Master_Reference[[#This Row],[Lutron 3000K Eco Part Number]:[Lutron 4000K Eco Part Number]])=3,FALSE,TRUE)</f>
        <v>1</v>
      </c>
      <c r="U976" t="b">
        <f>IF(COUNTBLANK(Master_Reference[[#This Row],[Lutron 3000K 3W Part Number]:[Lutron 4000K 3W Part Number]])=3,FALSE,TRUE)</f>
        <v>0</v>
      </c>
      <c r="V976" s="12" t="s">
        <v>305</v>
      </c>
      <c r="W976" s="12" t="s">
        <v>306</v>
      </c>
      <c r="X976" s="12" t="s">
        <v>307</v>
      </c>
      <c r="Y976" t="s">
        <v>1734</v>
      </c>
      <c r="Z976" s="12"/>
      <c r="AA976" s="12"/>
      <c r="AB976" s="12"/>
      <c r="AC976" t="s">
        <v>2125</v>
      </c>
      <c r="AD976" t="str">
        <f>SUBSTITUTE(Master_Reference[[#This Row],[C-Flex 4000K Eco Part Number]],"40-","xx-")</f>
        <v>RP-T5HO-4FT-2L-8xx-E1-M-G2</v>
      </c>
      <c r="AE976" t="str">
        <f>SUBSTITUTE(Master_Reference[[#This Row],[C-Flex 4000K 3W Part Number]],"40-","xx-")</f>
        <v/>
      </c>
      <c r="AF976" s="1" t="str">
        <f>_xlfn.IFNA(VLOOKUP(Master_Reference[[#This Row],[C-Flex 3000K Eco Part Number]],Lutron_CFlex_Lookup[],MATCH("Lutron Kit PN",Lutron_CFlex_Lookup[#Headers],0),FALSE),"")</f>
        <v>ELD4T5H-2M30-q</v>
      </c>
      <c r="AG976" s="1" t="str">
        <f>_xlfn.IFNA(VLOOKUP(Master_Reference[[#This Row],[C-Flex 3500K Eco Part Number]],Lutron_CFlex_Lookup[],MATCH("Lutron Kit PN",Lutron_CFlex_Lookup[#Headers],0),FALSE),"")</f>
        <v>ELD4T5H-2M35-q</v>
      </c>
      <c r="AH976" s="1" t="str">
        <f>_xlfn.IFNA(VLOOKUP(Master_Reference[[#This Row],[C-Flex 4000K Eco Part Number]],Lutron_CFlex_Lookup[],MATCH("Lutron Kit PN",Lutron_CFlex_Lookup[#Headers],0),FALSE),"")</f>
        <v>ELD4T5H-2M40-q</v>
      </c>
      <c r="AI976" s="1" t="str">
        <f>_xlfn.IFNA(VLOOKUP(Master_Reference[[#This Row],[C-Flex 5000K Eco Part Number]],Lutron_CFlex_Lookup[],MATCH("Lutron Kit PN",Lutron_CFlex_Lookup[#Headers],0),FALSE),"")</f>
        <v>ELD4T5H-2M50-q</v>
      </c>
      <c r="AJ976" s="1" t="str">
        <f>_xlfn.IFNA(VLOOKUP(Master_Reference[[#This Row],[C-Flex 3000K 3W Part Number]],Lutron_CFlex_Lookup[],MATCH("Lutron Kit PN",Lutron_CFlex_Lookup[#Headers],0),FALSE),"")</f>
        <v/>
      </c>
      <c r="AK976" s="1" t="str">
        <f>_xlfn.IFNA(VLOOKUP(Master_Reference[[#This Row],[C-Flex 3500K 3W Part Number]],Lutron_CFlex_Lookup[],MATCH("Lutron Kit PN",Lutron_CFlex_Lookup[#Headers],0),FALSE),"")</f>
        <v/>
      </c>
      <c r="AL976" s="1" t="str">
        <f>_xlfn.IFNA(VLOOKUP(Master_Reference[[#This Row],[C-Flex 4000K 3W Part Number]],Lutron_CFlex_Lookup[],MATCH("Lutron Kit PN",Lutron_CFlex_Lookup[#Headers],0),FALSE),"")</f>
        <v/>
      </c>
      <c r="AM976" s="1" t="str">
        <f>_xlfn.IFNA(VLOOKUP(Master_Reference[[#This Row],[C-Flex 5000K 3W Part Number]],Lutron_CFlex_Lookup[],MATCH("Lutron Kit PN",Lutron_CFlex_Lookup[#Headers],0),FALSE),"")</f>
        <v/>
      </c>
      <c r="AN976" s="1" t="b">
        <f>NOT(ISNA(VLOOKUP(Master_Reference[[#This Row],[Model Number]],ObsoleteModels[],1,FALSE)))</f>
        <v>1</v>
      </c>
      <c r="AO976" s="1" t="str">
        <f>IF(LEFT(Master_Reference[[#This Row],[Model Number]],1)="U",LEFT(Master_Reference[[#This Row],[Model Number]],4),LEFT(Master_Reference[[#This Row],[Model Number]],3))</f>
        <v>UEHD</v>
      </c>
    </row>
    <row r="977" spans="1:41" x14ac:dyDescent="0.25">
      <c r="A977" s="2" t="s">
        <v>1281</v>
      </c>
      <c r="B977" s="1" t="b">
        <v>1</v>
      </c>
      <c r="G977" s="1" t="str">
        <f>IF(OR(LEFT(RIGHT(Master_Reference[[#This Row],[Model Number]],3),1)="C",LEFT(RIGHT(Master_Reference[[#This Row],[Model Number]],4),1)="C"),TRUE,"")</f>
        <v/>
      </c>
      <c r="H977" s="1" t="b">
        <f>IF(LEFT(Master_Reference[[#This Row],[Model Number]],1)="U",TRUE,"")</f>
        <v>1</v>
      </c>
      <c r="I977" s="1" t="str">
        <f>IF(Master_Reference[[#This Row],[Lamp Type]]="T4","",IF(Master_Reference[[#This Row],[Case Type]]="M","",TRUE))</f>
        <v/>
      </c>
      <c r="J977" s="1" t="s">
        <v>297</v>
      </c>
      <c r="K977" s="1">
        <v>54</v>
      </c>
      <c r="L977" s="1" t="s">
        <v>118</v>
      </c>
      <c r="M977" s="1">
        <v>1</v>
      </c>
      <c r="N977" s="1" t="s">
        <v>149</v>
      </c>
      <c r="O977" s="1" t="s">
        <v>632</v>
      </c>
      <c r="R977" t="b">
        <f>IF(COUNTBLANK(Master_Reference[[#This Row],[C-Flex 3000K Eco Part Number]:[C-Flex 4000K Eco Part Number]])=3,FALSE,TRUE)</f>
        <v>1</v>
      </c>
      <c r="S977" t="b">
        <f>IF(COUNTBLANK(Master_Reference[[#This Row],[C-Flex 3000K 3W Part Number]:[C-Flex 4000K 3W Part Number]])=3,FALSE,TRUE)</f>
        <v>0</v>
      </c>
      <c r="T977" t="b">
        <f>IF(COUNTBLANK(Master_Reference[[#This Row],[Lutron 3000K Eco Part Number]:[Lutron 4000K Eco Part Number]])=3,FALSE,TRUE)</f>
        <v>1</v>
      </c>
      <c r="U977" t="b">
        <f>IF(COUNTBLANK(Master_Reference[[#This Row],[Lutron 3000K 3W Part Number]:[Lutron 4000K 3W Part Number]])=3,FALSE,TRUE)</f>
        <v>0</v>
      </c>
      <c r="V977" s="12" t="s">
        <v>298</v>
      </c>
      <c r="W977" s="12" t="s">
        <v>299</v>
      </c>
      <c r="X977" s="12" t="s">
        <v>300</v>
      </c>
      <c r="Y977" t="s">
        <v>1733</v>
      </c>
      <c r="Z977" s="12"/>
      <c r="AA977" s="12"/>
      <c r="AB977" s="12"/>
      <c r="AC977" t="s">
        <v>2125</v>
      </c>
      <c r="AD977" t="str">
        <f>SUBSTITUTE(Master_Reference[[#This Row],[C-Flex 4000K Eco Part Number]],"40-","xx-")</f>
        <v>RP-T5HO-4FT-1L-8xx-E1-M-G2</v>
      </c>
      <c r="AE977" t="str">
        <f>SUBSTITUTE(Master_Reference[[#This Row],[C-Flex 4000K 3W Part Number]],"40-","xx-")</f>
        <v/>
      </c>
      <c r="AF977" s="1" t="str">
        <f>_xlfn.IFNA(VLOOKUP(Master_Reference[[#This Row],[C-Flex 3000K Eco Part Number]],Lutron_CFlex_Lookup[],MATCH("Lutron Kit PN",Lutron_CFlex_Lookup[#Headers],0),FALSE),"")</f>
        <v>ELD4T5H-1M30-q</v>
      </c>
      <c r="AG977" s="1" t="str">
        <f>_xlfn.IFNA(VLOOKUP(Master_Reference[[#This Row],[C-Flex 3500K Eco Part Number]],Lutron_CFlex_Lookup[],MATCH("Lutron Kit PN",Lutron_CFlex_Lookup[#Headers],0),FALSE),"")</f>
        <v>ELD4T5H-1M35-q</v>
      </c>
      <c r="AH977" s="1" t="str">
        <f>_xlfn.IFNA(VLOOKUP(Master_Reference[[#This Row],[C-Flex 4000K Eco Part Number]],Lutron_CFlex_Lookup[],MATCH("Lutron Kit PN",Lutron_CFlex_Lookup[#Headers],0),FALSE),"")</f>
        <v>ELD4T5H-1M40-q</v>
      </c>
      <c r="AI977" s="1" t="str">
        <f>_xlfn.IFNA(VLOOKUP(Master_Reference[[#This Row],[C-Flex 5000K Eco Part Number]],Lutron_CFlex_Lookup[],MATCH("Lutron Kit PN",Lutron_CFlex_Lookup[#Headers],0),FALSE),"")</f>
        <v>ELD4T5H-1M50-q</v>
      </c>
      <c r="AJ977" s="1" t="str">
        <f>_xlfn.IFNA(VLOOKUP(Master_Reference[[#This Row],[C-Flex 3000K 3W Part Number]],Lutron_CFlex_Lookup[],MATCH("Lutron Kit PN",Lutron_CFlex_Lookup[#Headers],0),FALSE),"")</f>
        <v/>
      </c>
      <c r="AK977" s="1" t="str">
        <f>_xlfn.IFNA(VLOOKUP(Master_Reference[[#This Row],[C-Flex 3500K 3W Part Number]],Lutron_CFlex_Lookup[],MATCH("Lutron Kit PN",Lutron_CFlex_Lookup[#Headers],0),FALSE),"")</f>
        <v/>
      </c>
      <c r="AL977" s="1" t="str">
        <f>_xlfn.IFNA(VLOOKUP(Master_Reference[[#This Row],[C-Flex 4000K 3W Part Number]],Lutron_CFlex_Lookup[],MATCH("Lutron Kit PN",Lutron_CFlex_Lookup[#Headers],0),FALSE),"")</f>
        <v/>
      </c>
      <c r="AM977" s="1" t="str">
        <f>_xlfn.IFNA(VLOOKUP(Master_Reference[[#This Row],[C-Flex 5000K 3W Part Number]],Lutron_CFlex_Lookup[],MATCH("Lutron Kit PN",Lutron_CFlex_Lookup[#Headers],0),FALSE),"")</f>
        <v/>
      </c>
      <c r="AN977" s="1" t="b">
        <f>NOT(ISNA(VLOOKUP(Master_Reference[[#This Row],[Model Number]],ObsoleteModels[],1,FALSE)))</f>
        <v>1</v>
      </c>
      <c r="AO977" s="1" t="str">
        <f>IF(LEFT(Master_Reference[[#This Row],[Model Number]],1)="U",LEFT(Master_Reference[[#This Row],[Model Number]],4),LEFT(Master_Reference[[#This Row],[Model Number]],3))</f>
        <v>UEHD</v>
      </c>
    </row>
    <row r="978" spans="1:41" x14ac:dyDescent="0.25">
      <c r="A978" s="2" t="s">
        <v>1282</v>
      </c>
      <c r="B978" s="1" t="b">
        <v>1</v>
      </c>
      <c r="G978" s="1" t="str">
        <f>IF(OR(LEFT(RIGHT(Master_Reference[[#This Row],[Model Number]],3),1)="C",LEFT(RIGHT(Master_Reference[[#This Row],[Model Number]],4),1)="C"),TRUE,"")</f>
        <v/>
      </c>
      <c r="H978" s="1" t="b">
        <f>IF(LEFT(Master_Reference[[#This Row],[Model Number]],1)="U",TRUE,"")</f>
        <v>1</v>
      </c>
      <c r="I978" s="1" t="str">
        <f>IF(Master_Reference[[#This Row],[Lamp Type]]="T4","",IF(Master_Reference[[#This Row],[Case Type]]="M","",TRUE))</f>
        <v/>
      </c>
      <c r="J978" s="1" t="s">
        <v>297</v>
      </c>
      <c r="K978" s="1">
        <v>54</v>
      </c>
      <c r="L978" s="1" t="s">
        <v>118</v>
      </c>
      <c r="M978" s="1">
        <v>2</v>
      </c>
      <c r="N978" s="1" t="s">
        <v>149</v>
      </c>
      <c r="O978" s="1" t="s">
        <v>632</v>
      </c>
      <c r="R978" t="b">
        <f>IF(COUNTBLANK(Master_Reference[[#This Row],[C-Flex 3000K Eco Part Number]:[C-Flex 4000K Eco Part Number]])=3,FALSE,TRUE)</f>
        <v>1</v>
      </c>
      <c r="S978" t="b">
        <f>IF(COUNTBLANK(Master_Reference[[#This Row],[C-Flex 3000K 3W Part Number]:[C-Flex 4000K 3W Part Number]])=3,FALSE,TRUE)</f>
        <v>0</v>
      </c>
      <c r="T978" t="b">
        <f>IF(COUNTBLANK(Master_Reference[[#This Row],[Lutron 3000K Eco Part Number]:[Lutron 4000K Eco Part Number]])=3,FALSE,TRUE)</f>
        <v>1</v>
      </c>
      <c r="U978" t="b">
        <f>IF(COUNTBLANK(Master_Reference[[#This Row],[Lutron 3000K 3W Part Number]:[Lutron 4000K 3W Part Number]])=3,FALSE,TRUE)</f>
        <v>0</v>
      </c>
      <c r="V978" s="12" t="s">
        <v>305</v>
      </c>
      <c r="W978" s="12" t="s">
        <v>306</v>
      </c>
      <c r="X978" s="12" t="s">
        <v>307</v>
      </c>
      <c r="Y978" t="s">
        <v>1734</v>
      </c>
      <c r="Z978" s="12"/>
      <c r="AA978" s="12"/>
      <c r="AB978" s="12"/>
      <c r="AC978" t="s">
        <v>2125</v>
      </c>
      <c r="AD978" t="str">
        <f>SUBSTITUTE(Master_Reference[[#This Row],[C-Flex 4000K Eco Part Number]],"40-","xx-")</f>
        <v>RP-T5HO-4FT-2L-8xx-E1-M-G2</v>
      </c>
      <c r="AE978" t="str">
        <f>SUBSTITUTE(Master_Reference[[#This Row],[C-Flex 4000K 3W Part Number]],"40-","xx-")</f>
        <v/>
      </c>
      <c r="AF978" s="1" t="str">
        <f>_xlfn.IFNA(VLOOKUP(Master_Reference[[#This Row],[C-Flex 3000K Eco Part Number]],Lutron_CFlex_Lookup[],MATCH("Lutron Kit PN",Lutron_CFlex_Lookup[#Headers],0),FALSE),"")</f>
        <v>ELD4T5H-2M30-q</v>
      </c>
      <c r="AG978" s="1" t="str">
        <f>_xlfn.IFNA(VLOOKUP(Master_Reference[[#This Row],[C-Flex 3500K Eco Part Number]],Lutron_CFlex_Lookup[],MATCH("Lutron Kit PN",Lutron_CFlex_Lookup[#Headers],0),FALSE),"")</f>
        <v>ELD4T5H-2M35-q</v>
      </c>
      <c r="AH978" s="1" t="str">
        <f>_xlfn.IFNA(VLOOKUP(Master_Reference[[#This Row],[C-Flex 4000K Eco Part Number]],Lutron_CFlex_Lookup[],MATCH("Lutron Kit PN",Lutron_CFlex_Lookup[#Headers],0),FALSE),"")</f>
        <v>ELD4T5H-2M40-q</v>
      </c>
      <c r="AI978" s="1" t="str">
        <f>_xlfn.IFNA(VLOOKUP(Master_Reference[[#This Row],[C-Flex 5000K Eco Part Number]],Lutron_CFlex_Lookup[],MATCH("Lutron Kit PN",Lutron_CFlex_Lookup[#Headers],0),FALSE),"")</f>
        <v>ELD4T5H-2M50-q</v>
      </c>
      <c r="AJ978" s="1" t="str">
        <f>_xlfn.IFNA(VLOOKUP(Master_Reference[[#This Row],[C-Flex 3000K 3W Part Number]],Lutron_CFlex_Lookup[],MATCH("Lutron Kit PN",Lutron_CFlex_Lookup[#Headers],0),FALSE),"")</f>
        <v/>
      </c>
      <c r="AK978" s="1" t="str">
        <f>_xlfn.IFNA(VLOOKUP(Master_Reference[[#This Row],[C-Flex 3500K 3W Part Number]],Lutron_CFlex_Lookup[],MATCH("Lutron Kit PN",Lutron_CFlex_Lookup[#Headers],0),FALSE),"")</f>
        <v/>
      </c>
      <c r="AL978" s="1" t="str">
        <f>_xlfn.IFNA(VLOOKUP(Master_Reference[[#This Row],[C-Flex 4000K 3W Part Number]],Lutron_CFlex_Lookup[],MATCH("Lutron Kit PN",Lutron_CFlex_Lookup[#Headers],0),FALSE),"")</f>
        <v/>
      </c>
      <c r="AM978" s="1" t="str">
        <f>_xlfn.IFNA(VLOOKUP(Master_Reference[[#This Row],[C-Flex 5000K 3W Part Number]],Lutron_CFlex_Lookup[],MATCH("Lutron Kit PN",Lutron_CFlex_Lookup[#Headers],0),FALSE),"")</f>
        <v/>
      </c>
      <c r="AN978" s="1" t="b">
        <f>NOT(ISNA(VLOOKUP(Master_Reference[[#This Row],[Model Number]],ObsoleteModels[],1,FALSE)))</f>
        <v>1</v>
      </c>
      <c r="AO978" s="1" t="str">
        <f>IF(LEFT(Master_Reference[[#This Row],[Model Number]],1)="U",LEFT(Master_Reference[[#This Row],[Model Number]],4),LEFT(Master_Reference[[#This Row],[Model Number]],3))</f>
        <v>UEHD</v>
      </c>
    </row>
    <row r="979" spans="1:41" x14ac:dyDescent="0.25">
      <c r="A979" s="2" t="s">
        <v>1283</v>
      </c>
      <c r="B979" s="1" t="b">
        <v>1</v>
      </c>
      <c r="G979" s="1" t="str">
        <f>IF(OR(LEFT(RIGHT(Master_Reference[[#This Row],[Model Number]],3),1)="C",LEFT(RIGHT(Master_Reference[[#This Row],[Model Number]],4),1)="C"),TRUE,"")</f>
        <v/>
      </c>
      <c r="H979" s="1" t="b">
        <f>IF(LEFT(Master_Reference[[#This Row],[Model Number]],1)="U",TRUE,"")</f>
        <v>1</v>
      </c>
      <c r="I979" s="1" t="str">
        <f>IF(Master_Reference[[#This Row],[Lamp Type]]="T4","",IF(Master_Reference[[#This Row],[Case Type]]="M","",TRUE))</f>
        <v/>
      </c>
      <c r="J979" s="4" t="s">
        <v>111</v>
      </c>
      <c r="K979" s="1">
        <v>25</v>
      </c>
      <c r="L979" s="1" t="s">
        <v>115</v>
      </c>
      <c r="M979" s="1">
        <v>2</v>
      </c>
      <c r="N979" s="1" t="s">
        <v>149</v>
      </c>
      <c r="O979" s="1" t="s">
        <v>632</v>
      </c>
      <c r="R979" t="b">
        <f>IF(COUNTBLANK(Master_Reference[[#This Row],[C-Flex 3000K Eco Part Number]:[C-Flex 4000K Eco Part Number]])=3,FALSE,TRUE)</f>
        <v>1</v>
      </c>
      <c r="S979" t="b">
        <f>IF(COUNTBLANK(Master_Reference[[#This Row],[C-Flex 3000K 3W Part Number]:[C-Flex 4000K 3W Part Number]])=3,FALSE,TRUE)</f>
        <v>0</v>
      </c>
      <c r="T979" t="b">
        <f>IF(COUNTBLANK(Master_Reference[[#This Row],[Lutron 3000K Eco Part Number]:[Lutron 4000K Eco Part Number]])=3,FALSE,TRUE)</f>
        <v>1</v>
      </c>
      <c r="U979" t="b">
        <f>IF(COUNTBLANK(Master_Reference[[#This Row],[Lutron 3000K 3W Part Number]:[Lutron 4000K 3W Part Number]])=3,FALSE,TRUE)</f>
        <v>0</v>
      </c>
      <c r="V979" s="12" t="s">
        <v>482</v>
      </c>
      <c r="W979" s="12" t="s">
        <v>483</v>
      </c>
      <c r="X979" s="12" t="s">
        <v>484</v>
      </c>
      <c r="Y979" t="s">
        <v>1739</v>
      </c>
      <c r="Z979" s="12"/>
      <c r="AA979" s="12"/>
      <c r="AB979" s="12"/>
      <c r="AD979" t="str">
        <f>SUBSTITUTE(Master_Reference[[#This Row],[C-Flex 4000K Eco Part Number]],"40-","xx-")</f>
        <v>RP-T8-3FT-2L-8xx-E1-M-G2</v>
      </c>
      <c r="AE979" t="str">
        <f>SUBSTITUTE(Master_Reference[[#This Row],[C-Flex 4000K 3W Part Number]],"40-","xx-")</f>
        <v/>
      </c>
      <c r="AF979" s="1" t="str">
        <f>_xlfn.IFNA(VLOOKUP(Master_Reference[[#This Row],[C-Flex 3000K Eco Part Number]],Lutron_CFlex_Lookup[],MATCH("Lutron Kit PN",Lutron_CFlex_Lookup[#Headers],0),FALSE),"")</f>
        <v>ELD3T8-2M30-q</v>
      </c>
      <c r="AG979" s="1" t="str">
        <f>_xlfn.IFNA(VLOOKUP(Master_Reference[[#This Row],[C-Flex 3500K Eco Part Number]],Lutron_CFlex_Lookup[],MATCH("Lutron Kit PN",Lutron_CFlex_Lookup[#Headers],0),FALSE),"")</f>
        <v>ELD3T8-2M35-q</v>
      </c>
      <c r="AH979" s="1" t="str">
        <f>_xlfn.IFNA(VLOOKUP(Master_Reference[[#This Row],[C-Flex 4000K Eco Part Number]],Lutron_CFlex_Lookup[],MATCH("Lutron Kit PN",Lutron_CFlex_Lookup[#Headers],0),FALSE),"")</f>
        <v>ELD3T8-2M40-q</v>
      </c>
      <c r="AI979" s="1" t="str">
        <f>_xlfn.IFNA(VLOOKUP(Master_Reference[[#This Row],[C-Flex 5000K Eco Part Number]],Lutron_CFlex_Lookup[],MATCH("Lutron Kit PN",Lutron_CFlex_Lookup[#Headers],0),FALSE),"")</f>
        <v>ELD3T8-2M50-q</v>
      </c>
      <c r="AJ979" s="1" t="str">
        <f>_xlfn.IFNA(VLOOKUP(Master_Reference[[#This Row],[C-Flex 3000K 3W Part Number]],Lutron_CFlex_Lookup[],MATCH("Lutron Kit PN",Lutron_CFlex_Lookup[#Headers],0),FALSE),"")</f>
        <v/>
      </c>
      <c r="AK979" s="1" t="str">
        <f>_xlfn.IFNA(VLOOKUP(Master_Reference[[#This Row],[C-Flex 3500K 3W Part Number]],Lutron_CFlex_Lookup[],MATCH("Lutron Kit PN",Lutron_CFlex_Lookup[#Headers],0),FALSE),"")</f>
        <v/>
      </c>
      <c r="AL979" s="1" t="str">
        <f>_xlfn.IFNA(VLOOKUP(Master_Reference[[#This Row],[C-Flex 4000K 3W Part Number]],Lutron_CFlex_Lookup[],MATCH("Lutron Kit PN",Lutron_CFlex_Lookup[#Headers],0),FALSE),"")</f>
        <v/>
      </c>
      <c r="AM979" s="1" t="str">
        <f>_xlfn.IFNA(VLOOKUP(Master_Reference[[#This Row],[C-Flex 5000K 3W Part Number]],Lutron_CFlex_Lookup[],MATCH("Lutron Kit PN",Lutron_CFlex_Lookup[#Headers],0),FALSE),"")</f>
        <v/>
      </c>
      <c r="AN979" s="1" t="b">
        <f>NOT(ISNA(VLOOKUP(Master_Reference[[#This Row],[Model Number]],ObsoleteModels[],1,FALSE)))</f>
        <v>1</v>
      </c>
      <c r="AO979" s="1" t="str">
        <f>IF(LEFT(Master_Reference[[#This Row],[Model Number]],1)="U",LEFT(Master_Reference[[#This Row],[Model Number]],4),LEFT(Master_Reference[[#This Row],[Model Number]],3))</f>
        <v>UEHD</v>
      </c>
    </row>
    <row r="980" spans="1:41" x14ac:dyDescent="0.25">
      <c r="A980" s="2" t="s">
        <v>1284</v>
      </c>
      <c r="B980" s="1" t="b">
        <v>1</v>
      </c>
      <c r="G980" s="1" t="str">
        <f>IF(OR(LEFT(RIGHT(Master_Reference[[#This Row],[Model Number]],3),1)="C",LEFT(RIGHT(Master_Reference[[#This Row],[Model Number]],4),1)="C"),TRUE,"")</f>
        <v/>
      </c>
      <c r="H980" s="1" t="b">
        <f>IF(LEFT(Master_Reference[[#This Row],[Model Number]],1)="U",TRUE,"")</f>
        <v>1</v>
      </c>
      <c r="I980" s="1" t="b">
        <f>IF(Master_Reference[[#This Row],[Lamp Type]]="T4","",IF(Master_Reference[[#This Row],[Case Type]]="M","",TRUE))</f>
        <v>1</v>
      </c>
      <c r="J980" s="1" t="s">
        <v>111</v>
      </c>
      <c r="K980" s="1">
        <v>32</v>
      </c>
      <c r="L980" s="1" t="s">
        <v>118</v>
      </c>
      <c r="M980" s="1">
        <v>1</v>
      </c>
      <c r="N980" s="1" t="s">
        <v>149</v>
      </c>
      <c r="O980" s="1" t="s">
        <v>113</v>
      </c>
      <c r="R980" t="b">
        <f>IF(COUNTBLANK(Master_Reference[[#This Row],[C-Flex 3000K Eco Part Number]:[C-Flex 4000K Eco Part Number]])=3,FALSE,TRUE)</f>
        <v>1</v>
      </c>
      <c r="S980" t="b">
        <f>IF(COUNTBLANK(Master_Reference[[#This Row],[C-Flex 3000K 3W Part Number]:[C-Flex 4000K 3W Part Number]])=3,FALSE,TRUE)</f>
        <v>0</v>
      </c>
      <c r="T980" t="b">
        <f>IF(COUNTBLANK(Master_Reference[[#This Row],[Lutron 3000K Eco Part Number]:[Lutron 4000K Eco Part Number]])=3,FALSE,TRUE)</f>
        <v>1</v>
      </c>
      <c r="U980" t="b">
        <f>IF(COUNTBLANK(Master_Reference[[#This Row],[Lutron 3000K 3W Part Number]:[Lutron 4000K 3W Part Number]])=3,FALSE,TRUE)</f>
        <v>0</v>
      </c>
      <c r="V980" s="12" t="s">
        <v>312</v>
      </c>
      <c r="W980" s="12" t="s">
        <v>313</v>
      </c>
      <c r="X980" s="12" t="s">
        <v>314</v>
      </c>
      <c r="Y980" t="s">
        <v>1744</v>
      </c>
      <c r="Z980" s="12"/>
      <c r="AA980" s="12"/>
      <c r="AB980" s="12"/>
      <c r="AD980" t="str">
        <f>SUBSTITUTE(Master_Reference[[#This Row],[C-Flex 4000K Eco Part Number]],"40-","xx-")</f>
        <v>RP-T8-4FT-1L-8xx-E1-M-G2</v>
      </c>
      <c r="AE980" t="str">
        <f>SUBSTITUTE(Master_Reference[[#This Row],[C-Flex 4000K 3W Part Number]],"40-","xx-")</f>
        <v/>
      </c>
      <c r="AF980" s="1" t="str">
        <f>_xlfn.IFNA(VLOOKUP(Master_Reference[[#This Row],[C-Flex 3000K Eco Part Number]],Lutron_CFlex_Lookup[],MATCH("Lutron Kit PN",Lutron_CFlex_Lookup[#Headers],0),FALSE),"")</f>
        <v>ELD4T8-1M30-q</v>
      </c>
      <c r="AG980" s="1" t="str">
        <f>_xlfn.IFNA(VLOOKUP(Master_Reference[[#This Row],[C-Flex 3500K Eco Part Number]],Lutron_CFlex_Lookup[],MATCH("Lutron Kit PN",Lutron_CFlex_Lookup[#Headers],0),FALSE),"")</f>
        <v>ELD4T8-1M35-q</v>
      </c>
      <c r="AH980" s="1" t="str">
        <f>_xlfn.IFNA(VLOOKUP(Master_Reference[[#This Row],[C-Flex 4000K Eco Part Number]],Lutron_CFlex_Lookup[],MATCH("Lutron Kit PN",Lutron_CFlex_Lookup[#Headers],0),FALSE),"")</f>
        <v>ELD4T8-1M40-q</v>
      </c>
      <c r="AI980" s="1" t="str">
        <f>_xlfn.IFNA(VLOOKUP(Master_Reference[[#This Row],[C-Flex 5000K Eco Part Number]],Lutron_CFlex_Lookup[],MATCH("Lutron Kit PN",Lutron_CFlex_Lookup[#Headers],0),FALSE),"")</f>
        <v>ELD4T8-1M50-q</v>
      </c>
      <c r="AJ980" s="1" t="str">
        <f>_xlfn.IFNA(VLOOKUP(Master_Reference[[#This Row],[C-Flex 3000K 3W Part Number]],Lutron_CFlex_Lookup[],MATCH("Lutron Kit PN",Lutron_CFlex_Lookup[#Headers],0),FALSE),"")</f>
        <v/>
      </c>
      <c r="AK980" s="1" t="str">
        <f>_xlfn.IFNA(VLOOKUP(Master_Reference[[#This Row],[C-Flex 3500K 3W Part Number]],Lutron_CFlex_Lookup[],MATCH("Lutron Kit PN",Lutron_CFlex_Lookup[#Headers],0),FALSE),"")</f>
        <v/>
      </c>
      <c r="AL980" s="1" t="str">
        <f>_xlfn.IFNA(VLOOKUP(Master_Reference[[#This Row],[C-Flex 4000K 3W Part Number]],Lutron_CFlex_Lookup[],MATCH("Lutron Kit PN",Lutron_CFlex_Lookup[#Headers],0),FALSE),"")</f>
        <v/>
      </c>
      <c r="AM980" s="1" t="str">
        <f>_xlfn.IFNA(VLOOKUP(Master_Reference[[#This Row],[C-Flex 5000K 3W Part Number]],Lutron_CFlex_Lookup[],MATCH("Lutron Kit PN",Lutron_CFlex_Lookup[#Headers],0),FALSE),"")</f>
        <v/>
      </c>
      <c r="AN980" s="1" t="b">
        <f>NOT(ISNA(VLOOKUP(Master_Reference[[#This Row],[Model Number]],ObsoleteModels[],1,FALSE)))</f>
        <v>1</v>
      </c>
      <c r="AO980" s="1" t="str">
        <f>IF(LEFT(Master_Reference[[#This Row],[Model Number]],1)="U",LEFT(Master_Reference[[#This Row],[Model Number]],4),LEFT(Master_Reference[[#This Row],[Model Number]],3))</f>
        <v>UEHD</v>
      </c>
    </row>
    <row r="981" spans="1:41" x14ac:dyDescent="0.25">
      <c r="A981" s="2" t="s">
        <v>1285</v>
      </c>
      <c r="B981" s="1" t="b">
        <v>1</v>
      </c>
      <c r="G981" s="1" t="str">
        <f>IF(OR(LEFT(RIGHT(Master_Reference[[#This Row],[Model Number]],3),1)="C",LEFT(RIGHT(Master_Reference[[#This Row],[Model Number]],4),1)="C"),TRUE,"")</f>
        <v/>
      </c>
      <c r="H981" s="1" t="b">
        <f>IF(LEFT(Master_Reference[[#This Row],[Model Number]],1)="U",TRUE,"")</f>
        <v>1</v>
      </c>
      <c r="I981" s="1" t="b">
        <f>IF(Master_Reference[[#This Row],[Lamp Type]]="T4","",IF(Master_Reference[[#This Row],[Case Type]]="M","",TRUE))</f>
        <v>1</v>
      </c>
      <c r="J981" s="1" t="s">
        <v>111</v>
      </c>
      <c r="K981" s="1">
        <v>32</v>
      </c>
      <c r="L981" s="1" t="s">
        <v>118</v>
      </c>
      <c r="M981" s="1">
        <v>2</v>
      </c>
      <c r="N981" s="1" t="s">
        <v>149</v>
      </c>
      <c r="O981" s="1" t="s">
        <v>113</v>
      </c>
      <c r="R981" t="b">
        <f>IF(COUNTBLANK(Master_Reference[[#This Row],[C-Flex 3000K Eco Part Number]:[C-Flex 4000K Eco Part Number]])=3,FALSE,TRUE)</f>
        <v>1</v>
      </c>
      <c r="S981" t="b">
        <f>IF(COUNTBLANK(Master_Reference[[#This Row],[C-Flex 3000K 3W Part Number]:[C-Flex 4000K 3W Part Number]])=3,FALSE,TRUE)</f>
        <v>0</v>
      </c>
      <c r="T981" t="b">
        <f>IF(COUNTBLANK(Master_Reference[[#This Row],[Lutron 3000K Eco Part Number]:[Lutron 4000K Eco Part Number]])=3,FALSE,TRUE)</f>
        <v>1</v>
      </c>
      <c r="U981" t="b">
        <f>IF(COUNTBLANK(Master_Reference[[#This Row],[Lutron 3000K 3W Part Number]:[Lutron 4000K 3W Part Number]])=3,FALSE,TRUE)</f>
        <v>0</v>
      </c>
      <c r="V981" s="12" t="s">
        <v>316</v>
      </c>
      <c r="W981" s="12" t="s">
        <v>317</v>
      </c>
      <c r="X981" s="12" t="s">
        <v>318</v>
      </c>
      <c r="Y981" t="s">
        <v>1745</v>
      </c>
      <c r="Z981" s="12"/>
      <c r="AA981" s="12"/>
      <c r="AB981" s="12"/>
      <c r="AD981" t="str">
        <f>SUBSTITUTE(Master_Reference[[#This Row],[C-Flex 4000K Eco Part Number]],"40-","xx-")</f>
        <v>RP-T8-4FT-2L-8xx-E1-M-G2</v>
      </c>
      <c r="AE981" t="str">
        <f>SUBSTITUTE(Master_Reference[[#This Row],[C-Flex 4000K 3W Part Number]],"40-","xx-")</f>
        <v/>
      </c>
      <c r="AF981" s="1" t="str">
        <f>_xlfn.IFNA(VLOOKUP(Master_Reference[[#This Row],[C-Flex 3000K Eco Part Number]],Lutron_CFlex_Lookup[],MATCH("Lutron Kit PN",Lutron_CFlex_Lookup[#Headers],0),FALSE),"")</f>
        <v>ELD4T8-2M30-q</v>
      </c>
      <c r="AG981" s="1" t="str">
        <f>_xlfn.IFNA(VLOOKUP(Master_Reference[[#This Row],[C-Flex 3500K Eco Part Number]],Lutron_CFlex_Lookup[],MATCH("Lutron Kit PN",Lutron_CFlex_Lookup[#Headers],0),FALSE),"")</f>
        <v>ELD4T8-2M35-q</v>
      </c>
      <c r="AH981" s="1" t="str">
        <f>_xlfn.IFNA(VLOOKUP(Master_Reference[[#This Row],[C-Flex 4000K Eco Part Number]],Lutron_CFlex_Lookup[],MATCH("Lutron Kit PN",Lutron_CFlex_Lookup[#Headers],0),FALSE),"")</f>
        <v>ELD4T8-2M40-q</v>
      </c>
      <c r="AI981" s="1" t="str">
        <f>_xlfn.IFNA(VLOOKUP(Master_Reference[[#This Row],[C-Flex 5000K Eco Part Number]],Lutron_CFlex_Lookup[],MATCH("Lutron Kit PN",Lutron_CFlex_Lookup[#Headers],0),FALSE),"")</f>
        <v>ELD4T8-2M50-q</v>
      </c>
      <c r="AJ981" s="1" t="str">
        <f>_xlfn.IFNA(VLOOKUP(Master_Reference[[#This Row],[C-Flex 3000K 3W Part Number]],Lutron_CFlex_Lookup[],MATCH("Lutron Kit PN",Lutron_CFlex_Lookup[#Headers],0),FALSE),"")</f>
        <v/>
      </c>
      <c r="AK981" s="1" t="str">
        <f>_xlfn.IFNA(VLOOKUP(Master_Reference[[#This Row],[C-Flex 3500K 3W Part Number]],Lutron_CFlex_Lookup[],MATCH("Lutron Kit PN",Lutron_CFlex_Lookup[#Headers],0),FALSE),"")</f>
        <v/>
      </c>
      <c r="AL981" s="1" t="str">
        <f>_xlfn.IFNA(VLOOKUP(Master_Reference[[#This Row],[C-Flex 4000K 3W Part Number]],Lutron_CFlex_Lookup[],MATCH("Lutron Kit PN",Lutron_CFlex_Lookup[#Headers],0),FALSE),"")</f>
        <v/>
      </c>
      <c r="AM981" s="1" t="str">
        <f>_xlfn.IFNA(VLOOKUP(Master_Reference[[#This Row],[C-Flex 5000K 3W Part Number]],Lutron_CFlex_Lookup[],MATCH("Lutron Kit PN",Lutron_CFlex_Lookup[#Headers],0),FALSE),"")</f>
        <v/>
      </c>
      <c r="AN981" s="1" t="b">
        <f>NOT(ISNA(VLOOKUP(Master_Reference[[#This Row],[Model Number]],ObsoleteModels[],1,FALSE)))</f>
        <v>1</v>
      </c>
      <c r="AO981" s="1" t="str">
        <f>IF(LEFT(Master_Reference[[#This Row],[Model Number]],1)="U",LEFT(Master_Reference[[#This Row],[Model Number]],4),LEFT(Master_Reference[[#This Row],[Model Number]],3))</f>
        <v>UEHD</v>
      </c>
    </row>
    <row r="982" spans="1:41" x14ac:dyDescent="0.25">
      <c r="A982" s="2" t="s">
        <v>1286</v>
      </c>
      <c r="B982" s="1" t="b">
        <v>1</v>
      </c>
      <c r="G982" s="1" t="str">
        <f>IF(OR(LEFT(RIGHT(Master_Reference[[#This Row],[Model Number]],3),1)="C",LEFT(RIGHT(Master_Reference[[#This Row],[Model Number]],4),1)="C"),TRUE,"")</f>
        <v/>
      </c>
      <c r="H982" s="1" t="b">
        <f>IF(LEFT(Master_Reference[[#This Row],[Model Number]],1)="U",TRUE,"")</f>
        <v>1</v>
      </c>
      <c r="I982" s="1" t="b">
        <f>IF(Master_Reference[[#This Row],[Lamp Type]]="T4","",IF(Master_Reference[[#This Row],[Case Type]]="M","",TRUE))</f>
        <v>1</v>
      </c>
      <c r="J982" s="1" t="s">
        <v>111</v>
      </c>
      <c r="K982" s="1">
        <v>32</v>
      </c>
      <c r="L982" s="1" t="s">
        <v>118</v>
      </c>
      <c r="M982" s="1">
        <v>3</v>
      </c>
      <c r="N982" s="1" t="s">
        <v>149</v>
      </c>
      <c r="O982" s="1" t="s">
        <v>217</v>
      </c>
      <c r="R982" t="b">
        <f>IF(COUNTBLANK(Master_Reference[[#This Row],[C-Flex 3000K Eco Part Number]:[C-Flex 4000K Eco Part Number]])=3,FALSE,TRUE)</f>
        <v>1</v>
      </c>
      <c r="S982" t="b">
        <f>IF(COUNTBLANK(Master_Reference[[#This Row],[C-Flex 3000K 3W Part Number]:[C-Flex 4000K 3W Part Number]])=3,FALSE,TRUE)</f>
        <v>0</v>
      </c>
      <c r="T982" t="b">
        <f>IF(COUNTBLANK(Master_Reference[[#This Row],[Lutron 3000K Eco Part Number]:[Lutron 4000K Eco Part Number]])=3,FALSE,TRUE)</f>
        <v>1</v>
      </c>
      <c r="U982" t="b">
        <f>IF(COUNTBLANK(Master_Reference[[#This Row],[Lutron 3000K 3W Part Number]:[Lutron 4000K 3W Part Number]])=3,FALSE,TRUE)</f>
        <v>0</v>
      </c>
      <c r="V982" s="12" t="s">
        <v>495</v>
      </c>
      <c r="W982" s="12" t="s">
        <v>496</v>
      </c>
      <c r="X982" s="12" t="s">
        <v>497</v>
      </c>
      <c r="Y982" t="s">
        <v>1746</v>
      </c>
      <c r="Z982" s="12"/>
      <c r="AA982" s="12"/>
      <c r="AB982" s="12"/>
      <c r="AD982" t="str">
        <f>SUBSTITUTE(Master_Reference[[#This Row],[C-Flex 4000K Eco Part Number]],"40-","xx-")</f>
        <v>RP-T8-4FT-3L-8xx-E1-M-G2</v>
      </c>
      <c r="AE982" t="str">
        <f>SUBSTITUTE(Master_Reference[[#This Row],[C-Flex 4000K 3W Part Number]],"40-","xx-")</f>
        <v/>
      </c>
      <c r="AF982" s="1" t="str">
        <f>_xlfn.IFNA(VLOOKUP(Master_Reference[[#This Row],[C-Flex 3000K Eco Part Number]],Lutron_CFlex_Lookup[],MATCH("Lutron Kit PN",Lutron_CFlex_Lookup[#Headers],0),FALSE),"")</f>
        <v>ELD4T8-3M30-q</v>
      </c>
      <c r="AG982" s="1" t="str">
        <f>_xlfn.IFNA(VLOOKUP(Master_Reference[[#This Row],[C-Flex 3500K Eco Part Number]],Lutron_CFlex_Lookup[],MATCH("Lutron Kit PN",Lutron_CFlex_Lookup[#Headers],0),FALSE),"")</f>
        <v>ELD4T8-3M35-q</v>
      </c>
      <c r="AH982" s="1" t="str">
        <f>_xlfn.IFNA(VLOOKUP(Master_Reference[[#This Row],[C-Flex 4000K Eco Part Number]],Lutron_CFlex_Lookup[],MATCH("Lutron Kit PN",Lutron_CFlex_Lookup[#Headers],0),FALSE),"")</f>
        <v>ELD4T8-3M40-q</v>
      </c>
      <c r="AI982" s="1" t="str">
        <f>_xlfn.IFNA(VLOOKUP(Master_Reference[[#This Row],[C-Flex 5000K Eco Part Number]],Lutron_CFlex_Lookup[],MATCH("Lutron Kit PN",Lutron_CFlex_Lookup[#Headers],0),FALSE),"")</f>
        <v>ELD4T8-3M50-q</v>
      </c>
      <c r="AJ982" s="1" t="str">
        <f>_xlfn.IFNA(VLOOKUP(Master_Reference[[#This Row],[C-Flex 3000K 3W Part Number]],Lutron_CFlex_Lookup[],MATCH("Lutron Kit PN",Lutron_CFlex_Lookup[#Headers],0),FALSE),"")</f>
        <v/>
      </c>
      <c r="AK982" s="1" t="str">
        <f>_xlfn.IFNA(VLOOKUP(Master_Reference[[#This Row],[C-Flex 3500K 3W Part Number]],Lutron_CFlex_Lookup[],MATCH("Lutron Kit PN",Lutron_CFlex_Lookup[#Headers],0),FALSE),"")</f>
        <v/>
      </c>
      <c r="AL982" s="1" t="str">
        <f>_xlfn.IFNA(VLOOKUP(Master_Reference[[#This Row],[C-Flex 4000K 3W Part Number]],Lutron_CFlex_Lookup[],MATCH("Lutron Kit PN",Lutron_CFlex_Lookup[#Headers],0),FALSE),"")</f>
        <v/>
      </c>
      <c r="AM982" s="1" t="str">
        <f>_xlfn.IFNA(VLOOKUP(Master_Reference[[#This Row],[C-Flex 5000K 3W Part Number]],Lutron_CFlex_Lookup[],MATCH("Lutron Kit PN",Lutron_CFlex_Lookup[#Headers],0),FALSE),"")</f>
        <v/>
      </c>
      <c r="AN982" s="1" t="b">
        <f>NOT(ISNA(VLOOKUP(Master_Reference[[#This Row],[Model Number]],ObsoleteModels[],1,FALSE)))</f>
        <v>1</v>
      </c>
      <c r="AO982" s="1" t="str">
        <f>IF(LEFT(Master_Reference[[#This Row],[Model Number]],1)="U",LEFT(Master_Reference[[#This Row],[Model Number]],4),LEFT(Master_Reference[[#This Row],[Model Number]],3))</f>
        <v>UEHD</v>
      </c>
    </row>
    <row r="983" spans="1:41" x14ac:dyDescent="0.25">
      <c r="A983" s="2" t="s">
        <v>1287</v>
      </c>
      <c r="B983" s="1" t="b">
        <v>1</v>
      </c>
      <c r="G983" s="1" t="b">
        <v>1</v>
      </c>
      <c r="H983" s="1" t="b">
        <f>IF(LEFT(Master_Reference[[#This Row],[Model Number]],1)="U",TRUE,"")</f>
        <v>1</v>
      </c>
      <c r="I983" s="1" t="b">
        <f>IF(Master_Reference[[#This Row],[Lamp Type]]="T4","",IF(Master_Reference[[#This Row],[Case Type]]="M","",TRUE))</f>
        <v>1</v>
      </c>
      <c r="J983" s="1" t="s">
        <v>111</v>
      </c>
      <c r="K983" s="1">
        <v>32</v>
      </c>
      <c r="L983" s="1" t="s">
        <v>118</v>
      </c>
      <c r="M983" s="1">
        <v>3</v>
      </c>
      <c r="N983" s="1" t="s">
        <v>149</v>
      </c>
      <c r="O983" s="1" t="s">
        <v>217</v>
      </c>
      <c r="R983" t="b">
        <f>IF(COUNTBLANK(Master_Reference[[#This Row],[C-Flex 3000K Eco Part Number]:[C-Flex 4000K Eco Part Number]])=3,FALSE,TRUE)</f>
        <v>1</v>
      </c>
      <c r="S983" t="b">
        <f>IF(COUNTBLANK(Master_Reference[[#This Row],[C-Flex 3000K 3W Part Number]:[C-Flex 4000K 3W Part Number]])=3,FALSE,TRUE)</f>
        <v>0</v>
      </c>
      <c r="T983" t="b">
        <f>IF(COUNTBLANK(Master_Reference[[#This Row],[Lutron 3000K Eco Part Number]:[Lutron 4000K Eco Part Number]])=3,FALSE,TRUE)</f>
        <v>1</v>
      </c>
      <c r="U983" t="b">
        <f>IF(COUNTBLANK(Master_Reference[[#This Row],[Lutron 3000K 3W Part Number]:[Lutron 4000K 3W Part Number]])=3,FALSE,TRUE)</f>
        <v>0</v>
      </c>
      <c r="V983" s="12" t="s">
        <v>495</v>
      </c>
      <c r="W983" s="12" t="s">
        <v>496</v>
      </c>
      <c r="X983" s="12" t="s">
        <v>497</v>
      </c>
      <c r="Y983" t="s">
        <v>1746</v>
      </c>
      <c r="Z983" s="12"/>
      <c r="AA983" s="12"/>
      <c r="AB983" s="12"/>
      <c r="AD983" t="str">
        <f>SUBSTITUTE(Master_Reference[[#This Row],[C-Flex 4000K Eco Part Number]],"40-","xx-")</f>
        <v>RP-T8-4FT-3L-8xx-E1-M-G2</v>
      </c>
      <c r="AE983" t="str">
        <f>SUBSTITUTE(Master_Reference[[#This Row],[C-Flex 4000K 3W Part Number]],"40-","xx-")</f>
        <v/>
      </c>
      <c r="AF983" s="1" t="str">
        <f>_xlfn.IFNA(VLOOKUP(Master_Reference[[#This Row],[C-Flex 3000K Eco Part Number]],Lutron_CFlex_Lookup[],MATCH("Lutron Kit PN",Lutron_CFlex_Lookup[#Headers],0),FALSE),"")</f>
        <v>ELD4T8-3M30-q</v>
      </c>
      <c r="AG983" s="1" t="str">
        <f>_xlfn.IFNA(VLOOKUP(Master_Reference[[#This Row],[C-Flex 3500K Eco Part Number]],Lutron_CFlex_Lookup[],MATCH("Lutron Kit PN",Lutron_CFlex_Lookup[#Headers],0),FALSE),"")</f>
        <v>ELD4T8-3M35-q</v>
      </c>
      <c r="AH983" s="1" t="str">
        <f>_xlfn.IFNA(VLOOKUP(Master_Reference[[#This Row],[C-Flex 4000K Eco Part Number]],Lutron_CFlex_Lookup[],MATCH("Lutron Kit PN",Lutron_CFlex_Lookup[#Headers],0),FALSE),"")</f>
        <v>ELD4T8-3M40-q</v>
      </c>
      <c r="AI983" s="1" t="str">
        <f>_xlfn.IFNA(VLOOKUP(Master_Reference[[#This Row],[C-Flex 5000K Eco Part Number]],Lutron_CFlex_Lookup[],MATCH("Lutron Kit PN",Lutron_CFlex_Lookup[#Headers],0),FALSE),"")</f>
        <v>ELD4T8-3M50-q</v>
      </c>
      <c r="AJ983" s="1" t="str">
        <f>_xlfn.IFNA(VLOOKUP(Master_Reference[[#This Row],[C-Flex 3000K 3W Part Number]],Lutron_CFlex_Lookup[],MATCH("Lutron Kit PN",Lutron_CFlex_Lookup[#Headers],0),FALSE),"")</f>
        <v/>
      </c>
      <c r="AK983" s="1" t="str">
        <f>_xlfn.IFNA(VLOOKUP(Master_Reference[[#This Row],[C-Flex 3500K 3W Part Number]],Lutron_CFlex_Lookup[],MATCH("Lutron Kit PN",Lutron_CFlex_Lookup[#Headers],0),FALSE),"")</f>
        <v/>
      </c>
      <c r="AL983" s="1" t="str">
        <f>_xlfn.IFNA(VLOOKUP(Master_Reference[[#This Row],[C-Flex 4000K 3W Part Number]],Lutron_CFlex_Lookup[],MATCH("Lutron Kit PN",Lutron_CFlex_Lookup[#Headers],0),FALSE),"")</f>
        <v/>
      </c>
      <c r="AM983" s="1" t="str">
        <f>_xlfn.IFNA(VLOOKUP(Master_Reference[[#This Row],[C-Flex 5000K 3W Part Number]],Lutron_CFlex_Lookup[],MATCH("Lutron Kit PN",Lutron_CFlex_Lookup[#Headers],0),FALSE),"")</f>
        <v/>
      </c>
      <c r="AN983" s="1" t="b">
        <f>NOT(ISNA(VLOOKUP(Master_Reference[[#This Row],[Model Number]],ObsoleteModels[],1,FALSE)))</f>
        <v>1</v>
      </c>
      <c r="AO983" s="1" t="str">
        <f>IF(LEFT(Master_Reference[[#This Row],[Model Number]],1)="U",LEFT(Master_Reference[[#This Row],[Model Number]],4),LEFT(Master_Reference[[#This Row],[Model Number]],3))</f>
        <v>UEHD</v>
      </c>
    </row>
    <row r="984" spans="1:41" x14ac:dyDescent="0.25">
      <c r="A984" s="2" t="s">
        <v>1288</v>
      </c>
      <c r="B984" s="1" t="b">
        <v>1</v>
      </c>
      <c r="G984" s="1" t="str">
        <f>IF(OR(LEFT(RIGHT(Master_Reference[[#This Row],[Model Number]],3),1)="C",LEFT(RIGHT(Master_Reference[[#This Row],[Model Number]],4),1)="C"),TRUE,"")</f>
        <v/>
      </c>
      <c r="H984" s="1" t="b">
        <f>IF(LEFT(Master_Reference[[#This Row],[Model Number]],1)="U",TRUE,"")</f>
        <v>1</v>
      </c>
      <c r="I984" s="1" t="str">
        <f>IF(Master_Reference[[#This Row],[Lamp Type]]="T4","",IF(Master_Reference[[#This Row],[Case Type]]="M","",TRUE))</f>
        <v/>
      </c>
      <c r="J984" s="1" t="s">
        <v>111</v>
      </c>
      <c r="K984" s="1">
        <v>32</v>
      </c>
      <c r="L984" s="1" t="s">
        <v>118</v>
      </c>
      <c r="M984" s="1">
        <v>1</v>
      </c>
      <c r="N984" s="1" t="s">
        <v>149</v>
      </c>
      <c r="O984" s="1" t="s">
        <v>632</v>
      </c>
      <c r="R984" t="b">
        <f>IF(COUNTBLANK(Master_Reference[[#This Row],[C-Flex 3000K Eco Part Number]:[C-Flex 4000K Eco Part Number]])=3,FALSE,TRUE)</f>
        <v>1</v>
      </c>
      <c r="S984" t="b">
        <f>IF(COUNTBLANK(Master_Reference[[#This Row],[C-Flex 3000K 3W Part Number]:[C-Flex 4000K 3W Part Number]])=3,FALSE,TRUE)</f>
        <v>0</v>
      </c>
      <c r="T984" t="b">
        <f>IF(COUNTBLANK(Master_Reference[[#This Row],[Lutron 3000K Eco Part Number]:[Lutron 4000K Eco Part Number]])=3,FALSE,TRUE)</f>
        <v>1</v>
      </c>
      <c r="U984" t="b">
        <f>IF(COUNTBLANK(Master_Reference[[#This Row],[Lutron 3000K 3W Part Number]:[Lutron 4000K 3W Part Number]])=3,FALSE,TRUE)</f>
        <v>0</v>
      </c>
      <c r="V984" s="12" t="s">
        <v>312</v>
      </c>
      <c r="W984" s="12" t="s">
        <v>313</v>
      </c>
      <c r="X984" s="12" t="s">
        <v>314</v>
      </c>
      <c r="Y984" t="s">
        <v>1744</v>
      </c>
      <c r="Z984" s="12"/>
      <c r="AA984" s="12"/>
      <c r="AB984" s="12"/>
      <c r="AD984" t="str">
        <f>SUBSTITUTE(Master_Reference[[#This Row],[C-Flex 4000K Eco Part Number]],"40-","xx-")</f>
        <v>RP-T8-4FT-1L-8xx-E1-M-G2</v>
      </c>
      <c r="AE984" t="str">
        <f>SUBSTITUTE(Master_Reference[[#This Row],[C-Flex 4000K 3W Part Number]],"40-","xx-")</f>
        <v/>
      </c>
      <c r="AF984" s="1" t="str">
        <f>_xlfn.IFNA(VLOOKUP(Master_Reference[[#This Row],[C-Flex 3000K Eco Part Number]],Lutron_CFlex_Lookup[],MATCH("Lutron Kit PN",Lutron_CFlex_Lookup[#Headers],0),FALSE),"")</f>
        <v>ELD4T8-1M30-q</v>
      </c>
      <c r="AG984" s="1" t="str">
        <f>_xlfn.IFNA(VLOOKUP(Master_Reference[[#This Row],[C-Flex 3500K Eco Part Number]],Lutron_CFlex_Lookup[],MATCH("Lutron Kit PN",Lutron_CFlex_Lookup[#Headers],0),FALSE),"")</f>
        <v>ELD4T8-1M35-q</v>
      </c>
      <c r="AH984" s="1" t="str">
        <f>_xlfn.IFNA(VLOOKUP(Master_Reference[[#This Row],[C-Flex 4000K Eco Part Number]],Lutron_CFlex_Lookup[],MATCH("Lutron Kit PN",Lutron_CFlex_Lookup[#Headers],0),FALSE),"")</f>
        <v>ELD4T8-1M40-q</v>
      </c>
      <c r="AI984" s="1" t="str">
        <f>_xlfn.IFNA(VLOOKUP(Master_Reference[[#This Row],[C-Flex 5000K Eco Part Number]],Lutron_CFlex_Lookup[],MATCH("Lutron Kit PN",Lutron_CFlex_Lookup[#Headers],0),FALSE),"")</f>
        <v>ELD4T8-1M50-q</v>
      </c>
      <c r="AJ984" s="1" t="str">
        <f>_xlfn.IFNA(VLOOKUP(Master_Reference[[#This Row],[C-Flex 3000K 3W Part Number]],Lutron_CFlex_Lookup[],MATCH("Lutron Kit PN",Lutron_CFlex_Lookup[#Headers],0),FALSE),"")</f>
        <v/>
      </c>
      <c r="AK984" s="1" t="str">
        <f>_xlfn.IFNA(VLOOKUP(Master_Reference[[#This Row],[C-Flex 3500K 3W Part Number]],Lutron_CFlex_Lookup[],MATCH("Lutron Kit PN",Lutron_CFlex_Lookup[#Headers],0),FALSE),"")</f>
        <v/>
      </c>
      <c r="AL984" s="1" t="str">
        <f>_xlfn.IFNA(VLOOKUP(Master_Reference[[#This Row],[C-Flex 4000K 3W Part Number]],Lutron_CFlex_Lookup[],MATCH("Lutron Kit PN",Lutron_CFlex_Lookup[#Headers],0),FALSE),"")</f>
        <v/>
      </c>
      <c r="AM984" s="1" t="str">
        <f>_xlfn.IFNA(VLOOKUP(Master_Reference[[#This Row],[C-Flex 5000K 3W Part Number]],Lutron_CFlex_Lookup[],MATCH("Lutron Kit PN",Lutron_CFlex_Lookup[#Headers],0),FALSE),"")</f>
        <v/>
      </c>
      <c r="AN984" s="1" t="b">
        <f>NOT(ISNA(VLOOKUP(Master_Reference[[#This Row],[Model Number]],ObsoleteModels[],1,FALSE)))</f>
        <v>1</v>
      </c>
      <c r="AO984" s="1" t="str">
        <f>IF(LEFT(Master_Reference[[#This Row],[Model Number]],1)="U",LEFT(Master_Reference[[#This Row],[Model Number]],4),LEFT(Master_Reference[[#This Row],[Model Number]],3))</f>
        <v>UEHD</v>
      </c>
    </row>
    <row r="985" spans="1:41" x14ac:dyDescent="0.25">
      <c r="A985" s="2" t="s">
        <v>1289</v>
      </c>
      <c r="B985" s="1" t="b">
        <v>1</v>
      </c>
      <c r="G985" s="1" t="b">
        <v>1</v>
      </c>
      <c r="H985" s="1" t="b">
        <f>IF(LEFT(Master_Reference[[#This Row],[Model Number]],1)="U",TRUE,"")</f>
        <v>1</v>
      </c>
      <c r="I985" s="1" t="str">
        <f>IF(Master_Reference[[#This Row],[Lamp Type]]="T4","",IF(Master_Reference[[#This Row],[Case Type]]="M","",TRUE))</f>
        <v/>
      </c>
      <c r="J985" s="1" t="s">
        <v>111</v>
      </c>
      <c r="K985" s="1">
        <v>32</v>
      </c>
      <c r="L985" s="1" t="s">
        <v>118</v>
      </c>
      <c r="M985" s="1">
        <v>1</v>
      </c>
      <c r="N985" s="1" t="s">
        <v>149</v>
      </c>
      <c r="O985" s="1" t="s">
        <v>632</v>
      </c>
      <c r="R985" t="b">
        <f>IF(COUNTBLANK(Master_Reference[[#This Row],[C-Flex 3000K Eco Part Number]:[C-Flex 4000K Eco Part Number]])=3,FALSE,TRUE)</f>
        <v>1</v>
      </c>
      <c r="S985" t="b">
        <f>IF(COUNTBLANK(Master_Reference[[#This Row],[C-Flex 3000K 3W Part Number]:[C-Flex 4000K 3W Part Number]])=3,FALSE,TRUE)</f>
        <v>0</v>
      </c>
      <c r="T985" t="b">
        <f>IF(COUNTBLANK(Master_Reference[[#This Row],[Lutron 3000K Eco Part Number]:[Lutron 4000K Eco Part Number]])=3,FALSE,TRUE)</f>
        <v>1</v>
      </c>
      <c r="U985" t="b">
        <f>IF(COUNTBLANK(Master_Reference[[#This Row],[Lutron 3000K 3W Part Number]:[Lutron 4000K 3W Part Number]])=3,FALSE,TRUE)</f>
        <v>0</v>
      </c>
      <c r="V985" s="12" t="s">
        <v>312</v>
      </c>
      <c r="W985" s="12" t="s">
        <v>313</v>
      </c>
      <c r="X985" s="12" t="s">
        <v>314</v>
      </c>
      <c r="Y985" t="s">
        <v>1744</v>
      </c>
      <c r="Z985" s="12"/>
      <c r="AA985" s="12"/>
      <c r="AB985" s="12"/>
      <c r="AD985" t="str">
        <f>SUBSTITUTE(Master_Reference[[#This Row],[C-Flex 4000K Eco Part Number]],"40-","xx-")</f>
        <v>RP-T8-4FT-1L-8xx-E1-M-G2</v>
      </c>
      <c r="AE985" t="str">
        <f>SUBSTITUTE(Master_Reference[[#This Row],[C-Flex 4000K 3W Part Number]],"40-","xx-")</f>
        <v/>
      </c>
      <c r="AF985" s="1" t="str">
        <f>_xlfn.IFNA(VLOOKUP(Master_Reference[[#This Row],[C-Flex 3000K Eco Part Number]],Lutron_CFlex_Lookup[],MATCH("Lutron Kit PN",Lutron_CFlex_Lookup[#Headers],0),FALSE),"")</f>
        <v>ELD4T8-1M30-q</v>
      </c>
      <c r="AG985" s="1" t="str">
        <f>_xlfn.IFNA(VLOOKUP(Master_Reference[[#This Row],[C-Flex 3500K Eco Part Number]],Lutron_CFlex_Lookup[],MATCH("Lutron Kit PN",Lutron_CFlex_Lookup[#Headers],0),FALSE),"")</f>
        <v>ELD4T8-1M35-q</v>
      </c>
      <c r="AH985" s="1" t="str">
        <f>_xlfn.IFNA(VLOOKUP(Master_Reference[[#This Row],[C-Flex 4000K Eco Part Number]],Lutron_CFlex_Lookup[],MATCH("Lutron Kit PN",Lutron_CFlex_Lookup[#Headers],0),FALSE),"")</f>
        <v>ELD4T8-1M40-q</v>
      </c>
      <c r="AI985" s="1" t="str">
        <f>_xlfn.IFNA(VLOOKUP(Master_Reference[[#This Row],[C-Flex 5000K Eco Part Number]],Lutron_CFlex_Lookup[],MATCH("Lutron Kit PN",Lutron_CFlex_Lookup[#Headers],0),FALSE),"")</f>
        <v>ELD4T8-1M50-q</v>
      </c>
      <c r="AJ985" s="1" t="str">
        <f>_xlfn.IFNA(VLOOKUP(Master_Reference[[#This Row],[C-Flex 3000K 3W Part Number]],Lutron_CFlex_Lookup[],MATCH("Lutron Kit PN",Lutron_CFlex_Lookup[#Headers],0),FALSE),"")</f>
        <v/>
      </c>
      <c r="AK985" s="1" t="str">
        <f>_xlfn.IFNA(VLOOKUP(Master_Reference[[#This Row],[C-Flex 3500K 3W Part Number]],Lutron_CFlex_Lookup[],MATCH("Lutron Kit PN",Lutron_CFlex_Lookup[#Headers],0),FALSE),"")</f>
        <v/>
      </c>
      <c r="AL985" s="1" t="str">
        <f>_xlfn.IFNA(VLOOKUP(Master_Reference[[#This Row],[C-Flex 4000K 3W Part Number]],Lutron_CFlex_Lookup[],MATCH("Lutron Kit PN",Lutron_CFlex_Lookup[#Headers],0),FALSE),"")</f>
        <v/>
      </c>
      <c r="AM985" s="1" t="str">
        <f>_xlfn.IFNA(VLOOKUP(Master_Reference[[#This Row],[C-Flex 5000K 3W Part Number]],Lutron_CFlex_Lookup[],MATCH("Lutron Kit PN",Lutron_CFlex_Lookup[#Headers],0),FALSE),"")</f>
        <v/>
      </c>
      <c r="AN985" s="1" t="b">
        <f>NOT(ISNA(VLOOKUP(Master_Reference[[#This Row],[Model Number]],ObsoleteModels[],1,FALSE)))</f>
        <v>1</v>
      </c>
      <c r="AO985" s="1" t="str">
        <f>IF(LEFT(Master_Reference[[#This Row],[Model Number]],1)="U",LEFT(Master_Reference[[#This Row],[Model Number]],4),LEFT(Master_Reference[[#This Row],[Model Number]],3))</f>
        <v>UEHD</v>
      </c>
    </row>
    <row r="986" spans="1:41" x14ac:dyDescent="0.25">
      <c r="A986" s="2" t="s">
        <v>1290</v>
      </c>
      <c r="B986" s="1" t="b">
        <v>1</v>
      </c>
      <c r="G986" s="1" t="str">
        <f>IF(OR(LEFT(RIGHT(Master_Reference[[#This Row],[Model Number]],3),1)="C",LEFT(RIGHT(Master_Reference[[#This Row],[Model Number]],4),1)="C"),TRUE,"")</f>
        <v/>
      </c>
      <c r="H986" s="1" t="b">
        <f>IF(LEFT(Master_Reference[[#This Row],[Model Number]],1)="U",TRUE,"")</f>
        <v>1</v>
      </c>
      <c r="I986" s="1" t="str">
        <f>IF(Master_Reference[[#This Row],[Lamp Type]]="T4","",IF(Master_Reference[[#This Row],[Case Type]]="M","",TRUE))</f>
        <v/>
      </c>
      <c r="J986" s="1" t="s">
        <v>111</v>
      </c>
      <c r="K986" s="1">
        <v>32</v>
      </c>
      <c r="L986" s="1" t="s">
        <v>118</v>
      </c>
      <c r="M986" s="1">
        <v>2</v>
      </c>
      <c r="N986" s="1" t="s">
        <v>149</v>
      </c>
      <c r="O986" s="1" t="s">
        <v>632</v>
      </c>
      <c r="R986" t="b">
        <f>IF(COUNTBLANK(Master_Reference[[#This Row],[C-Flex 3000K Eco Part Number]:[C-Flex 4000K Eco Part Number]])=3,FALSE,TRUE)</f>
        <v>1</v>
      </c>
      <c r="S986" t="b">
        <f>IF(COUNTBLANK(Master_Reference[[#This Row],[C-Flex 3000K 3W Part Number]:[C-Flex 4000K 3W Part Number]])=3,FALSE,TRUE)</f>
        <v>0</v>
      </c>
      <c r="T986" t="b">
        <f>IF(COUNTBLANK(Master_Reference[[#This Row],[Lutron 3000K Eco Part Number]:[Lutron 4000K Eco Part Number]])=3,FALSE,TRUE)</f>
        <v>1</v>
      </c>
      <c r="U986" t="b">
        <f>IF(COUNTBLANK(Master_Reference[[#This Row],[Lutron 3000K 3W Part Number]:[Lutron 4000K 3W Part Number]])=3,FALSE,TRUE)</f>
        <v>0</v>
      </c>
      <c r="V986" s="12" t="s">
        <v>316</v>
      </c>
      <c r="W986" s="12" t="s">
        <v>317</v>
      </c>
      <c r="X986" s="12" t="s">
        <v>318</v>
      </c>
      <c r="Y986" t="s">
        <v>1745</v>
      </c>
      <c r="Z986" s="12"/>
      <c r="AA986" s="12"/>
      <c r="AB986" s="12"/>
      <c r="AD986" t="str">
        <f>SUBSTITUTE(Master_Reference[[#This Row],[C-Flex 4000K Eco Part Number]],"40-","xx-")</f>
        <v>RP-T8-4FT-2L-8xx-E1-M-G2</v>
      </c>
      <c r="AE986" t="str">
        <f>SUBSTITUTE(Master_Reference[[#This Row],[C-Flex 4000K 3W Part Number]],"40-","xx-")</f>
        <v/>
      </c>
      <c r="AF986" s="1" t="str">
        <f>_xlfn.IFNA(VLOOKUP(Master_Reference[[#This Row],[C-Flex 3000K Eco Part Number]],Lutron_CFlex_Lookup[],MATCH("Lutron Kit PN",Lutron_CFlex_Lookup[#Headers],0),FALSE),"")</f>
        <v>ELD4T8-2M30-q</v>
      </c>
      <c r="AG986" s="1" t="str">
        <f>_xlfn.IFNA(VLOOKUP(Master_Reference[[#This Row],[C-Flex 3500K Eco Part Number]],Lutron_CFlex_Lookup[],MATCH("Lutron Kit PN",Lutron_CFlex_Lookup[#Headers],0),FALSE),"")</f>
        <v>ELD4T8-2M35-q</v>
      </c>
      <c r="AH986" s="1" t="str">
        <f>_xlfn.IFNA(VLOOKUP(Master_Reference[[#This Row],[C-Flex 4000K Eco Part Number]],Lutron_CFlex_Lookup[],MATCH("Lutron Kit PN",Lutron_CFlex_Lookup[#Headers],0),FALSE),"")</f>
        <v>ELD4T8-2M40-q</v>
      </c>
      <c r="AI986" s="1" t="str">
        <f>_xlfn.IFNA(VLOOKUP(Master_Reference[[#This Row],[C-Flex 5000K Eco Part Number]],Lutron_CFlex_Lookup[],MATCH("Lutron Kit PN",Lutron_CFlex_Lookup[#Headers],0),FALSE),"")</f>
        <v>ELD4T8-2M50-q</v>
      </c>
      <c r="AJ986" s="1" t="str">
        <f>_xlfn.IFNA(VLOOKUP(Master_Reference[[#This Row],[C-Flex 3000K 3W Part Number]],Lutron_CFlex_Lookup[],MATCH("Lutron Kit PN",Lutron_CFlex_Lookup[#Headers],0),FALSE),"")</f>
        <v/>
      </c>
      <c r="AK986" s="1" t="str">
        <f>_xlfn.IFNA(VLOOKUP(Master_Reference[[#This Row],[C-Flex 3500K 3W Part Number]],Lutron_CFlex_Lookup[],MATCH("Lutron Kit PN",Lutron_CFlex_Lookup[#Headers],0),FALSE),"")</f>
        <v/>
      </c>
      <c r="AL986" s="1" t="str">
        <f>_xlfn.IFNA(VLOOKUP(Master_Reference[[#This Row],[C-Flex 4000K 3W Part Number]],Lutron_CFlex_Lookup[],MATCH("Lutron Kit PN",Lutron_CFlex_Lookup[#Headers],0),FALSE),"")</f>
        <v/>
      </c>
      <c r="AM986" s="1" t="str">
        <f>_xlfn.IFNA(VLOOKUP(Master_Reference[[#This Row],[C-Flex 5000K 3W Part Number]],Lutron_CFlex_Lookup[],MATCH("Lutron Kit PN",Lutron_CFlex_Lookup[#Headers],0),FALSE),"")</f>
        <v/>
      </c>
      <c r="AN986" s="1" t="b">
        <f>NOT(ISNA(VLOOKUP(Master_Reference[[#This Row],[Model Number]],ObsoleteModels[],1,FALSE)))</f>
        <v>1</v>
      </c>
      <c r="AO986" s="1" t="str">
        <f>IF(LEFT(Master_Reference[[#This Row],[Model Number]],1)="U",LEFT(Master_Reference[[#This Row],[Model Number]],4),LEFT(Master_Reference[[#This Row],[Model Number]],3))</f>
        <v>UEHD</v>
      </c>
    </row>
    <row r="987" spans="1:41" x14ac:dyDescent="0.25">
      <c r="A987" s="2" t="s">
        <v>1291</v>
      </c>
      <c r="B987" s="1" t="b">
        <v>1</v>
      </c>
      <c r="G987" s="1" t="b">
        <v>1</v>
      </c>
      <c r="H987" s="1" t="b">
        <f>IF(LEFT(Master_Reference[[#This Row],[Model Number]],1)="U",TRUE,"")</f>
        <v>1</v>
      </c>
      <c r="I987" s="1" t="str">
        <f>IF(Master_Reference[[#This Row],[Lamp Type]]="T4","",IF(Master_Reference[[#This Row],[Case Type]]="M","",TRUE))</f>
        <v/>
      </c>
      <c r="J987" s="1" t="s">
        <v>111</v>
      </c>
      <c r="K987" s="1">
        <v>32</v>
      </c>
      <c r="L987" s="1" t="s">
        <v>118</v>
      </c>
      <c r="M987" s="1">
        <v>2</v>
      </c>
      <c r="N987" s="1" t="s">
        <v>149</v>
      </c>
      <c r="O987" s="1" t="s">
        <v>632</v>
      </c>
      <c r="R987" t="b">
        <f>IF(COUNTBLANK(Master_Reference[[#This Row],[C-Flex 3000K Eco Part Number]:[C-Flex 4000K Eco Part Number]])=3,FALSE,TRUE)</f>
        <v>1</v>
      </c>
      <c r="S987" t="b">
        <f>IF(COUNTBLANK(Master_Reference[[#This Row],[C-Flex 3000K 3W Part Number]:[C-Flex 4000K 3W Part Number]])=3,FALSE,TRUE)</f>
        <v>0</v>
      </c>
      <c r="T987" t="b">
        <f>IF(COUNTBLANK(Master_Reference[[#This Row],[Lutron 3000K Eco Part Number]:[Lutron 4000K Eco Part Number]])=3,FALSE,TRUE)</f>
        <v>1</v>
      </c>
      <c r="U987" t="b">
        <f>IF(COUNTBLANK(Master_Reference[[#This Row],[Lutron 3000K 3W Part Number]:[Lutron 4000K 3W Part Number]])=3,FALSE,TRUE)</f>
        <v>0</v>
      </c>
      <c r="V987" s="12" t="s">
        <v>316</v>
      </c>
      <c r="W987" s="12" t="s">
        <v>317</v>
      </c>
      <c r="X987" s="12" t="s">
        <v>318</v>
      </c>
      <c r="Y987" t="s">
        <v>1745</v>
      </c>
      <c r="Z987" s="12"/>
      <c r="AA987" s="12"/>
      <c r="AB987" s="12"/>
      <c r="AD987" t="str">
        <f>SUBSTITUTE(Master_Reference[[#This Row],[C-Flex 4000K Eco Part Number]],"40-","xx-")</f>
        <v>RP-T8-4FT-2L-8xx-E1-M-G2</v>
      </c>
      <c r="AE987" t="str">
        <f>SUBSTITUTE(Master_Reference[[#This Row],[C-Flex 4000K 3W Part Number]],"40-","xx-")</f>
        <v/>
      </c>
      <c r="AF987" s="1" t="str">
        <f>_xlfn.IFNA(VLOOKUP(Master_Reference[[#This Row],[C-Flex 3000K Eco Part Number]],Lutron_CFlex_Lookup[],MATCH("Lutron Kit PN",Lutron_CFlex_Lookup[#Headers],0),FALSE),"")</f>
        <v>ELD4T8-2M30-q</v>
      </c>
      <c r="AG987" s="1" t="str">
        <f>_xlfn.IFNA(VLOOKUP(Master_Reference[[#This Row],[C-Flex 3500K Eco Part Number]],Lutron_CFlex_Lookup[],MATCH("Lutron Kit PN",Lutron_CFlex_Lookup[#Headers],0),FALSE),"")</f>
        <v>ELD4T8-2M35-q</v>
      </c>
      <c r="AH987" s="1" t="str">
        <f>_xlfn.IFNA(VLOOKUP(Master_Reference[[#This Row],[C-Flex 4000K Eco Part Number]],Lutron_CFlex_Lookup[],MATCH("Lutron Kit PN",Lutron_CFlex_Lookup[#Headers],0),FALSE),"")</f>
        <v>ELD4T8-2M40-q</v>
      </c>
      <c r="AI987" s="1" t="str">
        <f>_xlfn.IFNA(VLOOKUP(Master_Reference[[#This Row],[C-Flex 5000K Eco Part Number]],Lutron_CFlex_Lookup[],MATCH("Lutron Kit PN",Lutron_CFlex_Lookup[#Headers],0),FALSE),"")</f>
        <v>ELD4T8-2M50-q</v>
      </c>
      <c r="AJ987" s="1" t="str">
        <f>_xlfn.IFNA(VLOOKUP(Master_Reference[[#This Row],[C-Flex 3000K 3W Part Number]],Lutron_CFlex_Lookup[],MATCH("Lutron Kit PN",Lutron_CFlex_Lookup[#Headers],0),FALSE),"")</f>
        <v/>
      </c>
      <c r="AK987" s="1" t="str">
        <f>_xlfn.IFNA(VLOOKUP(Master_Reference[[#This Row],[C-Flex 3500K 3W Part Number]],Lutron_CFlex_Lookup[],MATCH("Lutron Kit PN",Lutron_CFlex_Lookup[#Headers],0),FALSE),"")</f>
        <v/>
      </c>
      <c r="AL987" s="1" t="str">
        <f>_xlfn.IFNA(VLOOKUP(Master_Reference[[#This Row],[C-Flex 4000K 3W Part Number]],Lutron_CFlex_Lookup[],MATCH("Lutron Kit PN",Lutron_CFlex_Lookup[#Headers],0),FALSE),"")</f>
        <v/>
      </c>
      <c r="AM987" s="1" t="str">
        <f>_xlfn.IFNA(VLOOKUP(Master_Reference[[#This Row],[C-Flex 5000K 3W Part Number]],Lutron_CFlex_Lookup[],MATCH("Lutron Kit PN",Lutron_CFlex_Lookup[#Headers],0),FALSE),"")</f>
        <v/>
      </c>
      <c r="AN987" s="1" t="b">
        <f>NOT(ISNA(VLOOKUP(Master_Reference[[#This Row],[Model Number]],ObsoleteModels[],1,FALSE)))</f>
        <v>1</v>
      </c>
      <c r="AO987" s="1" t="str">
        <f>IF(LEFT(Master_Reference[[#This Row],[Model Number]],1)="U",LEFT(Master_Reference[[#This Row],[Model Number]],4),LEFT(Master_Reference[[#This Row],[Model Number]],3))</f>
        <v>UEHD</v>
      </c>
    </row>
    <row r="988" spans="1:41" x14ac:dyDescent="0.25">
      <c r="A988" s="2" t="s">
        <v>1292</v>
      </c>
      <c r="B988" s="1"/>
      <c r="C988" s="1" t="b">
        <v>1</v>
      </c>
      <c r="G988" s="1" t="str">
        <f>IF(OR(LEFT(RIGHT(Master_Reference[[#This Row],[Model Number]],3),1)="C",LEFT(RIGHT(Master_Reference[[#This Row],[Model Number]],4),1)="C"),TRUE,"")</f>
        <v/>
      </c>
      <c r="H988" s="1" t="b">
        <f>IF(LEFT(Master_Reference[[#This Row],[Model Number]],1)="U",TRUE,"")</f>
        <v>1</v>
      </c>
      <c r="I988" s="1" t="b">
        <f>IF(Master_Reference[[#This Row],[Lamp Type]]="T4","",IF(Master_Reference[[#This Row],[Case Type]]="M","",TRUE))</f>
        <v>1</v>
      </c>
      <c r="J988" s="1" t="s">
        <v>297</v>
      </c>
      <c r="K988" s="1">
        <v>54</v>
      </c>
      <c r="L988" s="1" t="s">
        <v>118</v>
      </c>
      <c r="M988" s="1">
        <v>2</v>
      </c>
      <c r="N988" s="1">
        <v>120</v>
      </c>
      <c r="O988" s="1" t="s">
        <v>113</v>
      </c>
      <c r="R988" t="b">
        <f>IF(COUNTBLANK(Master_Reference[[#This Row],[C-Flex 3000K Eco Part Number]:[C-Flex 4000K Eco Part Number]])=3,FALSE,TRUE)</f>
        <v>0</v>
      </c>
      <c r="S988" t="b">
        <f>IF(COUNTBLANK(Master_Reference[[#This Row],[C-Flex 3000K 3W Part Number]:[C-Flex 4000K 3W Part Number]])=3,FALSE,TRUE)</f>
        <v>1</v>
      </c>
      <c r="T988" t="b">
        <f>IF(COUNTBLANK(Master_Reference[[#This Row],[Lutron 3000K Eco Part Number]:[Lutron 4000K Eco Part Number]])=3,FALSE,TRUE)</f>
        <v>0</v>
      </c>
      <c r="U988" t="b">
        <f>IF(COUNTBLANK(Master_Reference[[#This Row],[Lutron 3000K 3W Part Number]:[Lutron 4000K 3W Part Number]])=3,FALSE,TRUE)</f>
        <v>1</v>
      </c>
      <c r="V988" s="12"/>
      <c r="W988" s="12"/>
      <c r="X988" s="12"/>
      <c r="Y988" t="s">
        <v>2125</v>
      </c>
      <c r="Z988" s="12" t="s">
        <v>308</v>
      </c>
      <c r="AA988" s="12" t="s">
        <v>309</v>
      </c>
      <c r="AB988" s="12" t="s">
        <v>310</v>
      </c>
      <c r="AC988" t="s">
        <v>1822</v>
      </c>
      <c r="AD988" t="str">
        <f>SUBSTITUTE(Master_Reference[[#This Row],[C-Flex 4000K Eco Part Number]],"40-","xx-")</f>
        <v/>
      </c>
      <c r="AE988" t="str">
        <f>SUBSTITUTE(Master_Reference[[#This Row],[C-Flex 4000K 3W Part Number]],"40-","xx-")</f>
        <v>RP-T5HO-4FT-2L-8xx-3W-M-G2</v>
      </c>
      <c r="AF988" s="1" t="str">
        <f>_xlfn.IFNA(VLOOKUP(Master_Reference[[#This Row],[C-Flex 3000K Eco Part Number]],Lutron_CFlex_Lookup[],MATCH("Lutron Kit PN",Lutron_CFlex_Lookup[#Headers],0),FALSE),"")</f>
        <v/>
      </c>
      <c r="AG988" s="1" t="str">
        <f>_xlfn.IFNA(VLOOKUP(Master_Reference[[#This Row],[C-Flex 3500K Eco Part Number]],Lutron_CFlex_Lookup[],MATCH("Lutron Kit PN",Lutron_CFlex_Lookup[#Headers],0),FALSE),"")</f>
        <v/>
      </c>
      <c r="AH988" s="1" t="str">
        <f>_xlfn.IFNA(VLOOKUP(Master_Reference[[#This Row],[C-Flex 4000K Eco Part Number]],Lutron_CFlex_Lookup[],MATCH("Lutron Kit PN",Lutron_CFlex_Lookup[#Headers],0),FALSE),"")</f>
        <v/>
      </c>
      <c r="AI988" s="1" t="str">
        <f>_xlfn.IFNA(VLOOKUP(Master_Reference[[#This Row],[C-Flex 5000K Eco Part Number]],Lutron_CFlex_Lookup[],MATCH("Lutron Kit PN",Lutron_CFlex_Lookup[#Headers],0),FALSE),"")</f>
        <v/>
      </c>
      <c r="AJ988" s="1" t="str">
        <f>_xlfn.IFNA(VLOOKUP(Master_Reference[[#This Row],[C-Flex 3000K 3W Part Number]],Lutron_CFlex_Lookup[],MATCH("Lutron Kit PN",Lutron_CFlex_Lookup[#Headers],0),FALSE),"")</f>
        <v>3LD4T5H-2M30-q</v>
      </c>
      <c r="AK988" s="1" t="str">
        <f>_xlfn.IFNA(VLOOKUP(Master_Reference[[#This Row],[C-Flex 3500K 3W Part Number]],Lutron_CFlex_Lookup[],MATCH("Lutron Kit PN",Lutron_CFlex_Lookup[#Headers],0),FALSE),"")</f>
        <v>3LD4T5H-2M35-q</v>
      </c>
      <c r="AL988" s="1" t="str">
        <f>_xlfn.IFNA(VLOOKUP(Master_Reference[[#This Row],[C-Flex 4000K 3W Part Number]],Lutron_CFlex_Lookup[],MATCH("Lutron Kit PN",Lutron_CFlex_Lookup[#Headers],0),FALSE),"")</f>
        <v>3LD4T5H-2M40-q</v>
      </c>
      <c r="AM988" s="1" t="str">
        <f>_xlfn.IFNA(VLOOKUP(Master_Reference[[#This Row],[C-Flex 5000K 3W Part Number]],Lutron_CFlex_Lookup[],MATCH("Lutron Kit PN",Lutron_CFlex_Lookup[#Headers],0),FALSE),"")</f>
        <v>3LD4T5H-2M50-q</v>
      </c>
      <c r="AN988" s="1" t="b">
        <f>NOT(ISNA(VLOOKUP(Master_Reference[[#This Row],[Model Number]],ObsoleteModels[],1,FALSE)))</f>
        <v>1</v>
      </c>
      <c r="AO988" s="1" t="str">
        <f>IF(LEFT(Master_Reference[[#This Row],[Model Number]],1)="U",LEFT(Master_Reference[[#This Row],[Model Number]],4),LEFT(Master_Reference[[#This Row],[Model Number]],3))</f>
        <v>UFDB</v>
      </c>
    </row>
    <row r="989" spans="1:41" x14ac:dyDescent="0.25">
      <c r="A989" s="2" t="s">
        <v>1293</v>
      </c>
      <c r="B989" s="1" t="b">
        <v>1</v>
      </c>
      <c r="C989" s="1" t="b">
        <v>1</v>
      </c>
      <c r="G989" s="1" t="str">
        <f>IF(OR(LEFT(RIGHT(Master_Reference[[#This Row],[Model Number]],3),1)="C",LEFT(RIGHT(Master_Reference[[#This Row],[Model Number]],4),1)="C"),TRUE,"")</f>
        <v/>
      </c>
      <c r="H989" s="1" t="b">
        <f>IF(LEFT(Master_Reference[[#This Row],[Model Number]],1)="U",TRUE,"")</f>
        <v>1</v>
      </c>
      <c r="I989" s="1" t="b">
        <f>IF(Master_Reference[[#This Row],[Lamp Type]]="T4","",IF(Master_Reference[[#This Row],[Case Type]]="M","",TRUE))</f>
        <v>1</v>
      </c>
      <c r="J989" s="1" t="s">
        <v>297</v>
      </c>
      <c r="K989" s="1">
        <v>24</v>
      </c>
      <c r="L989" s="1" t="s">
        <v>112</v>
      </c>
      <c r="M989" s="1">
        <v>2</v>
      </c>
      <c r="N989" s="1" t="s">
        <v>149</v>
      </c>
      <c r="O989" s="1" t="s">
        <v>113</v>
      </c>
      <c r="R989" t="b">
        <f>IF(COUNTBLANK(Master_Reference[[#This Row],[C-Flex 3000K Eco Part Number]:[C-Flex 4000K Eco Part Number]])=3,FALSE,TRUE)</f>
        <v>1</v>
      </c>
      <c r="S989" t="b">
        <f>IF(COUNTBLANK(Master_Reference[[#This Row],[C-Flex 3000K 3W Part Number]:[C-Flex 4000K 3W Part Number]])=3,FALSE,TRUE)</f>
        <v>1</v>
      </c>
      <c r="T989" t="b">
        <f>IF(COUNTBLANK(Master_Reference[[#This Row],[Lutron 3000K Eco Part Number]:[Lutron 4000K Eco Part Number]])=3,FALSE,TRUE)</f>
        <v>1</v>
      </c>
      <c r="U989" t="b">
        <f>IF(COUNTBLANK(Master_Reference[[#This Row],[Lutron 3000K 3W Part Number]:[Lutron 4000K 3W Part Number]])=3,FALSE,TRUE)</f>
        <v>1</v>
      </c>
      <c r="V989" s="12" t="s">
        <v>362</v>
      </c>
      <c r="W989" s="12" t="s">
        <v>363</v>
      </c>
      <c r="X989" s="12" t="s">
        <v>364</v>
      </c>
      <c r="Y989" t="s">
        <v>1722</v>
      </c>
      <c r="Z989" s="12" t="s">
        <v>365</v>
      </c>
      <c r="AA989" s="12" t="s">
        <v>366</v>
      </c>
      <c r="AB989" s="12" t="s">
        <v>367</v>
      </c>
      <c r="AC989" t="s">
        <v>1810</v>
      </c>
      <c r="AD989" t="str">
        <f>SUBSTITUTE(Master_Reference[[#This Row],[C-Flex 4000K Eco Part Number]],"40-","xx-")</f>
        <v>RP-T5HO-2FT-2L-8xx-E1-M-G2</v>
      </c>
      <c r="AE989" t="str">
        <f>SUBSTITUTE(Master_Reference[[#This Row],[C-Flex 4000K 3W Part Number]],"40-","xx-")</f>
        <v>RP-T5HO-2FT-2L-8xx-3W-M-G2</v>
      </c>
      <c r="AF989" s="1" t="str">
        <f>_xlfn.IFNA(VLOOKUP(Master_Reference[[#This Row],[C-Flex 3000K Eco Part Number]],Lutron_CFlex_Lookup[],MATCH("Lutron Kit PN",Lutron_CFlex_Lookup[#Headers],0),FALSE),"")</f>
        <v>ELD2T5H-2M30-q</v>
      </c>
      <c r="AG989" s="1" t="str">
        <f>_xlfn.IFNA(VLOOKUP(Master_Reference[[#This Row],[C-Flex 3500K Eco Part Number]],Lutron_CFlex_Lookup[],MATCH("Lutron Kit PN",Lutron_CFlex_Lookup[#Headers],0),FALSE),"")</f>
        <v>ELD2T5H-2M35-q</v>
      </c>
      <c r="AH989" s="1" t="str">
        <f>_xlfn.IFNA(VLOOKUP(Master_Reference[[#This Row],[C-Flex 4000K Eco Part Number]],Lutron_CFlex_Lookup[],MATCH("Lutron Kit PN",Lutron_CFlex_Lookup[#Headers],0),FALSE),"")</f>
        <v>ELD2T5H-2M40-q</v>
      </c>
      <c r="AI989" s="1" t="str">
        <f>_xlfn.IFNA(VLOOKUP(Master_Reference[[#This Row],[C-Flex 5000K Eco Part Number]],Lutron_CFlex_Lookup[],MATCH("Lutron Kit PN",Lutron_CFlex_Lookup[#Headers],0),FALSE),"")</f>
        <v>ELD2T5H-2M50-q</v>
      </c>
      <c r="AJ989" s="1" t="str">
        <f>_xlfn.IFNA(VLOOKUP(Master_Reference[[#This Row],[C-Flex 3000K 3W Part Number]],Lutron_CFlex_Lookup[],MATCH("Lutron Kit PN",Lutron_CFlex_Lookup[#Headers],0),FALSE),"")</f>
        <v>3LD2T5H-2M30-q</v>
      </c>
      <c r="AK989" s="1" t="str">
        <f>_xlfn.IFNA(VLOOKUP(Master_Reference[[#This Row],[C-Flex 3500K 3W Part Number]],Lutron_CFlex_Lookup[],MATCH("Lutron Kit PN",Lutron_CFlex_Lookup[#Headers],0),FALSE),"")</f>
        <v>3LD2T5H-2M35-q</v>
      </c>
      <c r="AL989" s="1" t="str">
        <f>_xlfn.IFNA(VLOOKUP(Master_Reference[[#This Row],[C-Flex 4000K 3W Part Number]],Lutron_CFlex_Lookup[],MATCH("Lutron Kit PN",Lutron_CFlex_Lookup[#Headers],0),FALSE),"")</f>
        <v>3LD2T5H-2M40-q</v>
      </c>
      <c r="AM989" s="1" t="str">
        <f>_xlfn.IFNA(VLOOKUP(Master_Reference[[#This Row],[C-Flex 5000K 3W Part Number]],Lutron_CFlex_Lookup[],MATCH("Lutron Kit PN",Lutron_CFlex_Lookup[#Headers],0),FALSE),"")</f>
        <v>3LD2T5H-2M50-q</v>
      </c>
      <c r="AN989" s="1" t="b">
        <f>NOT(ISNA(VLOOKUP(Master_Reference[[#This Row],[Model Number]],ObsoleteModels[],1,FALSE)))</f>
        <v>1</v>
      </c>
      <c r="AO989" s="1" t="str">
        <f>IF(LEFT(Master_Reference[[#This Row],[Model Number]],1)="U",LEFT(Master_Reference[[#This Row],[Model Number]],4),LEFT(Master_Reference[[#This Row],[Model Number]],3))</f>
        <v>UH3D</v>
      </c>
    </row>
    <row r="990" spans="1:41" x14ac:dyDescent="0.25">
      <c r="A990" s="2" t="s">
        <v>1294</v>
      </c>
      <c r="B990" s="1" t="b">
        <v>1</v>
      </c>
      <c r="C990" s="1" t="b">
        <v>1</v>
      </c>
      <c r="G990" s="1" t="str">
        <f>IF(OR(LEFT(RIGHT(Master_Reference[[#This Row],[Model Number]],3),1)="C",LEFT(RIGHT(Master_Reference[[#This Row],[Model Number]],4),1)="C"),TRUE,"")</f>
        <v/>
      </c>
      <c r="H990" s="1" t="b">
        <f>IF(LEFT(Master_Reference[[#This Row],[Model Number]],1)="U",TRUE,"")</f>
        <v>1</v>
      </c>
      <c r="I990" s="1" t="b">
        <f>IF(Master_Reference[[#This Row],[Lamp Type]]="T4","",IF(Master_Reference[[#This Row],[Case Type]]="M","",TRUE))</f>
        <v>1</v>
      </c>
      <c r="J990" s="1" t="s">
        <v>123</v>
      </c>
      <c r="K990" s="1">
        <v>28</v>
      </c>
      <c r="L990" s="1" t="s">
        <v>118</v>
      </c>
      <c r="M990" s="1">
        <v>1</v>
      </c>
      <c r="N990" s="1" t="s">
        <v>149</v>
      </c>
      <c r="O990" s="1" t="s">
        <v>113</v>
      </c>
      <c r="R990" t="b">
        <f>IF(COUNTBLANK(Master_Reference[[#This Row],[C-Flex 3000K Eco Part Number]:[C-Flex 4000K Eco Part Number]])=3,FALSE,TRUE)</f>
        <v>1</v>
      </c>
      <c r="S990" t="b">
        <f>IF(COUNTBLANK(Master_Reference[[#This Row],[C-Flex 3000K 3W Part Number]:[C-Flex 4000K 3W Part Number]])=3,FALSE,TRUE)</f>
        <v>1</v>
      </c>
      <c r="T990" t="b">
        <f>IF(COUNTBLANK(Master_Reference[[#This Row],[Lutron 3000K Eco Part Number]:[Lutron 4000K Eco Part Number]])=3,FALSE,TRUE)</f>
        <v>1</v>
      </c>
      <c r="U990" t="b">
        <f>IF(COUNTBLANK(Master_Reference[[#This Row],[Lutron 3000K 3W Part Number]:[Lutron 4000K 3W Part Number]])=3,FALSE,TRUE)</f>
        <v>1</v>
      </c>
      <c r="V990" s="12" t="s">
        <v>283</v>
      </c>
      <c r="W990" s="12" t="s">
        <v>284</v>
      </c>
      <c r="X990" s="12" t="s">
        <v>285</v>
      </c>
      <c r="Y990" t="s">
        <v>1719</v>
      </c>
      <c r="Z990" s="12" t="s">
        <v>286</v>
      </c>
      <c r="AA990" s="12" t="s">
        <v>287</v>
      </c>
      <c r="AB990" s="12" t="s">
        <v>288</v>
      </c>
      <c r="AC990" t="s">
        <v>1807</v>
      </c>
      <c r="AD990" t="str">
        <f>SUBSTITUTE(Master_Reference[[#This Row],[C-Flex 4000K Eco Part Number]],"40-","xx-")</f>
        <v>RP-T5-4FT-1L-8xx-E1-M-G2</v>
      </c>
      <c r="AE990" t="str">
        <f>SUBSTITUTE(Master_Reference[[#This Row],[C-Flex 4000K 3W Part Number]],"40-","xx-")</f>
        <v>RP-T5-4FT-1L-8xx-3W-M-G2</v>
      </c>
      <c r="AF990" s="1" t="str">
        <f>_xlfn.IFNA(VLOOKUP(Master_Reference[[#This Row],[C-Flex 3000K Eco Part Number]],Lutron_CFlex_Lookup[],MATCH("Lutron Kit PN",Lutron_CFlex_Lookup[#Headers],0),FALSE),"")</f>
        <v>ELD4T5-1M30-q</v>
      </c>
      <c r="AG990" s="1" t="str">
        <f>_xlfn.IFNA(VLOOKUP(Master_Reference[[#This Row],[C-Flex 3500K Eco Part Number]],Lutron_CFlex_Lookup[],MATCH("Lutron Kit PN",Lutron_CFlex_Lookup[#Headers],0),FALSE),"")</f>
        <v>ELD4T5-1M35-q</v>
      </c>
      <c r="AH990" s="1" t="str">
        <f>_xlfn.IFNA(VLOOKUP(Master_Reference[[#This Row],[C-Flex 4000K Eco Part Number]],Lutron_CFlex_Lookup[],MATCH("Lutron Kit PN",Lutron_CFlex_Lookup[#Headers],0),FALSE),"")</f>
        <v>ELD4T5-1M40-q</v>
      </c>
      <c r="AI990" s="1" t="str">
        <f>_xlfn.IFNA(VLOOKUP(Master_Reference[[#This Row],[C-Flex 5000K Eco Part Number]],Lutron_CFlex_Lookup[],MATCH("Lutron Kit PN",Lutron_CFlex_Lookup[#Headers],0),FALSE),"")</f>
        <v>ELD4T5-1M50-q</v>
      </c>
      <c r="AJ990" s="1" t="str">
        <f>_xlfn.IFNA(VLOOKUP(Master_Reference[[#This Row],[C-Flex 3000K 3W Part Number]],Lutron_CFlex_Lookup[],MATCH("Lutron Kit PN",Lutron_CFlex_Lookup[#Headers],0),FALSE),"")</f>
        <v>3LD4T5-1M30-q</v>
      </c>
      <c r="AK990" s="1" t="str">
        <f>_xlfn.IFNA(VLOOKUP(Master_Reference[[#This Row],[C-Flex 3500K 3W Part Number]],Lutron_CFlex_Lookup[],MATCH("Lutron Kit PN",Lutron_CFlex_Lookup[#Headers],0),FALSE),"")</f>
        <v>3LD4T5-1M35-q</v>
      </c>
      <c r="AL990" s="1" t="str">
        <f>_xlfn.IFNA(VLOOKUP(Master_Reference[[#This Row],[C-Flex 4000K 3W Part Number]],Lutron_CFlex_Lookup[],MATCH("Lutron Kit PN",Lutron_CFlex_Lookup[#Headers],0),FALSE),"")</f>
        <v>3LD4T5-1M40-q</v>
      </c>
      <c r="AM990" s="1" t="str">
        <f>_xlfn.IFNA(VLOOKUP(Master_Reference[[#This Row],[C-Flex 5000K 3W Part Number]],Lutron_CFlex_Lookup[],MATCH("Lutron Kit PN",Lutron_CFlex_Lookup[#Headers],0),FALSE),"")</f>
        <v>3LD4T5-1M50-q</v>
      </c>
      <c r="AN990" s="1" t="b">
        <f>NOT(ISNA(VLOOKUP(Master_Reference[[#This Row],[Model Number]],ObsoleteModels[],1,FALSE)))</f>
        <v>1</v>
      </c>
      <c r="AO990" s="1" t="str">
        <f>IF(LEFT(Master_Reference[[#This Row],[Model Number]],1)="U",LEFT(Master_Reference[[#This Row],[Model Number]],4),LEFT(Master_Reference[[#This Row],[Model Number]],3))</f>
        <v>UH3D</v>
      </c>
    </row>
    <row r="991" spans="1:41" x14ac:dyDescent="0.25">
      <c r="A991" s="2" t="s">
        <v>1295</v>
      </c>
      <c r="B991" s="1" t="b">
        <v>1</v>
      </c>
      <c r="C991" s="1" t="b">
        <v>1</v>
      </c>
      <c r="G991" s="1" t="str">
        <f>IF(OR(LEFT(RIGHT(Master_Reference[[#This Row],[Model Number]],3),1)="C",LEFT(RIGHT(Master_Reference[[#This Row],[Model Number]],4),1)="C"),TRUE,"")</f>
        <v/>
      </c>
      <c r="H991" s="1" t="b">
        <f>IF(LEFT(Master_Reference[[#This Row],[Model Number]],1)="U",TRUE,"")</f>
        <v>1</v>
      </c>
      <c r="I991" s="1" t="b">
        <f>IF(Master_Reference[[#This Row],[Lamp Type]]="T4","",IF(Master_Reference[[#This Row],[Case Type]]="M","",TRUE))</f>
        <v>1</v>
      </c>
      <c r="J991" s="1" t="s">
        <v>123</v>
      </c>
      <c r="K991" s="1">
        <v>28</v>
      </c>
      <c r="L991" s="1" t="s">
        <v>118</v>
      </c>
      <c r="M991" s="1">
        <v>2</v>
      </c>
      <c r="N991" s="1" t="s">
        <v>149</v>
      </c>
      <c r="O991" s="1" t="s">
        <v>113</v>
      </c>
      <c r="R991" t="b">
        <f>IF(COUNTBLANK(Master_Reference[[#This Row],[C-Flex 3000K Eco Part Number]:[C-Flex 4000K Eco Part Number]])=3,FALSE,TRUE)</f>
        <v>1</v>
      </c>
      <c r="S991" t="b">
        <f>IF(COUNTBLANK(Master_Reference[[#This Row],[C-Flex 3000K 3W Part Number]:[C-Flex 4000K 3W Part Number]])=3,FALSE,TRUE)</f>
        <v>1</v>
      </c>
      <c r="T991" t="b">
        <f>IF(COUNTBLANK(Master_Reference[[#This Row],[Lutron 3000K Eco Part Number]:[Lutron 4000K Eco Part Number]])=3,FALSE,TRUE)</f>
        <v>1</v>
      </c>
      <c r="U991" t="b">
        <f>IF(COUNTBLANK(Master_Reference[[#This Row],[Lutron 3000K 3W Part Number]:[Lutron 4000K 3W Part Number]])=3,FALSE,TRUE)</f>
        <v>1</v>
      </c>
      <c r="V991" s="12" t="s">
        <v>290</v>
      </c>
      <c r="W991" s="12" t="s">
        <v>291</v>
      </c>
      <c r="X991" s="12" t="s">
        <v>292</v>
      </c>
      <c r="Y991" t="s">
        <v>1720</v>
      </c>
      <c r="Z991" s="12" t="s">
        <v>293</v>
      </c>
      <c r="AA991" s="12" t="s">
        <v>294</v>
      </c>
      <c r="AB991" s="12" t="s">
        <v>295</v>
      </c>
      <c r="AC991" t="s">
        <v>1808</v>
      </c>
      <c r="AD991" t="str">
        <f>SUBSTITUTE(Master_Reference[[#This Row],[C-Flex 4000K Eco Part Number]],"40-","xx-")</f>
        <v>RP-T5-4FT-2L-8xx-E1-M-G2</v>
      </c>
      <c r="AE991" t="str">
        <f>SUBSTITUTE(Master_Reference[[#This Row],[C-Flex 4000K 3W Part Number]],"40-","xx-")</f>
        <v>RP-T5-4FT-2L-8xx-3W-M-G2</v>
      </c>
      <c r="AF991" s="1" t="str">
        <f>_xlfn.IFNA(VLOOKUP(Master_Reference[[#This Row],[C-Flex 3000K Eco Part Number]],Lutron_CFlex_Lookup[],MATCH("Lutron Kit PN",Lutron_CFlex_Lookup[#Headers],0),FALSE),"")</f>
        <v>ELD4T5-2M30-q</v>
      </c>
      <c r="AG991" s="1" t="str">
        <f>_xlfn.IFNA(VLOOKUP(Master_Reference[[#This Row],[C-Flex 3500K Eco Part Number]],Lutron_CFlex_Lookup[],MATCH("Lutron Kit PN",Lutron_CFlex_Lookup[#Headers],0),FALSE),"")</f>
        <v>ELD4T5-2M35-q</v>
      </c>
      <c r="AH991" s="1" t="str">
        <f>_xlfn.IFNA(VLOOKUP(Master_Reference[[#This Row],[C-Flex 4000K Eco Part Number]],Lutron_CFlex_Lookup[],MATCH("Lutron Kit PN",Lutron_CFlex_Lookup[#Headers],0),FALSE),"")</f>
        <v>ELD4T5-2M40-q</v>
      </c>
      <c r="AI991" s="1" t="str">
        <f>_xlfn.IFNA(VLOOKUP(Master_Reference[[#This Row],[C-Flex 5000K Eco Part Number]],Lutron_CFlex_Lookup[],MATCH("Lutron Kit PN",Lutron_CFlex_Lookup[#Headers],0),FALSE),"")</f>
        <v>ELD4T5-2M50-q</v>
      </c>
      <c r="AJ991" s="1" t="str">
        <f>_xlfn.IFNA(VLOOKUP(Master_Reference[[#This Row],[C-Flex 3000K 3W Part Number]],Lutron_CFlex_Lookup[],MATCH("Lutron Kit PN",Lutron_CFlex_Lookup[#Headers],0),FALSE),"")</f>
        <v>3LD4T5-2M30-q</v>
      </c>
      <c r="AK991" s="1" t="str">
        <f>_xlfn.IFNA(VLOOKUP(Master_Reference[[#This Row],[C-Flex 3500K 3W Part Number]],Lutron_CFlex_Lookup[],MATCH("Lutron Kit PN",Lutron_CFlex_Lookup[#Headers],0),FALSE),"")</f>
        <v>3LD4T5-2M35-q</v>
      </c>
      <c r="AL991" s="1" t="str">
        <f>_xlfn.IFNA(VLOOKUP(Master_Reference[[#This Row],[C-Flex 4000K 3W Part Number]],Lutron_CFlex_Lookup[],MATCH("Lutron Kit PN",Lutron_CFlex_Lookup[#Headers],0),FALSE),"")</f>
        <v>3LD4T5-2M40-q</v>
      </c>
      <c r="AM991" s="1" t="str">
        <f>_xlfn.IFNA(VLOOKUP(Master_Reference[[#This Row],[C-Flex 5000K 3W Part Number]],Lutron_CFlex_Lookup[],MATCH("Lutron Kit PN",Lutron_CFlex_Lookup[#Headers],0),FALSE),"")</f>
        <v>3LD4T5-2M50-q</v>
      </c>
      <c r="AN991" s="1" t="b">
        <f>NOT(ISNA(VLOOKUP(Master_Reference[[#This Row],[Model Number]],ObsoleteModels[],1,FALSE)))</f>
        <v>1</v>
      </c>
      <c r="AO991" s="1" t="str">
        <f>IF(LEFT(Master_Reference[[#This Row],[Model Number]],1)="U",LEFT(Master_Reference[[#This Row],[Model Number]],4),LEFT(Master_Reference[[#This Row],[Model Number]],3))</f>
        <v>UH3D</v>
      </c>
    </row>
    <row r="992" spans="1:41" x14ac:dyDescent="0.25">
      <c r="A992" s="2" t="s">
        <v>1296</v>
      </c>
      <c r="B992" s="1" t="b">
        <v>1</v>
      </c>
      <c r="C992" s="1" t="b">
        <v>1</v>
      </c>
      <c r="G992" s="1" t="b">
        <v>1</v>
      </c>
      <c r="H992" s="1" t="b">
        <f>IF(LEFT(Master_Reference[[#This Row],[Model Number]],1)="U",TRUE,"")</f>
        <v>1</v>
      </c>
      <c r="I992" s="1" t="b">
        <f>IF(Master_Reference[[#This Row],[Lamp Type]]="T4","",IF(Master_Reference[[#This Row],[Case Type]]="M","",TRUE))</f>
        <v>1</v>
      </c>
      <c r="J992" s="1" t="s">
        <v>111</v>
      </c>
      <c r="K992" s="1">
        <v>17</v>
      </c>
      <c r="L992" s="1" t="s">
        <v>112</v>
      </c>
      <c r="M992" s="1">
        <v>2</v>
      </c>
      <c r="N992" s="1" t="s">
        <v>149</v>
      </c>
      <c r="O992" s="1" t="s">
        <v>113</v>
      </c>
      <c r="R992" t="b">
        <f>IF(COUNTBLANK(Master_Reference[[#This Row],[C-Flex 3000K Eco Part Number]:[C-Flex 4000K Eco Part Number]])=3,FALSE,TRUE)</f>
        <v>1</v>
      </c>
      <c r="S992" t="b">
        <f>IF(COUNTBLANK(Master_Reference[[#This Row],[C-Flex 3000K 3W Part Number]:[C-Flex 4000K 3W Part Number]])=3,FALSE,TRUE)</f>
        <v>1</v>
      </c>
      <c r="T992" t="b">
        <f>IF(COUNTBLANK(Master_Reference[[#This Row],[Lutron 3000K Eco Part Number]:[Lutron 4000K Eco Part Number]])=3,FALSE,TRUE)</f>
        <v>1</v>
      </c>
      <c r="U992" t="b">
        <f>IF(COUNTBLANK(Master_Reference[[#This Row],[Lutron 3000K 3W Part Number]:[Lutron 4000K 3W Part Number]])=3,FALSE,TRUE)</f>
        <v>1</v>
      </c>
      <c r="V992" s="12" t="s">
        <v>466</v>
      </c>
      <c r="W992" s="12" t="s">
        <v>467</v>
      </c>
      <c r="X992" s="12" t="s">
        <v>468</v>
      </c>
      <c r="Y992" t="s">
        <v>1736</v>
      </c>
      <c r="Z992" s="12" t="s">
        <v>244</v>
      </c>
      <c r="AA992" s="12" t="s">
        <v>245</v>
      </c>
      <c r="AB992" s="12" t="s">
        <v>246</v>
      </c>
      <c r="AC992" t="s">
        <v>1824</v>
      </c>
      <c r="AD992" t="str">
        <f>SUBSTITUTE(Master_Reference[[#This Row],[C-Flex 4000K Eco Part Number]],"40-","xx-")</f>
        <v>RP-T8-2FT-2L-8xx-E1-M-G2</v>
      </c>
      <c r="AE992" t="str">
        <f>SUBSTITUTE(Master_Reference[[#This Row],[C-Flex 4000K 3W Part Number]],"40-","xx-")</f>
        <v>RP-T8-2FT-2L-8xx-3W-M-G2</v>
      </c>
      <c r="AF992" s="1" t="str">
        <f>_xlfn.IFNA(VLOOKUP(Master_Reference[[#This Row],[C-Flex 3000K Eco Part Number]],Lutron_CFlex_Lookup[],MATCH("Lutron Kit PN",Lutron_CFlex_Lookup[#Headers],0),FALSE),"")</f>
        <v>ELD2T8-2M30-q</v>
      </c>
      <c r="AG992" s="1" t="str">
        <f>_xlfn.IFNA(VLOOKUP(Master_Reference[[#This Row],[C-Flex 3500K Eco Part Number]],Lutron_CFlex_Lookup[],MATCH("Lutron Kit PN",Lutron_CFlex_Lookup[#Headers],0),FALSE),"")</f>
        <v>ELD2T8-2M35-q</v>
      </c>
      <c r="AH992" s="1" t="str">
        <f>_xlfn.IFNA(VLOOKUP(Master_Reference[[#This Row],[C-Flex 4000K Eco Part Number]],Lutron_CFlex_Lookup[],MATCH("Lutron Kit PN",Lutron_CFlex_Lookup[#Headers],0),FALSE),"")</f>
        <v>ELD2T8-2M40-q</v>
      </c>
      <c r="AI992" s="1" t="str">
        <f>_xlfn.IFNA(VLOOKUP(Master_Reference[[#This Row],[C-Flex 5000K Eco Part Number]],Lutron_CFlex_Lookup[],MATCH("Lutron Kit PN",Lutron_CFlex_Lookup[#Headers],0),FALSE),"")</f>
        <v>ELD2T8-2M50-q</v>
      </c>
      <c r="AJ992" s="1" t="str">
        <f>_xlfn.IFNA(VLOOKUP(Master_Reference[[#This Row],[C-Flex 3000K 3W Part Number]],Lutron_CFlex_Lookup[],MATCH("Lutron Kit PN",Lutron_CFlex_Lookup[#Headers],0),FALSE),"")</f>
        <v>3LD2T8-2M30-q</v>
      </c>
      <c r="AK992" s="1" t="str">
        <f>_xlfn.IFNA(VLOOKUP(Master_Reference[[#This Row],[C-Flex 3500K 3W Part Number]],Lutron_CFlex_Lookup[],MATCH("Lutron Kit PN",Lutron_CFlex_Lookup[#Headers],0),FALSE),"")</f>
        <v>3LD2T8-2M35-q</v>
      </c>
      <c r="AL992" s="1" t="str">
        <f>_xlfn.IFNA(VLOOKUP(Master_Reference[[#This Row],[C-Flex 4000K 3W Part Number]],Lutron_CFlex_Lookup[],MATCH("Lutron Kit PN",Lutron_CFlex_Lookup[#Headers],0),FALSE),"")</f>
        <v>3LD2T8-2M40-q</v>
      </c>
      <c r="AM992" s="1" t="str">
        <f>_xlfn.IFNA(VLOOKUP(Master_Reference[[#This Row],[C-Flex 5000K 3W Part Number]],Lutron_CFlex_Lookup[],MATCH("Lutron Kit PN",Lutron_CFlex_Lookup[#Headers],0),FALSE),"")</f>
        <v>3LD2T8-2M50-q</v>
      </c>
      <c r="AN992" s="1" t="b">
        <f>NOT(ISNA(VLOOKUP(Master_Reference[[#This Row],[Model Number]],ObsoleteModels[],1,FALSE)))</f>
        <v>1</v>
      </c>
      <c r="AO992" s="1" t="str">
        <f>IF(LEFT(Master_Reference[[#This Row],[Model Number]],1)="U",LEFT(Master_Reference[[#This Row],[Model Number]],4),LEFT(Master_Reference[[#This Row],[Model Number]],3))</f>
        <v>UH3D</v>
      </c>
    </row>
    <row r="993" spans="1:41" x14ac:dyDescent="0.25">
      <c r="A993" s="2" t="s">
        <v>1297</v>
      </c>
      <c r="B993" s="1" t="b">
        <v>1</v>
      </c>
      <c r="C993" s="1" t="b">
        <v>1</v>
      </c>
      <c r="G993" s="1" t="str">
        <f>IF(OR(LEFT(RIGHT(Master_Reference[[#This Row],[Model Number]],3),1)="C",LEFT(RIGHT(Master_Reference[[#This Row],[Model Number]],4),1)="C"),TRUE,"")</f>
        <v/>
      </c>
      <c r="H993" s="1" t="b">
        <f>IF(LEFT(Master_Reference[[#This Row],[Model Number]],1)="U",TRUE,"")</f>
        <v>1</v>
      </c>
      <c r="I993" s="1" t="b">
        <f>IF(Master_Reference[[#This Row],[Lamp Type]]="T4","",IF(Master_Reference[[#This Row],[Case Type]]="M","",TRUE))</f>
        <v>1</v>
      </c>
      <c r="J993" s="1" t="s">
        <v>111</v>
      </c>
      <c r="K993" s="1">
        <v>17</v>
      </c>
      <c r="L993" s="1" t="s">
        <v>112</v>
      </c>
      <c r="M993" s="1">
        <v>2</v>
      </c>
      <c r="N993" s="1" t="s">
        <v>149</v>
      </c>
      <c r="O993" s="1" t="s">
        <v>217</v>
      </c>
      <c r="R993" t="b">
        <f>IF(COUNTBLANK(Master_Reference[[#This Row],[C-Flex 3000K Eco Part Number]:[C-Flex 4000K Eco Part Number]])=3,FALSE,TRUE)</f>
        <v>1</v>
      </c>
      <c r="S993" t="b">
        <f>IF(COUNTBLANK(Master_Reference[[#This Row],[C-Flex 3000K 3W Part Number]:[C-Flex 4000K 3W Part Number]])=3,FALSE,TRUE)</f>
        <v>1</v>
      </c>
      <c r="T993" t="b">
        <f>IF(COUNTBLANK(Master_Reference[[#This Row],[Lutron 3000K Eco Part Number]:[Lutron 4000K Eco Part Number]])=3,FALSE,TRUE)</f>
        <v>1</v>
      </c>
      <c r="U993" t="b">
        <f>IF(COUNTBLANK(Master_Reference[[#This Row],[Lutron 3000K 3W Part Number]:[Lutron 4000K 3W Part Number]])=3,FALSE,TRUE)</f>
        <v>1</v>
      </c>
      <c r="V993" s="12" t="s">
        <v>466</v>
      </c>
      <c r="W993" s="12" t="s">
        <v>467</v>
      </c>
      <c r="X993" s="12" t="s">
        <v>468</v>
      </c>
      <c r="Y993" t="s">
        <v>1736</v>
      </c>
      <c r="Z993" s="12" t="s">
        <v>244</v>
      </c>
      <c r="AA993" s="12" t="s">
        <v>245</v>
      </c>
      <c r="AB993" s="12" t="s">
        <v>246</v>
      </c>
      <c r="AC993" t="s">
        <v>1824</v>
      </c>
      <c r="AD993" t="str">
        <f>SUBSTITUTE(Master_Reference[[#This Row],[C-Flex 4000K Eco Part Number]],"40-","xx-")</f>
        <v>RP-T8-2FT-2L-8xx-E1-M-G2</v>
      </c>
      <c r="AE993" t="str">
        <f>SUBSTITUTE(Master_Reference[[#This Row],[C-Flex 4000K 3W Part Number]],"40-","xx-")</f>
        <v>RP-T8-2FT-2L-8xx-3W-M-G2</v>
      </c>
      <c r="AF993" s="1" t="str">
        <f>_xlfn.IFNA(VLOOKUP(Master_Reference[[#This Row],[C-Flex 3000K Eco Part Number]],Lutron_CFlex_Lookup[],MATCH("Lutron Kit PN",Lutron_CFlex_Lookup[#Headers],0),FALSE),"")</f>
        <v>ELD2T8-2M30-q</v>
      </c>
      <c r="AG993" s="1" t="str">
        <f>_xlfn.IFNA(VLOOKUP(Master_Reference[[#This Row],[C-Flex 3500K Eco Part Number]],Lutron_CFlex_Lookup[],MATCH("Lutron Kit PN",Lutron_CFlex_Lookup[#Headers],0),FALSE),"")</f>
        <v>ELD2T8-2M35-q</v>
      </c>
      <c r="AH993" s="1" t="str">
        <f>_xlfn.IFNA(VLOOKUP(Master_Reference[[#This Row],[C-Flex 4000K Eco Part Number]],Lutron_CFlex_Lookup[],MATCH("Lutron Kit PN",Lutron_CFlex_Lookup[#Headers],0),FALSE),"")</f>
        <v>ELD2T8-2M40-q</v>
      </c>
      <c r="AI993" s="1" t="str">
        <f>_xlfn.IFNA(VLOOKUP(Master_Reference[[#This Row],[C-Flex 5000K Eco Part Number]],Lutron_CFlex_Lookup[],MATCH("Lutron Kit PN",Lutron_CFlex_Lookup[#Headers],0),FALSE),"")</f>
        <v>ELD2T8-2M50-q</v>
      </c>
      <c r="AJ993" s="1" t="str">
        <f>_xlfn.IFNA(VLOOKUP(Master_Reference[[#This Row],[C-Flex 3000K 3W Part Number]],Lutron_CFlex_Lookup[],MATCH("Lutron Kit PN",Lutron_CFlex_Lookup[#Headers],0),FALSE),"")</f>
        <v>3LD2T8-2M30-q</v>
      </c>
      <c r="AK993" s="1" t="str">
        <f>_xlfn.IFNA(VLOOKUP(Master_Reference[[#This Row],[C-Flex 3500K 3W Part Number]],Lutron_CFlex_Lookup[],MATCH("Lutron Kit PN",Lutron_CFlex_Lookup[#Headers],0),FALSE),"")</f>
        <v>3LD2T8-2M35-q</v>
      </c>
      <c r="AL993" s="1" t="str">
        <f>_xlfn.IFNA(VLOOKUP(Master_Reference[[#This Row],[C-Flex 4000K 3W Part Number]],Lutron_CFlex_Lookup[],MATCH("Lutron Kit PN",Lutron_CFlex_Lookup[#Headers],0),FALSE),"")</f>
        <v>3LD2T8-2M40-q</v>
      </c>
      <c r="AM993" s="1" t="str">
        <f>_xlfn.IFNA(VLOOKUP(Master_Reference[[#This Row],[C-Flex 5000K 3W Part Number]],Lutron_CFlex_Lookup[],MATCH("Lutron Kit PN",Lutron_CFlex_Lookup[#Headers],0),FALSE),"")</f>
        <v>3LD2T8-2M50-q</v>
      </c>
      <c r="AN993" s="1" t="b">
        <f>NOT(ISNA(VLOOKUP(Master_Reference[[#This Row],[Model Number]],ObsoleteModels[],1,FALSE)))</f>
        <v>1</v>
      </c>
      <c r="AO993" s="1" t="str">
        <f>IF(LEFT(Master_Reference[[#This Row],[Model Number]],1)="U",LEFT(Master_Reference[[#This Row],[Model Number]],4),LEFT(Master_Reference[[#This Row],[Model Number]],3))</f>
        <v>UH3D</v>
      </c>
    </row>
    <row r="994" spans="1:41" x14ac:dyDescent="0.25">
      <c r="A994" s="2" t="s">
        <v>1298</v>
      </c>
      <c r="B994" s="1" t="b">
        <v>1</v>
      </c>
      <c r="C994" s="1" t="b">
        <v>1</v>
      </c>
      <c r="G994" s="1" t="str">
        <f>IF(OR(LEFT(RIGHT(Master_Reference[[#This Row],[Model Number]],3),1)="C",LEFT(RIGHT(Master_Reference[[#This Row],[Model Number]],4),1)="C"),TRUE,"")</f>
        <v/>
      </c>
      <c r="H994" s="1" t="b">
        <f>IF(LEFT(Master_Reference[[#This Row],[Model Number]],1)="U",TRUE,"")</f>
        <v>1</v>
      </c>
      <c r="I994" s="1" t="b">
        <f>IF(Master_Reference[[#This Row],[Lamp Type]]="T4","",IF(Master_Reference[[#This Row],[Case Type]]="M","",TRUE))</f>
        <v>1</v>
      </c>
      <c r="J994" s="1" t="s">
        <v>111</v>
      </c>
      <c r="K994" s="1">
        <v>17</v>
      </c>
      <c r="L994" s="1" t="s">
        <v>112</v>
      </c>
      <c r="M994" s="1">
        <v>3</v>
      </c>
      <c r="N994" s="1" t="s">
        <v>149</v>
      </c>
      <c r="O994" s="1" t="s">
        <v>217</v>
      </c>
      <c r="R994" t="b">
        <f>IF(COUNTBLANK(Master_Reference[[#This Row],[C-Flex 3000K Eco Part Number]:[C-Flex 4000K Eco Part Number]])=3,FALSE,TRUE)</f>
        <v>1</v>
      </c>
      <c r="S994" t="b">
        <f>IF(COUNTBLANK(Master_Reference[[#This Row],[C-Flex 3000K 3W Part Number]:[C-Flex 4000K 3W Part Number]])=3,FALSE,TRUE)</f>
        <v>1</v>
      </c>
      <c r="T994" t="b">
        <f>IF(COUNTBLANK(Master_Reference[[#This Row],[Lutron 3000K Eco Part Number]:[Lutron 4000K Eco Part Number]])=3,FALSE,TRUE)</f>
        <v>1</v>
      </c>
      <c r="U994" t="b">
        <f>IF(COUNTBLANK(Master_Reference[[#This Row],[Lutron 3000K 3W Part Number]:[Lutron 4000K 3W Part Number]])=3,FALSE,TRUE)</f>
        <v>1</v>
      </c>
      <c r="V994" s="12" t="s">
        <v>1137</v>
      </c>
      <c r="W994" s="12" t="s">
        <v>1138</v>
      </c>
      <c r="X994" s="12" t="s">
        <v>1139</v>
      </c>
      <c r="Y994" t="s">
        <v>1737</v>
      </c>
      <c r="Z994" s="12" t="s">
        <v>251</v>
      </c>
      <c r="AA994" s="12" t="s">
        <v>252</v>
      </c>
      <c r="AB994" s="12" t="s">
        <v>253</v>
      </c>
      <c r="AC994" t="s">
        <v>1825</v>
      </c>
      <c r="AD994" t="str">
        <f>SUBSTITUTE(Master_Reference[[#This Row],[C-Flex 4000K Eco Part Number]],"40-","xx-")</f>
        <v>RP-T8-2FT-3L-8xx-E1-M-G2</v>
      </c>
      <c r="AE994" t="str">
        <f>SUBSTITUTE(Master_Reference[[#This Row],[C-Flex 4000K 3W Part Number]],"40-","xx-")</f>
        <v>RP-T8-2FT-3L-8xx-3W-M-G2</v>
      </c>
      <c r="AF994" s="1" t="str">
        <f>_xlfn.IFNA(VLOOKUP(Master_Reference[[#This Row],[C-Flex 3000K Eco Part Number]],Lutron_CFlex_Lookup[],MATCH("Lutron Kit PN",Lutron_CFlex_Lookup[#Headers],0),FALSE),"")</f>
        <v>ELD2T8-3M30-q</v>
      </c>
      <c r="AG994" s="1" t="str">
        <f>_xlfn.IFNA(VLOOKUP(Master_Reference[[#This Row],[C-Flex 3500K Eco Part Number]],Lutron_CFlex_Lookup[],MATCH("Lutron Kit PN",Lutron_CFlex_Lookup[#Headers],0),FALSE),"")</f>
        <v>ELD2T8-3M35-q</v>
      </c>
      <c r="AH994" s="1" t="str">
        <f>_xlfn.IFNA(VLOOKUP(Master_Reference[[#This Row],[C-Flex 4000K Eco Part Number]],Lutron_CFlex_Lookup[],MATCH("Lutron Kit PN",Lutron_CFlex_Lookup[#Headers],0),FALSE),"")</f>
        <v>ELD2T8-3M40-q</v>
      </c>
      <c r="AI994" s="1" t="str">
        <f>_xlfn.IFNA(VLOOKUP(Master_Reference[[#This Row],[C-Flex 5000K Eco Part Number]],Lutron_CFlex_Lookup[],MATCH("Lutron Kit PN",Lutron_CFlex_Lookup[#Headers],0),FALSE),"")</f>
        <v>ELD2T8-3M50-q</v>
      </c>
      <c r="AJ994" s="1" t="str">
        <f>_xlfn.IFNA(VLOOKUP(Master_Reference[[#This Row],[C-Flex 3000K 3W Part Number]],Lutron_CFlex_Lookup[],MATCH("Lutron Kit PN",Lutron_CFlex_Lookup[#Headers],0),FALSE),"")</f>
        <v>3LD2T8-3M30-q</v>
      </c>
      <c r="AK994" s="1" t="str">
        <f>_xlfn.IFNA(VLOOKUP(Master_Reference[[#This Row],[C-Flex 3500K 3W Part Number]],Lutron_CFlex_Lookup[],MATCH("Lutron Kit PN",Lutron_CFlex_Lookup[#Headers],0),FALSE),"")</f>
        <v>3LD2T8-3M35-q</v>
      </c>
      <c r="AL994" s="1" t="str">
        <f>_xlfn.IFNA(VLOOKUP(Master_Reference[[#This Row],[C-Flex 4000K 3W Part Number]],Lutron_CFlex_Lookup[],MATCH("Lutron Kit PN",Lutron_CFlex_Lookup[#Headers],0),FALSE),"")</f>
        <v>3LD2T8-3M40-q</v>
      </c>
      <c r="AM994" s="1" t="str">
        <f>_xlfn.IFNA(VLOOKUP(Master_Reference[[#This Row],[C-Flex 5000K 3W Part Number]],Lutron_CFlex_Lookup[],MATCH("Lutron Kit PN",Lutron_CFlex_Lookup[#Headers],0),FALSE),"")</f>
        <v>3LD2T8-3M50-q</v>
      </c>
      <c r="AN994" s="1" t="b">
        <f>NOT(ISNA(VLOOKUP(Master_Reference[[#This Row],[Model Number]],ObsoleteModels[],1,FALSE)))</f>
        <v>1</v>
      </c>
      <c r="AO994" s="1" t="str">
        <f>IF(LEFT(Master_Reference[[#This Row],[Model Number]],1)="U",LEFT(Master_Reference[[#This Row],[Model Number]],4),LEFT(Master_Reference[[#This Row],[Model Number]],3))</f>
        <v>UH3D</v>
      </c>
    </row>
    <row r="995" spans="1:41" x14ac:dyDescent="0.25">
      <c r="A995" s="2" t="s">
        <v>1299</v>
      </c>
      <c r="B995" s="1" t="b">
        <v>1</v>
      </c>
      <c r="C995" s="1" t="b">
        <v>1</v>
      </c>
      <c r="G995" s="1" t="b">
        <v>1</v>
      </c>
      <c r="H995" s="1" t="b">
        <f>IF(LEFT(Master_Reference[[#This Row],[Model Number]],1)="U",TRUE,"")</f>
        <v>1</v>
      </c>
      <c r="I995" s="1" t="b">
        <f>IF(Master_Reference[[#This Row],[Lamp Type]]="T4","",IF(Master_Reference[[#This Row],[Case Type]]="M","",TRUE))</f>
        <v>1</v>
      </c>
      <c r="J995" s="1" t="s">
        <v>111</v>
      </c>
      <c r="K995" s="1">
        <v>17</v>
      </c>
      <c r="L995" s="1" t="s">
        <v>112</v>
      </c>
      <c r="M995" s="1">
        <v>3</v>
      </c>
      <c r="N995" s="1" t="s">
        <v>149</v>
      </c>
      <c r="O995" s="1" t="s">
        <v>217</v>
      </c>
      <c r="R995" t="b">
        <f>IF(COUNTBLANK(Master_Reference[[#This Row],[C-Flex 3000K Eco Part Number]:[C-Flex 4000K Eco Part Number]])=3,FALSE,TRUE)</f>
        <v>1</v>
      </c>
      <c r="S995" t="b">
        <f>IF(COUNTBLANK(Master_Reference[[#This Row],[C-Flex 3000K 3W Part Number]:[C-Flex 4000K 3W Part Number]])=3,FALSE,TRUE)</f>
        <v>1</v>
      </c>
      <c r="T995" t="b">
        <f>IF(COUNTBLANK(Master_Reference[[#This Row],[Lutron 3000K Eco Part Number]:[Lutron 4000K Eco Part Number]])=3,FALSE,TRUE)</f>
        <v>1</v>
      </c>
      <c r="U995" t="b">
        <f>IF(COUNTBLANK(Master_Reference[[#This Row],[Lutron 3000K 3W Part Number]:[Lutron 4000K 3W Part Number]])=3,FALSE,TRUE)</f>
        <v>1</v>
      </c>
      <c r="V995" s="12" t="s">
        <v>1137</v>
      </c>
      <c r="W995" s="12" t="s">
        <v>1138</v>
      </c>
      <c r="X995" s="12" t="s">
        <v>1139</v>
      </c>
      <c r="Y995" t="s">
        <v>1737</v>
      </c>
      <c r="Z995" s="12" t="s">
        <v>251</v>
      </c>
      <c r="AA995" s="12" t="s">
        <v>252</v>
      </c>
      <c r="AB995" s="12" t="s">
        <v>253</v>
      </c>
      <c r="AC995" t="s">
        <v>1825</v>
      </c>
      <c r="AD995" t="str">
        <f>SUBSTITUTE(Master_Reference[[#This Row],[C-Flex 4000K Eco Part Number]],"40-","xx-")</f>
        <v>RP-T8-2FT-3L-8xx-E1-M-G2</v>
      </c>
      <c r="AE995" t="str">
        <f>SUBSTITUTE(Master_Reference[[#This Row],[C-Flex 4000K 3W Part Number]],"40-","xx-")</f>
        <v>RP-T8-2FT-3L-8xx-3W-M-G2</v>
      </c>
      <c r="AF995" s="1" t="str">
        <f>_xlfn.IFNA(VLOOKUP(Master_Reference[[#This Row],[C-Flex 3000K Eco Part Number]],Lutron_CFlex_Lookup[],MATCH("Lutron Kit PN",Lutron_CFlex_Lookup[#Headers],0),FALSE),"")</f>
        <v>ELD2T8-3M30-q</v>
      </c>
      <c r="AG995" s="1" t="str">
        <f>_xlfn.IFNA(VLOOKUP(Master_Reference[[#This Row],[C-Flex 3500K Eco Part Number]],Lutron_CFlex_Lookup[],MATCH("Lutron Kit PN",Lutron_CFlex_Lookup[#Headers],0),FALSE),"")</f>
        <v>ELD2T8-3M35-q</v>
      </c>
      <c r="AH995" s="1" t="str">
        <f>_xlfn.IFNA(VLOOKUP(Master_Reference[[#This Row],[C-Flex 4000K Eco Part Number]],Lutron_CFlex_Lookup[],MATCH("Lutron Kit PN",Lutron_CFlex_Lookup[#Headers],0),FALSE),"")</f>
        <v>ELD2T8-3M40-q</v>
      </c>
      <c r="AI995" s="1" t="str">
        <f>_xlfn.IFNA(VLOOKUP(Master_Reference[[#This Row],[C-Flex 5000K Eco Part Number]],Lutron_CFlex_Lookup[],MATCH("Lutron Kit PN",Lutron_CFlex_Lookup[#Headers],0),FALSE),"")</f>
        <v>ELD2T8-3M50-q</v>
      </c>
      <c r="AJ995" s="1" t="str">
        <f>_xlfn.IFNA(VLOOKUP(Master_Reference[[#This Row],[C-Flex 3000K 3W Part Number]],Lutron_CFlex_Lookup[],MATCH("Lutron Kit PN",Lutron_CFlex_Lookup[#Headers],0),FALSE),"")</f>
        <v>3LD2T8-3M30-q</v>
      </c>
      <c r="AK995" s="1" t="str">
        <f>_xlfn.IFNA(VLOOKUP(Master_Reference[[#This Row],[C-Flex 3500K 3W Part Number]],Lutron_CFlex_Lookup[],MATCH("Lutron Kit PN",Lutron_CFlex_Lookup[#Headers],0),FALSE),"")</f>
        <v>3LD2T8-3M35-q</v>
      </c>
      <c r="AL995" s="1" t="str">
        <f>_xlfn.IFNA(VLOOKUP(Master_Reference[[#This Row],[C-Flex 4000K 3W Part Number]],Lutron_CFlex_Lookup[],MATCH("Lutron Kit PN",Lutron_CFlex_Lookup[#Headers],0),FALSE),"")</f>
        <v>3LD2T8-3M40-q</v>
      </c>
      <c r="AM995" s="1" t="str">
        <f>_xlfn.IFNA(VLOOKUP(Master_Reference[[#This Row],[C-Flex 5000K 3W Part Number]],Lutron_CFlex_Lookup[],MATCH("Lutron Kit PN",Lutron_CFlex_Lookup[#Headers],0),FALSE),"")</f>
        <v>3LD2T8-3M50-q</v>
      </c>
      <c r="AN995" s="1" t="b">
        <f>NOT(ISNA(VLOOKUP(Master_Reference[[#This Row],[Model Number]],ObsoleteModels[],1,FALSE)))</f>
        <v>1</v>
      </c>
      <c r="AO995" s="1" t="str">
        <f>IF(LEFT(Master_Reference[[#This Row],[Model Number]],1)="U",LEFT(Master_Reference[[#This Row],[Model Number]],4),LEFT(Master_Reference[[#This Row],[Model Number]],3))</f>
        <v>UH3D</v>
      </c>
    </row>
    <row r="996" spans="1:41" x14ac:dyDescent="0.25">
      <c r="A996" s="2" t="s">
        <v>1300</v>
      </c>
      <c r="B996" s="1" t="b">
        <v>1</v>
      </c>
      <c r="C996" s="1" t="b">
        <v>1</v>
      </c>
      <c r="G996" s="1" t="str">
        <f>IF(OR(LEFT(RIGHT(Master_Reference[[#This Row],[Model Number]],3),1)="C",LEFT(RIGHT(Master_Reference[[#This Row],[Model Number]],4),1)="C"),TRUE,"")</f>
        <v/>
      </c>
      <c r="H996" s="1" t="b">
        <f>IF(LEFT(Master_Reference[[#This Row],[Model Number]],1)="U",TRUE,"")</f>
        <v>1</v>
      </c>
      <c r="I996" s="1" t="b">
        <f>IF(Master_Reference[[#This Row],[Lamp Type]]="T4","",IF(Master_Reference[[#This Row],[Case Type]]="M","",TRUE))</f>
        <v>1</v>
      </c>
      <c r="J996" s="1" t="s">
        <v>111</v>
      </c>
      <c r="K996" s="1">
        <v>25</v>
      </c>
      <c r="L996" s="1" t="s">
        <v>115</v>
      </c>
      <c r="M996" s="1">
        <v>2</v>
      </c>
      <c r="N996" s="1" t="s">
        <v>149</v>
      </c>
      <c r="O996" s="1" t="s">
        <v>113</v>
      </c>
      <c r="R996" t="b">
        <f>IF(COUNTBLANK(Master_Reference[[#This Row],[C-Flex 3000K Eco Part Number]:[C-Flex 4000K Eco Part Number]])=3,FALSE,TRUE)</f>
        <v>1</v>
      </c>
      <c r="S996" t="b">
        <f>IF(COUNTBLANK(Master_Reference[[#This Row],[C-Flex 3000K 3W Part Number]:[C-Flex 4000K 3W Part Number]])=3,FALSE,TRUE)</f>
        <v>1</v>
      </c>
      <c r="T996" t="b">
        <f>IF(COUNTBLANK(Master_Reference[[#This Row],[Lutron 3000K Eco Part Number]:[Lutron 4000K Eco Part Number]])=3,FALSE,TRUE)</f>
        <v>1</v>
      </c>
      <c r="U996" t="b">
        <f>IF(COUNTBLANK(Master_Reference[[#This Row],[Lutron 3000K 3W Part Number]:[Lutron 4000K 3W Part Number]])=3,FALSE,TRUE)</f>
        <v>1</v>
      </c>
      <c r="V996" s="12" t="s">
        <v>482</v>
      </c>
      <c r="W996" s="12" t="s">
        <v>483</v>
      </c>
      <c r="X996" s="12" t="s">
        <v>484</v>
      </c>
      <c r="Y996" t="s">
        <v>1739</v>
      </c>
      <c r="Z996" s="12" t="s">
        <v>259</v>
      </c>
      <c r="AA996" s="12" t="s">
        <v>260</v>
      </c>
      <c r="AB996" s="12" t="s">
        <v>261</v>
      </c>
      <c r="AC996" t="s">
        <v>1827</v>
      </c>
      <c r="AD996" t="str">
        <f>SUBSTITUTE(Master_Reference[[#This Row],[C-Flex 4000K Eco Part Number]],"40-","xx-")</f>
        <v>RP-T8-3FT-2L-8xx-E1-M-G2</v>
      </c>
      <c r="AE996" t="str">
        <f>SUBSTITUTE(Master_Reference[[#This Row],[C-Flex 4000K 3W Part Number]],"40-","xx-")</f>
        <v>RP-T8-3FT-2L-8xx-3W-M-G2</v>
      </c>
      <c r="AF996" s="1" t="str">
        <f>_xlfn.IFNA(VLOOKUP(Master_Reference[[#This Row],[C-Flex 3000K Eco Part Number]],Lutron_CFlex_Lookup[],MATCH("Lutron Kit PN",Lutron_CFlex_Lookup[#Headers],0),FALSE),"")</f>
        <v>ELD3T8-2M30-q</v>
      </c>
      <c r="AG996" s="1" t="str">
        <f>_xlfn.IFNA(VLOOKUP(Master_Reference[[#This Row],[C-Flex 3500K Eco Part Number]],Lutron_CFlex_Lookup[],MATCH("Lutron Kit PN",Lutron_CFlex_Lookup[#Headers],0),FALSE),"")</f>
        <v>ELD3T8-2M35-q</v>
      </c>
      <c r="AH996" s="1" t="str">
        <f>_xlfn.IFNA(VLOOKUP(Master_Reference[[#This Row],[C-Flex 4000K Eco Part Number]],Lutron_CFlex_Lookup[],MATCH("Lutron Kit PN",Lutron_CFlex_Lookup[#Headers],0),FALSE),"")</f>
        <v>ELD3T8-2M40-q</v>
      </c>
      <c r="AI996" s="1" t="str">
        <f>_xlfn.IFNA(VLOOKUP(Master_Reference[[#This Row],[C-Flex 5000K Eco Part Number]],Lutron_CFlex_Lookup[],MATCH("Lutron Kit PN",Lutron_CFlex_Lookup[#Headers],0),FALSE),"")</f>
        <v>ELD3T8-2M50-q</v>
      </c>
      <c r="AJ996" s="1" t="str">
        <f>_xlfn.IFNA(VLOOKUP(Master_Reference[[#This Row],[C-Flex 3000K 3W Part Number]],Lutron_CFlex_Lookup[],MATCH("Lutron Kit PN",Lutron_CFlex_Lookup[#Headers],0),FALSE),"")</f>
        <v>3LD3T8-2M30-q</v>
      </c>
      <c r="AK996" s="1" t="str">
        <f>_xlfn.IFNA(VLOOKUP(Master_Reference[[#This Row],[C-Flex 3500K 3W Part Number]],Lutron_CFlex_Lookup[],MATCH("Lutron Kit PN",Lutron_CFlex_Lookup[#Headers],0),FALSE),"")</f>
        <v>3LD3T8-2M35-q</v>
      </c>
      <c r="AL996" s="1" t="str">
        <f>_xlfn.IFNA(VLOOKUP(Master_Reference[[#This Row],[C-Flex 4000K 3W Part Number]],Lutron_CFlex_Lookup[],MATCH("Lutron Kit PN",Lutron_CFlex_Lookup[#Headers],0),FALSE),"")</f>
        <v>3LD3T8-2M40-q</v>
      </c>
      <c r="AM996" s="1" t="str">
        <f>_xlfn.IFNA(VLOOKUP(Master_Reference[[#This Row],[C-Flex 5000K 3W Part Number]],Lutron_CFlex_Lookup[],MATCH("Lutron Kit PN",Lutron_CFlex_Lookup[#Headers],0),FALSE),"")</f>
        <v>3LD3T8-2M50-q</v>
      </c>
      <c r="AN996" s="1" t="b">
        <f>NOT(ISNA(VLOOKUP(Master_Reference[[#This Row],[Model Number]],ObsoleteModels[],1,FALSE)))</f>
        <v>1</v>
      </c>
      <c r="AO996" s="1" t="str">
        <f>IF(LEFT(Master_Reference[[#This Row],[Model Number]],1)="U",LEFT(Master_Reference[[#This Row],[Model Number]],4),LEFT(Master_Reference[[#This Row],[Model Number]],3))</f>
        <v>UH3D</v>
      </c>
    </row>
    <row r="997" spans="1:41" x14ac:dyDescent="0.25">
      <c r="A997" s="2" t="s">
        <v>1301</v>
      </c>
      <c r="B997" s="1" t="b">
        <v>1</v>
      </c>
      <c r="C997" s="1" t="b">
        <v>1</v>
      </c>
      <c r="G997" s="1" t="str">
        <f>IF(OR(LEFT(RIGHT(Master_Reference[[#This Row],[Model Number]],3),1)="C",LEFT(RIGHT(Master_Reference[[#This Row],[Model Number]],4),1)="C"),TRUE,"")</f>
        <v/>
      </c>
      <c r="H997" s="1" t="b">
        <f>IF(LEFT(Master_Reference[[#This Row],[Model Number]],1)="U",TRUE,"")</f>
        <v>1</v>
      </c>
      <c r="I997" s="1" t="b">
        <f>IF(Master_Reference[[#This Row],[Lamp Type]]="T4","",IF(Master_Reference[[#This Row],[Case Type]]="M","",TRUE))</f>
        <v>1</v>
      </c>
      <c r="J997" s="1" t="s">
        <v>111</v>
      </c>
      <c r="K997" s="1">
        <v>32</v>
      </c>
      <c r="L997" s="1" t="s">
        <v>118</v>
      </c>
      <c r="M997" s="1">
        <v>2</v>
      </c>
      <c r="N997" s="1" t="s">
        <v>149</v>
      </c>
      <c r="O997" s="1" t="s">
        <v>113</v>
      </c>
      <c r="R997" t="b">
        <f>IF(COUNTBLANK(Master_Reference[[#This Row],[C-Flex 3000K Eco Part Number]:[C-Flex 4000K Eco Part Number]])=3,FALSE,TRUE)</f>
        <v>1</v>
      </c>
      <c r="S997" t="b">
        <f>IF(COUNTBLANK(Master_Reference[[#This Row],[C-Flex 3000K 3W Part Number]:[C-Flex 4000K 3W Part Number]])=3,FALSE,TRUE)</f>
        <v>1</v>
      </c>
      <c r="T997" t="b">
        <f>IF(COUNTBLANK(Master_Reference[[#This Row],[Lutron 3000K Eco Part Number]:[Lutron 4000K Eco Part Number]])=3,FALSE,TRUE)</f>
        <v>1</v>
      </c>
      <c r="U997" t="b">
        <f>IF(COUNTBLANK(Master_Reference[[#This Row],[Lutron 3000K 3W Part Number]:[Lutron 4000K 3W Part Number]])=3,FALSE,TRUE)</f>
        <v>1</v>
      </c>
      <c r="V997" s="12" t="s">
        <v>316</v>
      </c>
      <c r="W997" s="12" t="s">
        <v>317</v>
      </c>
      <c r="X997" s="12" t="s">
        <v>318</v>
      </c>
      <c r="Y997" t="s">
        <v>1745</v>
      </c>
      <c r="Z997" s="12" t="s">
        <v>145</v>
      </c>
      <c r="AA997" s="12" t="s">
        <v>146</v>
      </c>
      <c r="AB997" s="12" t="s">
        <v>147</v>
      </c>
      <c r="AC997" t="s">
        <v>1830</v>
      </c>
      <c r="AD997" t="str">
        <f>SUBSTITUTE(Master_Reference[[#This Row],[C-Flex 4000K Eco Part Number]],"40-","xx-")</f>
        <v>RP-T8-4FT-2L-8xx-E1-M-G2</v>
      </c>
      <c r="AE997" t="str">
        <f>SUBSTITUTE(Master_Reference[[#This Row],[C-Flex 4000K 3W Part Number]],"40-","xx-")</f>
        <v>RP-T8-4FT-2L-8xx-3W-M-G2</v>
      </c>
      <c r="AF997" s="1" t="str">
        <f>_xlfn.IFNA(VLOOKUP(Master_Reference[[#This Row],[C-Flex 3000K Eco Part Number]],Lutron_CFlex_Lookup[],MATCH("Lutron Kit PN",Lutron_CFlex_Lookup[#Headers],0),FALSE),"")</f>
        <v>ELD4T8-2M30-q</v>
      </c>
      <c r="AG997" s="1" t="str">
        <f>_xlfn.IFNA(VLOOKUP(Master_Reference[[#This Row],[C-Flex 3500K Eco Part Number]],Lutron_CFlex_Lookup[],MATCH("Lutron Kit PN",Lutron_CFlex_Lookup[#Headers],0),FALSE),"")</f>
        <v>ELD4T8-2M35-q</v>
      </c>
      <c r="AH997" s="1" t="str">
        <f>_xlfn.IFNA(VLOOKUP(Master_Reference[[#This Row],[C-Flex 4000K Eco Part Number]],Lutron_CFlex_Lookup[],MATCH("Lutron Kit PN",Lutron_CFlex_Lookup[#Headers],0),FALSE),"")</f>
        <v>ELD4T8-2M40-q</v>
      </c>
      <c r="AI997" s="1" t="str">
        <f>_xlfn.IFNA(VLOOKUP(Master_Reference[[#This Row],[C-Flex 5000K Eco Part Number]],Lutron_CFlex_Lookup[],MATCH("Lutron Kit PN",Lutron_CFlex_Lookup[#Headers],0),FALSE),"")</f>
        <v>ELD4T8-2M50-q</v>
      </c>
      <c r="AJ997" s="1" t="str">
        <f>_xlfn.IFNA(VLOOKUP(Master_Reference[[#This Row],[C-Flex 3000K 3W Part Number]],Lutron_CFlex_Lookup[],MATCH("Lutron Kit PN",Lutron_CFlex_Lookup[#Headers],0),FALSE),"")</f>
        <v>3LD4T8-2M30-q</v>
      </c>
      <c r="AK997" s="1" t="str">
        <f>_xlfn.IFNA(VLOOKUP(Master_Reference[[#This Row],[C-Flex 3500K 3W Part Number]],Lutron_CFlex_Lookup[],MATCH("Lutron Kit PN",Lutron_CFlex_Lookup[#Headers],0),FALSE),"")</f>
        <v>3LD4T8-2M35-q</v>
      </c>
      <c r="AL997" s="1" t="str">
        <f>_xlfn.IFNA(VLOOKUP(Master_Reference[[#This Row],[C-Flex 4000K 3W Part Number]],Lutron_CFlex_Lookup[],MATCH("Lutron Kit PN",Lutron_CFlex_Lookup[#Headers],0),FALSE),"")</f>
        <v>3LD4T8-2M40-q</v>
      </c>
      <c r="AM997" s="1" t="str">
        <f>_xlfn.IFNA(VLOOKUP(Master_Reference[[#This Row],[C-Flex 5000K 3W Part Number]],Lutron_CFlex_Lookup[],MATCH("Lutron Kit PN",Lutron_CFlex_Lookup[#Headers],0),FALSE),"")</f>
        <v>3LD4T8-2M50-q</v>
      </c>
      <c r="AN997" s="1" t="b">
        <f>NOT(ISNA(VLOOKUP(Master_Reference[[#This Row],[Model Number]],ObsoleteModels[],1,FALSE)))</f>
        <v>1</v>
      </c>
      <c r="AO997" s="1" t="str">
        <f>IF(LEFT(Master_Reference[[#This Row],[Model Number]],1)="U",LEFT(Master_Reference[[#This Row],[Model Number]],4),LEFT(Master_Reference[[#This Row],[Model Number]],3))</f>
        <v>UH3D</v>
      </c>
    </row>
    <row r="998" spans="1:41" x14ac:dyDescent="0.25">
      <c r="A998" s="2" t="s">
        <v>1302</v>
      </c>
      <c r="B998" s="1" t="b">
        <v>1</v>
      </c>
      <c r="C998" s="1" t="b">
        <v>1</v>
      </c>
      <c r="G998" s="1" t="b">
        <v>1</v>
      </c>
      <c r="H998" s="1" t="b">
        <f>IF(LEFT(Master_Reference[[#This Row],[Model Number]],1)="U",TRUE,"")</f>
        <v>1</v>
      </c>
      <c r="I998" s="1" t="b">
        <f>IF(Master_Reference[[#This Row],[Lamp Type]]="T4","",IF(Master_Reference[[#This Row],[Case Type]]="M","",TRUE))</f>
        <v>1</v>
      </c>
      <c r="J998" s="1" t="s">
        <v>111</v>
      </c>
      <c r="K998" s="1">
        <v>32</v>
      </c>
      <c r="L998" s="1" t="s">
        <v>118</v>
      </c>
      <c r="M998" s="1">
        <v>2</v>
      </c>
      <c r="N998" s="1" t="s">
        <v>149</v>
      </c>
      <c r="O998" s="1" t="s">
        <v>113</v>
      </c>
      <c r="R998" t="b">
        <f>IF(COUNTBLANK(Master_Reference[[#This Row],[C-Flex 3000K Eco Part Number]:[C-Flex 4000K Eco Part Number]])=3,FALSE,TRUE)</f>
        <v>1</v>
      </c>
      <c r="S998" t="b">
        <f>IF(COUNTBLANK(Master_Reference[[#This Row],[C-Flex 3000K 3W Part Number]:[C-Flex 4000K 3W Part Number]])=3,FALSE,TRUE)</f>
        <v>1</v>
      </c>
      <c r="T998" t="b">
        <f>IF(COUNTBLANK(Master_Reference[[#This Row],[Lutron 3000K Eco Part Number]:[Lutron 4000K Eco Part Number]])=3,FALSE,TRUE)</f>
        <v>1</v>
      </c>
      <c r="U998" t="b">
        <f>IF(COUNTBLANK(Master_Reference[[#This Row],[Lutron 3000K 3W Part Number]:[Lutron 4000K 3W Part Number]])=3,FALSE,TRUE)</f>
        <v>1</v>
      </c>
      <c r="V998" s="12" t="s">
        <v>316</v>
      </c>
      <c r="W998" s="12" t="s">
        <v>317</v>
      </c>
      <c r="X998" s="12" t="s">
        <v>318</v>
      </c>
      <c r="Y998" t="s">
        <v>1745</v>
      </c>
      <c r="Z998" s="12" t="s">
        <v>145</v>
      </c>
      <c r="AA998" s="12" t="s">
        <v>146</v>
      </c>
      <c r="AB998" s="12" t="s">
        <v>147</v>
      </c>
      <c r="AC998" t="s">
        <v>1830</v>
      </c>
      <c r="AD998" t="str">
        <f>SUBSTITUTE(Master_Reference[[#This Row],[C-Flex 4000K Eco Part Number]],"40-","xx-")</f>
        <v>RP-T8-4FT-2L-8xx-E1-M-G2</v>
      </c>
      <c r="AE998" t="str">
        <f>SUBSTITUTE(Master_Reference[[#This Row],[C-Flex 4000K 3W Part Number]],"40-","xx-")</f>
        <v>RP-T8-4FT-2L-8xx-3W-M-G2</v>
      </c>
      <c r="AF998" s="1" t="str">
        <f>_xlfn.IFNA(VLOOKUP(Master_Reference[[#This Row],[C-Flex 3000K Eco Part Number]],Lutron_CFlex_Lookup[],MATCH("Lutron Kit PN",Lutron_CFlex_Lookup[#Headers],0),FALSE),"")</f>
        <v>ELD4T8-2M30-q</v>
      </c>
      <c r="AG998" s="1" t="str">
        <f>_xlfn.IFNA(VLOOKUP(Master_Reference[[#This Row],[C-Flex 3500K Eco Part Number]],Lutron_CFlex_Lookup[],MATCH("Lutron Kit PN",Lutron_CFlex_Lookup[#Headers],0),FALSE),"")</f>
        <v>ELD4T8-2M35-q</v>
      </c>
      <c r="AH998" s="1" t="str">
        <f>_xlfn.IFNA(VLOOKUP(Master_Reference[[#This Row],[C-Flex 4000K Eco Part Number]],Lutron_CFlex_Lookup[],MATCH("Lutron Kit PN",Lutron_CFlex_Lookup[#Headers],0),FALSE),"")</f>
        <v>ELD4T8-2M40-q</v>
      </c>
      <c r="AI998" s="1" t="str">
        <f>_xlfn.IFNA(VLOOKUP(Master_Reference[[#This Row],[C-Flex 5000K Eco Part Number]],Lutron_CFlex_Lookup[],MATCH("Lutron Kit PN",Lutron_CFlex_Lookup[#Headers],0),FALSE),"")</f>
        <v>ELD4T8-2M50-q</v>
      </c>
      <c r="AJ998" s="1" t="str">
        <f>_xlfn.IFNA(VLOOKUP(Master_Reference[[#This Row],[C-Flex 3000K 3W Part Number]],Lutron_CFlex_Lookup[],MATCH("Lutron Kit PN",Lutron_CFlex_Lookup[#Headers],0),FALSE),"")</f>
        <v>3LD4T8-2M30-q</v>
      </c>
      <c r="AK998" s="1" t="str">
        <f>_xlfn.IFNA(VLOOKUP(Master_Reference[[#This Row],[C-Flex 3500K 3W Part Number]],Lutron_CFlex_Lookup[],MATCH("Lutron Kit PN",Lutron_CFlex_Lookup[#Headers],0),FALSE),"")</f>
        <v>3LD4T8-2M35-q</v>
      </c>
      <c r="AL998" s="1" t="str">
        <f>_xlfn.IFNA(VLOOKUP(Master_Reference[[#This Row],[C-Flex 4000K 3W Part Number]],Lutron_CFlex_Lookup[],MATCH("Lutron Kit PN",Lutron_CFlex_Lookup[#Headers],0),FALSE),"")</f>
        <v>3LD4T8-2M40-q</v>
      </c>
      <c r="AM998" s="1" t="str">
        <f>_xlfn.IFNA(VLOOKUP(Master_Reference[[#This Row],[C-Flex 5000K 3W Part Number]],Lutron_CFlex_Lookup[],MATCH("Lutron Kit PN",Lutron_CFlex_Lookup[#Headers],0),FALSE),"")</f>
        <v>3LD4T8-2M50-q</v>
      </c>
      <c r="AN998" s="1" t="b">
        <f>NOT(ISNA(VLOOKUP(Master_Reference[[#This Row],[Model Number]],ObsoleteModels[],1,FALSE)))</f>
        <v>1</v>
      </c>
      <c r="AO998" s="1" t="str">
        <f>IF(LEFT(Master_Reference[[#This Row],[Model Number]],1)="U",LEFT(Master_Reference[[#This Row],[Model Number]],4),LEFT(Master_Reference[[#This Row],[Model Number]],3))</f>
        <v>UH3D</v>
      </c>
    </row>
    <row r="999" spans="1:41" x14ac:dyDescent="0.25">
      <c r="A999" s="2" t="s">
        <v>1303</v>
      </c>
      <c r="B999" s="1" t="b">
        <v>1</v>
      </c>
      <c r="C999" s="1" t="b">
        <v>1</v>
      </c>
      <c r="G999" s="1" t="str">
        <f>IF(OR(LEFT(RIGHT(Master_Reference[[#This Row],[Model Number]],3),1)="C",LEFT(RIGHT(Master_Reference[[#This Row],[Model Number]],4),1)="C"),TRUE,"")</f>
        <v/>
      </c>
      <c r="H999" s="1" t="b">
        <f>IF(LEFT(Master_Reference[[#This Row],[Model Number]],1)="U",TRUE,"")</f>
        <v>1</v>
      </c>
      <c r="I999" s="1" t="b">
        <f>IF(Master_Reference[[#This Row],[Lamp Type]]="T4","",IF(Master_Reference[[#This Row],[Case Type]]="M","",TRUE))</f>
        <v>1</v>
      </c>
      <c r="J999" s="1" t="s">
        <v>111</v>
      </c>
      <c r="K999" s="1">
        <v>32</v>
      </c>
      <c r="L999" s="1" t="s">
        <v>118</v>
      </c>
      <c r="M999" s="1">
        <v>1</v>
      </c>
      <c r="N999" s="1" t="s">
        <v>149</v>
      </c>
      <c r="O999" s="1" t="s">
        <v>217</v>
      </c>
      <c r="R999" t="b">
        <f>IF(COUNTBLANK(Master_Reference[[#This Row],[C-Flex 3000K Eco Part Number]:[C-Flex 4000K Eco Part Number]])=3,FALSE,TRUE)</f>
        <v>1</v>
      </c>
      <c r="S999" t="b">
        <f>IF(COUNTBLANK(Master_Reference[[#This Row],[C-Flex 3000K 3W Part Number]:[C-Flex 4000K 3W Part Number]])=3,FALSE,TRUE)</f>
        <v>1</v>
      </c>
      <c r="T999" t="b">
        <f>IF(COUNTBLANK(Master_Reference[[#This Row],[Lutron 3000K Eco Part Number]:[Lutron 4000K Eco Part Number]])=3,FALSE,TRUE)</f>
        <v>1</v>
      </c>
      <c r="U999" t="b">
        <f>IF(COUNTBLANK(Master_Reference[[#This Row],[Lutron 3000K 3W Part Number]:[Lutron 4000K 3W Part Number]])=3,FALSE,TRUE)</f>
        <v>1</v>
      </c>
      <c r="V999" s="12" t="s">
        <v>312</v>
      </c>
      <c r="W999" s="12" t="s">
        <v>313</v>
      </c>
      <c r="X999" s="12" t="s">
        <v>314</v>
      </c>
      <c r="Y999" t="s">
        <v>1744</v>
      </c>
      <c r="Z999" s="12" t="s">
        <v>264</v>
      </c>
      <c r="AA999" s="12" t="s">
        <v>265</v>
      </c>
      <c r="AB999" s="12" t="s">
        <v>266</v>
      </c>
      <c r="AC999" t="s">
        <v>1829</v>
      </c>
      <c r="AD999" t="str">
        <f>SUBSTITUTE(Master_Reference[[#This Row],[C-Flex 4000K Eco Part Number]],"40-","xx-")</f>
        <v>RP-T8-4FT-1L-8xx-E1-M-G2</v>
      </c>
      <c r="AE999" t="str">
        <f>SUBSTITUTE(Master_Reference[[#This Row],[C-Flex 4000K 3W Part Number]],"40-","xx-")</f>
        <v>RP-T8-4FT-1L-8xx-3W-M-G2</v>
      </c>
      <c r="AF999" s="1" t="str">
        <f>_xlfn.IFNA(VLOOKUP(Master_Reference[[#This Row],[C-Flex 3000K Eco Part Number]],Lutron_CFlex_Lookup[],MATCH("Lutron Kit PN",Lutron_CFlex_Lookup[#Headers],0),FALSE),"")</f>
        <v>ELD4T8-1M30-q</v>
      </c>
      <c r="AG999" s="1" t="str">
        <f>_xlfn.IFNA(VLOOKUP(Master_Reference[[#This Row],[C-Flex 3500K Eco Part Number]],Lutron_CFlex_Lookup[],MATCH("Lutron Kit PN",Lutron_CFlex_Lookup[#Headers],0),FALSE),"")</f>
        <v>ELD4T8-1M35-q</v>
      </c>
      <c r="AH999" s="1" t="str">
        <f>_xlfn.IFNA(VLOOKUP(Master_Reference[[#This Row],[C-Flex 4000K Eco Part Number]],Lutron_CFlex_Lookup[],MATCH("Lutron Kit PN",Lutron_CFlex_Lookup[#Headers],0),FALSE),"")</f>
        <v>ELD4T8-1M40-q</v>
      </c>
      <c r="AI999" s="1" t="str">
        <f>_xlfn.IFNA(VLOOKUP(Master_Reference[[#This Row],[C-Flex 5000K Eco Part Number]],Lutron_CFlex_Lookup[],MATCH("Lutron Kit PN",Lutron_CFlex_Lookup[#Headers],0),FALSE),"")</f>
        <v>ELD4T8-1M50-q</v>
      </c>
      <c r="AJ999" s="1" t="str">
        <f>_xlfn.IFNA(VLOOKUP(Master_Reference[[#This Row],[C-Flex 3000K 3W Part Number]],Lutron_CFlex_Lookup[],MATCH("Lutron Kit PN",Lutron_CFlex_Lookup[#Headers],0),FALSE),"")</f>
        <v>3LD4T8-1M30-q</v>
      </c>
      <c r="AK999" s="1" t="str">
        <f>_xlfn.IFNA(VLOOKUP(Master_Reference[[#This Row],[C-Flex 3500K 3W Part Number]],Lutron_CFlex_Lookup[],MATCH("Lutron Kit PN",Lutron_CFlex_Lookup[#Headers],0),FALSE),"")</f>
        <v>3LD4T8-1M35-q</v>
      </c>
      <c r="AL999" s="1" t="str">
        <f>_xlfn.IFNA(VLOOKUP(Master_Reference[[#This Row],[C-Flex 4000K 3W Part Number]],Lutron_CFlex_Lookup[],MATCH("Lutron Kit PN",Lutron_CFlex_Lookup[#Headers],0),FALSE),"")</f>
        <v>3LD4T8-1M40-q</v>
      </c>
      <c r="AM999" s="1" t="str">
        <f>_xlfn.IFNA(VLOOKUP(Master_Reference[[#This Row],[C-Flex 5000K 3W Part Number]],Lutron_CFlex_Lookup[],MATCH("Lutron Kit PN",Lutron_CFlex_Lookup[#Headers],0),FALSE),"")</f>
        <v>3LD4T8-1M50-q</v>
      </c>
      <c r="AN999" s="1" t="b">
        <f>NOT(ISNA(VLOOKUP(Master_Reference[[#This Row],[Model Number]],ObsoleteModels[],1,FALSE)))</f>
        <v>1</v>
      </c>
      <c r="AO999" s="1" t="str">
        <f>IF(LEFT(Master_Reference[[#This Row],[Model Number]],1)="U",LEFT(Master_Reference[[#This Row],[Model Number]],4),LEFT(Master_Reference[[#This Row],[Model Number]],3))</f>
        <v>UH3D</v>
      </c>
    </row>
    <row r="1000" spans="1:41" x14ac:dyDescent="0.25">
      <c r="A1000" s="2" t="s">
        <v>1304</v>
      </c>
      <c r="B1000" s="1" t="b">
        <v>1</v>
      </c>
      <c r="C1000" s="1" t="b">
        <v>1</v>
      </c>
      <c r="G1000" s="1" t="str">
        <f>IF(OR(LEFT(RIGHT(Master_Reference[[#This Row],[Model Number]],3),1)="C",LEFT(RIGHT(Master_Reference[[#This Row],[Model Number]],4),1)="C"),TRUE,"")</f>
        <v/>
      </c>
      <c r="H1000" s="1" t="b">
        <f>IF(LEFT(Master_Reference[[#This Row],[Model Number]],1)="U",TRUE,"")</f>
        <v>1</v>
      </c>
      <c r="I1000" s="1" t="b">
        <f>IF(Master_Reference[[#This Row],[Lamp Type]]="T4","",IF(Master_Reference[[#This Row],[Case Type]]="M","",TRUE))</f>
        <v>1</v>
      </c>
      <c r="J1000" s="1" t="s">
        <v>111</v>
      </c>
      <c r="K1000" s="1">
        <v>32</v>
      </c>
      <c r="L1000" s="1" t="s">
        <v>118</v>
      </c>
      <c r="M1000" s="1">
        <v>2</v>
      </c>
      <c r="N1000" s="1" t="s">
        <v>149</v>
      </c>
      <c r="O1000" s="1" t="s">
        <v>217</v>
      </c>
      <c r="R1000" t="b">
        <f>IF(COUNTBLANK(Master_Reference[[#This Row],[C-Flex 3000K Eco Part Number]:[C-Flex 4000K Eco Part Number]])=3,FALSE,TRUE)</f>
        <v>1</v>
      </c>
      <c r="S1000" t="b">
        <f>IF(COUNTBLANK(Master_Reference[[#This Row],[C-Flex 3000K 3W Part Number]:[C-Flex 4000K 3W Part Number]])=3,FALSE,TRUE)</f>
        <v>1</v>
      </c>
      <c r="T1000" t="b">
        <f>IF(COUNTBLANK(Master_Reference[[#This Row],[Lutron 3000K Eco Part Number]:[Lutron 4000K Eco Part Number]])=3,FALSE,TRUE)</f>
        <v>1</v>
      </c>
      <c r="U1000" t="b">
        <f>IF(COUNTBLANK(Master_Reference[[#This Row],[Lutron 3000K 3W Part Number]:[Lutron 4000K 3W Part Number]])=3,FALSE,TRUE)</f>
        <v>1</v>
      </c>
      <c r="V1000" s="12" t="s">
        <v>316</v>
      </c>
      <c r="W1000" s="12" t="s">
        <v>317</v>
      </c>
      <c r="X1000" s="12" t="s">
        <v>318</v>
      </c>
      <c r="Y1000" t="s">
        <v>1745</v>
      </c>
      <c r="Z1000" s="12" t="s">
        <v>145</v>
      </c>
      <c r="AA1000" s="12" t="s">
        <v>146</v>
      </c>
      <c r="AB1000" s="12" t="s">
        <v>147</v>
      </c>
      <c r="AC1000" t="s">
        <v>1830</v>
      </c>
      <c r="AD1000" t="str">
        <f>SUBSTITUTE(Master_Reference[[#This Row],[C-Flex 4000K Eco Part Number]],"40-","xx-")</f>
        <v>RP-T8-4FT-2L-8xx-E1-M-G2</v>
      </c>
      <c r="AE1000" t="str">
        <f>SUBSTITUTE(Master_Reference[[#This Row],[C-Flex 4000K 3W Part Number]],"40-","xx-")</f>
        <v>RP-T8-4FT-2L-8xx-3W-M-G2</v>
      </c>
      <c r="AF1000" s="1" t="str">
        <f>_xlfn.IFNA(VLOOKUP(Master_Reference[[#This Row],[C-Flex 3000K Eco Part Number]],Lutron_CFlex_Lookup[],MATCH("Lutron Kit PN",Lutron_CFlex_Lookup[#Headers],0),FALSE),"")</f>
        <v>ELD4T8-2M30-q</v>
      </c>
      <c r="AG1000" s="1" t="str">
        <f>_xlfn.IFNA(VLOOKUP(Master_Reference[[#This Row],[C-Flex 3500K Eco Part Number]],Lutron_CFlex_Lookup[],MATCH("Lutron Kit PN",Lutron_CFlex_Lookup[#Headers],0),FALSE),"")</f>
        <v>ELD4T8-2M35-q</v>
      </c>
      <c r="AH1000" s="1" t="str">
        <f>_xlfn.IFNA(VLOOKUP(Master_Reference[[#This Row],[C-Flex 4000K Eco Part Number]],Lutron_CFlex_Lookup[],MATCH("Lutron Kit PN",Lutron_CFlex_Lookup[#Headers],0),FALSE),"")</f>
        <v>ELD4T8-2M40-q</v>
      </c>
      <c r="AI1000" s="1" t="str">
        <f>_xlfn.IFNA(VLOOKUP(Master_Reference[[#This Row],[C-Flex 5000K Eco Part Number]],Lutron_CFlex_Lookup[],MATCH("Lutron Kit PN",Lutron_CFlex_Lookup[#Headers],0),FALSE),"")</f>
        <v>ELD4T8-2M50-q</v>
      </c>
      <c r="AJ1000" s="1" t="str">
        <f>_xlfn.IFNA(VLOOKUP(Master_Reference[[#This Row],[C-Flex 3000K 3W Part Number]],Lutron_CFlex_Lookup[],MATCH("Lutron Kit PN",Lutron_CFlex_Lookup[#Headers],0),FALSE),"")</f>
        <v>3LD4T8-2M30-q</v>
      </c>
      <c r="AK1000" s="1" t="str">
        <f>_xlfn.IFNA(VLOOKUP(Master_Reference[[#This Row],[C-Flex 3500K 3W Part Number]],Lutron_CFlex_Lookup[],MATCH("Lutron Kit PN",Lutron_CFlex_Lookup[#Headers],0),FALSE),"")</f>
        <v>3LD4T8-2M35-q</v>
      </c>
      <c r="AL1000" s="1" t="str">
        <f>_xlfn.IFNA(VLOOKUP(Master_Reference[[#This Row],[C-Flex 4000K 3W Part Number]],Lutron_CFlex_Lookup[],MATCH("Lutron Kit PN",Lutron_CFlex_Lookup[#Headers],0),FALSE),"")</f>
        <v>3LD4T8-2M40-q</v>
      </c>
      <c r="AM1000" s="1" t="str">
        <f>_xlfn.IFNA(VLOOKUP(Master_Reference[[#This Row],[C-Flex 5000K 3W Part Number]],Lutron_CFlex_Lookup[],MATCH("Lutron Kit PN",Lutron_CFlex_Lookup[#Headers],0),FALSE),"")</f>
        <v>3LD4T8-2M50-q</v>
      </c>
      <c r="AN1000" s="1" t="b">
        <f>NOT(ISNA(VLOOKUP(Master_Reference[[#This Row],[Model Number]],ObsoleteModels[],1,FALSE)))</f>
        <v>1</v>
      </c>
      <c r="AO1000" s="1" t="str">
        <f>IF(LEFT(Master_Reference[[#This Row],[Model Number]],1)="U",LEFT(Master_Reference[[#This Row],[Model Number]],4),LEFT(Master_Reference[[#This Row],[Model Number]],3))</f>
        <v>UH3D</v>
      </c>
    </row>
    <row r="1001" spans="1:41" x14ac:dyDescent="0.25">
      <c r="A1001" s="2" t="s">
        <v>1305</v>
      </c>
      <c r="B1001" s="1" t="b">
        <v>1</v>
      </c>
      <c r="C1001" s="1" t="b">
        <v>1</v>
      </c>
      <c r="G1001" s="1" t="str">
        <f>IF(OR(LEFT(RIGHT(Master_Reference[[#This Row],[Model Number]],3),1)="C",LEFT(RIGHT(Master_Reference[[#This Row],[Model Number]],4),1)="C"),TRUE,"")</f>
        <v/>
      </c>
      <c r="H1001" s="1" t="b">
        <f>IF(LEFT(Master_Reference[[#This Row],[Model Number]],1)="U",TRUE,"")</f>
        <v>1</v>
      </c>
      <c r="I1001" s="1" t="b">
        <f>IF(Master_Reference[[#This Row],[Lamp Type]]="T4","",IF(Master_Reference[[#This Row],[Case Type]]="M","",TRUE))</f>
        <v>1</v>
      </c>
      <c r="J1001" s="1" t="s">
        <v>111</v>
      </c>
      <c r="K1001" s="1">
        <v>32</v>
      </c>
      <c r="L1001" s="1" t="s">
        <v>118</v>
      </c>
      <c r="M1001" s="1">
        <v>3</v>
      </c>
      <c r="N1001" s="1" t="s">
        <v>149</v>
      </c>
      <c r="O1001" s="1" t="s">
        <v>217</v>
      </c>
      <c r="R1001" t="b">
        <f>IF(COUNTBLANK(Master_Reference[[#This Row],[C-Flex 3000K Eco Part Number]:[C-Flex 4000K Eco Part Number]])=3,FALSE,TRUE)</f>
        <v>1</v>
      </c>
      <c r="S1001" t="b">
        <f>IF(COUNTBLANK(Master_Reference[[#This Row],[C-Flex 3000K 3W Part Number]:[C-Flex 4000K 3W Part Number]])=3,FALSE,TRUE)</f>
        <v>1</v>
      </c>
      <c r="T1001" t="b">
        <f>IF(COUNTBLANK(Master_Reference[[#This Row],[Lutron 3000K Eco Part Number]:[Lutron 4000K Eco Part Number]])=3,FALSE,TRUE)</f>
        <v>1</v>
      </c>
      <c r="U1001" t="b">
        <f>IF(COUNTBLANK(Master_Reference[[#This Row],[Lutron 3000K 3W Part Number]:[Lutron 4000K 3W Part Number]])=3,FALSE,TRUE)</f>
        <v>1</v>
      </c>
      <c r="V1001" s="12" t="s">
        <v>495</v>
      </c>
      <c r="W1001" s="12" t="s">
        <v>496</v>
      </c>
      <c r="X1001" s="12" t="s">
        <v>497</v>
      </c>
      <c r="Y1001" t="s">
        <v>1746</v>
      </c>
      <c r="Z1001" s="12" t="s">
        <v>277</v>
      </c>
      <c r="AA1001" s="12" t="s">
        <v>278</v>
      </c>
      <c r="AB1001" s="12" t="s">
        <v>279</v>
      </c>
      <c r="AC1001" t="s">
        <v>1831</v>
      </c>
      <c r="AD1001" t="str">
        <f>SUBSTITUTE(Master_Reference[[#This Row],[C-Flex 4000K Eco Part Number]],"40-","xx-")</f>
        <v>RP-T8-4FT-3L-8xx-E1-M-G2</v>
      </c>
      <c r="AE1001" t="str">
        <f>SUBSTITUTE(Master_Reference[[#This Row],[C-Flex 4000K 3W Part Number]],"40-","xx-")</f>
        <v>RP-T8-4FT-3L-8xx-3W-M-G2</v>
      </c>
      <c r="AF1001" s="1" t="str">
        <f>_xlfn.IFNA(VLOOKUP(Master_Reference[[#This Row],[C-Flex 3000K Eco Part Number]],Lutron_CFlex_Lookup[],MATCH("Lutron Kit PN",Lutron_CFlex_Lookup[#Headers],0),FALSE),"")</f>
        <v>ELD4T8-3M30-q</v>
      </c>
      <c r="AG1001" s="1" t="str">
        <f>_xlfn.IFNA(VLOOKUP(Master_Reference[[#This Row],[C-Flex 3500K Eco Part Number]],Lutron_CFlex_Lookup[],MATCH("Lutron Kit PN",Lutron_CFlex_Lookup[#Headers],0),FALSE),"")</f>
        <v>ELD4T8-3M35-q</v>
      </c>
      <c r="AH1001" s="1" t="str">
        <f>_xlfn.IFNA(VLOOKUP(Master_Reference[[#This Row],[C-Flex 4000K Eco Part Number]],Lutron_CFlex_Lookup[],MATCH("Lutron Kit PN",Lutron_CFlex_Lookup[#Headers],0),FALSE),"")</f>
        <v>ELD4T8-3M40-q</v>
      </c>
      <c r="AI1001" s="1" t="str">
        <f>_xlfn.IFNA(VLOOKUP(Master_Reference[[#This Row],[C-Flex 5000K Eco Part Number]],Lutron_CFlex_Lookup[],MATCH("Lutron Kit PN",Lutron_CFlex_Lookup[#Headers],0),FALSE),"")</f>
        <v>ELD4T8-3M50-q</v>
      </c>
      <c r="AJ1001" s="1" t="str">
        <f>_xlfn.IFNA(VLOOKUP(Master_Reference[[#This Row],[C-Flex 3000K 3W Part Number]],Lutron_CFlex_Lookup[],MATCH("Lutron Kit PN",Lutron_CFlex_Lookup[#Headers],0),FALSE),"")</f>
        <v>3LD4T8-3M30-q</v>
      </c>
      <c r="AK1001" s="1" t="str">
        <f>_xlfn.IFNA(VLOOKUP(Master_Reference[[#This Row],[C-Flex 3500K 3W Part Number]],Lutron_CFlex_Lookup[],MATCH("Lutron Kit PN",Lutron_CFlex_Lookup[#Headers],0),FALSE),"")</f>
        <v>3LD4T8-3M35-q</v>
      </c>
      <c r="AL1001" s="1" t="str">
        <f>_xlfn.IFNA(VLOOKUP(Master_Reference[[#This Row],[C-Flex 4000K 3W Part Number]],Lutron_CFlex_Lookup[],MATCH("Lutron Kit PN",Lutron_CFlex_Lookup[#Headers],0),FALSE),"")</f>
        <v>3LD4T8-3M40-q</v>
      </c>
      <c r="AM1001" s="1" t="str">
        <f>_xlfn.IFNA(VLOOKUP(Master_Reference[[#This Row],[C-Flex 5000K 3W Part Number]],Lutron_CFlex_Lookup[],MATCH("Lutron Kit PN",Lutron_CFlex_Lookup[#Headers],0),FALSE),"")</f>
        <v>3LD4T8-3M50-q</v>
      </c>
      <c r="AN1001" s="1" t="b">
        <f>NOT(ISNA(VLOOKUP(Master_Reference[[#This Row],[Model Number]],ObsoleteModels[],1,FALSE)))</f>
        <v>1</v>
      </c>
      <c r="AO1001" s="1" t="str">
        <f>IF(LEFT(Master_Reference[[#This Row],[Model Number]],1)="U",LEFT(Master_Reference[[#This Row],[Model Number]],4),LEFT(Master_Reference[[#This Row],[Model Number]],3))</f>
        <v>UH3D</v>
      </c>
    </row>
    <row r="1002" spans="1:41" x14ac:dyDescent="0.25">
      <c r="A1002" s="2" t="s">
        <v>1306</v>
      </c>
      <c r="B1002" s="1" t="b">
        <v>1</v>
      </c>
      <c r="C1002" s="1" t="b">
        <v>1</v>
      </c>
      <c r="G1002" s="1" t="b">
        <v>1</v>
      </c>
      <c r="H1002" s="1" t="b">
        <f>IF(LEFT(Master_Reference[[#This Row],[Model Number]],1)="U",TRUE,"")</f>
        <v>1</v>
      </c>
      <c r="I1002" s="1" t="b">
        <f>IF(Master_Reference[[#This Row],[Lamp Type]]="T4","",IF(Master_Reference[[#This Row],[Case Type]]="M","",TRUE))</f>
        <v>1</v>
      </c>
      <c r="J1002" s="1" t="s">
        <v>111</v>
      </c>
      <c r="K1002" s="1">
        <v>32</v>
      </c>
      <c r="L1002" s="1" t="s">
        <v>118</v>
      </c>
      <c r="M1002" s="1">
        <v>3</v>
      </c>
      <c r="N1002" s="1" t="s">
        <v>149</v>
      </c>
      <c r="O1002" s="1" t="s">
        <v>217</v>
      </c>
      <c r="R1002" t="b">
        <f>IF(COUNTBLANK(Master_Reference[[#This Row],[C-Flex 3000K Eco Part Number]:[C-Flex 4000K Eco Part Number]])=3,FALSE,TRUE)</f>
        <v>1</v>
      </c>
      <c r="S1002" t="b">
        <f>IF(COUNTBLANK(Master_Reference[[#This Row],[C-Flex 3000K 3W Part Number]:[C-Flex 4000K 3W Part Number]])=3,FALSE,TRUE)</f>
        <v>1</v>
      </c>
      <c r="T1002" t="b">
        <f>IF(COUNTBLANK(Master_Reference[[#This Row],[Lutron 3000K Eco Part Number]:[Lutron 4000K Eco Part Number]])=3,FALSE,TRUE)</f>
        <v>1</v>
      </c>
      <c r="U1002" t="b">
        <f>IF(COUNTBLANK(Master_Reference[[#This Row],[Lutron 3000K 3W Part Number]:[Lutron 4000K 3W Part Number]])=3,FALSE,TRUE)</f>
        <v>1</v>
      </c>
      <c r="V1002" s="12" t="s">
        <v>495</v>
      </c>
      <c r="W1002" s="12" t="s">
        <v>496</v>
      </c>
      <c r="X1002" s="12" t="s">
        <v>497</v>
      </c>
      <c r="Y1002" t="s">
        <v>1746</v>
      </c>
      <c r="Z1002" s="12" t="s">
        <v>277</v>
      </c>
      <c r="AA1002" s="12" t="s">
        <v>278</v>
      </c>
      <c r="AB1002" s="12" t="s">
        <v>279</v>
      </c>
      <c r="AC1002" t="s">
        <v>1831</v>
      </c>
      <c r="AD1002" t="str">
        <f>SUBSTITUTE(Master_Reference[[#This Row],[C-Flex 4000K Eco Part Number]],"40-","xx-")</f>
        <v>RP-T8-4FT-3L-8xx-E1-M-G2</v>
      </c>
      <c r="AE1002" t="str">
        <f>SUBSTITUTE(Master_Reference[[#This Row],[C-Flex 4000K 3W Part Number]],"40-","xx-")</f>
        <v>RP-T8-4FT-3L-8xx-3W-M-G2</v>
      </c>
      <c r="AF1002" s="1" t="str">
        <f>_xlfn.IFNA(VLOOKUP(Master_Reference[[#This Row],[C-Flex 3000K Eco Part Number]],Lutron_CFlex_Lookup[],MATCH("Lutron Kit PN",Lutron_CFlex_Lookup[#Headers],0),FALSE),"")</f>
        <v>ELD4T8-3M30-q</v>
      </c>
      <c r="AG1002" s="1" t="str">
        <f>_xlfn.IFNA(VLOOKUP(Master_Reference[[#This Row],[C-Flex 3500K Eco Part Number]],Lutron_CFlex_Lookup[],MATCH("Lutron Kit PN",Lutron_CFlex_Lookup[#Headers],0),FALSE),"")</f>
        <v>ELD4T8-3M35-q</v>
      </c>
      <c r="AH1002" s="1" t="str">
        <f>_xlfn.IFNA(VLOOKUP(Master_Reference[[#This Row],[C-Flex 4000K Eco Part Number]],Lutron_CFlex_Lookup[],MATCH("Lutron Kit PN",Lutron_CFlex_Lookup[#Headers],0),FALSE),"")</f>
        <v>ELD4T8-3M40-q</v>
      </c>
      <c r="AI1002" s="1" t="str">
        <f>_xlfn.IFNA(VLOOKUP(Master_Reference[[#This Row],[C-Flex 5000K Eco Part Number]],Lutron_CFlex_Lookup[],MATCH("Lutron Kit PN",Lutron_CFlex_Lookup[#Headers],0),FALSE),"")</f>
        <v>ELD4T8-3M50-q</v>
      </c>
      <c r="AJ1002" s="1" t="str">
        <f>_xlfn.IFNA(VLOOKUP(Master_Reference[[#This Row],[C-Flex 3000K 3W Part Number]],Lutron_CFlex_Lookup[],MATCH("Lutron Kit PN",Lutron_CFlex_Lookup[#Headers],0),FALSE),"")</f>
        <v>3LD4T8-3M30-q</v>
      </c>
      <c r="AK1002" s="1" t="str">
        <f>_xlfn.IFNA(VLOOKUP(Master_Reference[[#This Row],[C-Flex 3500K 3W Part Number]],Lutron_CFlex_Lookup[],MATCH("Lutron Kit PN",Lutron_CFlex_Lookup[#Headers],0),FALSE),"")</f>
        <v>3LD4T8-3M35-q</v>
      </c>
      <c r="AL1002" s="1" t="str">
        <f>_xlfn.IFNA(VLOOKUP(Master_Reference[[#This Row],[C-Flex 4000K 3W Part Number]],Lutron_CFlex_Lookup[],MATCH("Lutron Kit PN",Lutron_CFlex_Lookup[#Headers],0),FALSE),"")</f>
        <v>3LD4T8-3M40-q</v>
      </c>
      <c r="AM1002" s="1" t="str">
        <f>_xlfn.IFNA(VLOOKUP(Master_Reference[[#This Row],[C-Flex 5000K 3W Part Number]],Lutron_CFlex_Lookup[],MATCH("Lutron Kit PN",Lutron_CFlex_Lookup[#Headers],0),FALSE),"")</f>
        <v>3LD4T8-3M50-q</v>
      </c>
      <c r="AN1002" s="1" t="b">
        <f>NOT(ISNA(VLOOKUP(Master_Reference[[#This Row],[Model Number]],ObsoleteModels[],1,FALSE)))</f>
        <v>1</v>
      </c>
      <c r="AO1002" s="1" t="str">
        <f>IF(LEFT(Master_Reference[[#This Row],[Model Number]],1)="U",LEFT(Master_Reference[[#This Row],[Model Number]],4),LEFT(Master_Reference[[#This Row],[Model Number]],3))</f>
        <v>UH3D</v>
      </c>
    </row>
    <row r="1003" spans="1:41" x14ac:dyDescent="0.25">
      <c r="A1003" s="2" t="s">
        <v>1307</v>
      </c>
      <c r="B1003" s="1"/>
      <c r="C1003" s="1" t="b">
        <v>1</v>
      </c>
      <c r="G1003" s="1" t="str">
        <f>IF(OR(LEFT(RIGHT(Master_Reference[[#This Row],[Model Number]],3),1)="C",LEFT(RIGHT(Master_Reference[[#This Row],[Model Number]],4),1)="C"),TRUE,"")</f>
        <v/>
      </c>
      <c r="H1003" s="1" t="b">
        <f>IF(LEFT(Master_Reference[[#This Row],[Model Number]],1)="U",TRUE,"")</f>
        <v>1</v>
      </c>
      <c r="I1003" s="1" t="str">
        <f>IF(Master_Reference[[#This Row],[Lamp Type]]="T4","",IF(Master_Reference[[#This Row],[Case Type]]="M","",TRUE))</f>
        <v/>
      </c>
      <c r="J1003" s="1" t="s">
        <v>87</v>
      </c>
      <c r="K1003" s="1">
        <v>32</v>
      </c>
      <c r="L1003" s="1" t="s">
        <v>88</v>
      </c>
      <c r="M1003" s="1">
        <v>1</v>
      </c>
      <c r="N1003" s="1">
        <v>120</v>
      </c>
      <c r="O1003" s="1" t="s">
        <v>89</v>
      </c>
      <c r="R1003" t="b">
        <f>IF(COUNTBLANK(Master_Reference[[#This Row],[C-Flex 3000K Eco Part Number]:[C-Flex 4000K Eco Part Number]])=3,FALSE,TRUE)</f>
        <v>0</v>
      </c>
      <c r="S1003" t="b">
        <f>IF(COUNTBLANK(Master_Reference[[#This Row],[C-Flex 3000K 3W Part Number]:[C-Flex 4000K 3W Part Number]])=3,FALSE,TRUE)</f>
        <v>1</v>
      </c>
      <c r="T1003" t="b">
        <f>IF(COUNTBLANK(Master_Reference[[#This Row],[Lutron 3000K Eco Part Number]:[Lutron 4000K Eco Part Number]])=3,FALSE,TRUE)</f>
        <v>0</v>
      </c>
      <c r="U1003" t="b">
        <f>IF(COUNTBLANK(Master_Reference[[#This Row],[Lutron 3000K 3W Part Number]:[Lutron 4000K 3W Part Number]])=3,FALSE,TRUE)</f>
        <v>0</v>
      </c>
      <c r="V1003" s="12"/>
      <c r="W1003" s="12"/>
      <c r="X1003" s="12"/>
      <c r="Y1003" t="s">
        <v>2125</v>
      </c>
      <c r="Z1003" s="12" t="s">
        <v>948</v>
      </c>
      <c r="AA1003" s="12" t="s">
        <v>949</v>
      </c>
      <c r="AB1003" s="12" t="s">
        <v>950</v>
      </c>
      <c r="AC1003" t="s">
        <v>2125</v>
      </c>
      <c r="AD1003" t="str">
        <f>SUBSTITUTE(Master_Reference[[#This Row],[C-Flex 4000K Eco Part Number]],"40-","xx-")</f>
        <v/>
      </c>
      <c r="AE1003" t="str">
        <f>SUBSTITUTE(Master_Reference[[#This Row],[C-Flex 4000K 3W Part Number]],"40-","xx-")</f>
        <v>RP-G24Q-132m-1L-8xx-3W-K-G2</v>
      </c>
      <c r="AF1003" s="1" t="str">
        <f>_xlfn.IFNA(VLOOKUP(Master_Reference[[#This Row],[C-Flex 3000K Eco Part Number]],Lutron_CFlex_Lookup[],MATCH("Lutron Kit PN",Lutron_CFlex_Lookup[#Headers],0),FALSE),"")</f>
        <v/>
      </c>
      <c r="AG1003" s="1" t="str">
        <f>_xlfn.IFNA(VLOOKUP(Master_Reference[[#This Row],[C-Flex 3500K Eco Part Number]],Lutron_CFlex_Lookup[],MATCH("Lutron Kit PN",Lutron_CFlex_Lookup[#Headers],0),FALSE),"")</f>
        <v/>
      </c>
      <c r="AH1003" s="1" t="str">
        <f>_xlfn.IFNA(VLOOKUP(Master_Reference[[#This Row],[C-Flex 4000K Eco Part Number]],Lutron_CFlex_Lookup[],MATCH("Lutron Kit PN",Lutron_CFlex_Lookup[#Headers],0),FALSE),"")</f>
        <v/>
      </c>
      <c r="AI1003" s="1" t="str">
        <f>_xlfn.IFNA(VLOOKUP(Master_Reference[[#This Row],[C-Flex 5000K Eco Part Number]],Lutron_CFlex_Lookup[],MATCH("Lutron Kit PN",Lutron_CFlex_Lookup[#Headers],0),FALSE),"")</f>
        <v/>
      </c>
      <c r="AJ1003" s="1" t="str">
        <f>_xlfn.IFNA(VLOOKUP(Master_Reference[[#This Row],[C-Flex 3000K 3W Part Number]],Lutron_CFlex_Lookup[],MATCH("Lutron Kit PN",Lutron_CFlex_Lookup[#Headers],0),FALSE),"")</f>
        <v/>
      </c>
      <c r="AK1003" s="1" t="str">
        <f>_xlfn.IFNA(VLOOKUP(Master_Reference[[#This Row],[C-Flex 3500K 3W Part Number]],Lutron_CFlex_Lookup[],MATCH("Lutron Kit PN",Lutron_CFlex_Lookup[#Headers],0),FALSE),"")</f>
        <v/>
      </c>
      <c r="AL1003" s="1" t="str">
        <f>_xlfn.IFNA(VLOOKUP(Master_Reference[[#This Row],[C-Flex 4000K 3W Part Number]],Lutron_CFlex_Lookup[],MATCH("Lutron Kit PN",Lutron_CFlex_Lookup[#Headers],0),FALSE),"")</f>
        <v/>
      </c>
      <c r="AM1003" s="1" t="str">
        <f>_xlfn.IFNA(VLOOKUP(Master_Reference[[#This Row],[C-Flex 5000K 3W Part Number]],Lutron_CFlex_Lookup[],MATCH("Lutron Kit PN",Lutron_CFlex_Lookup[#Headers],0),FALSE),"")</f>
        <v/>
      </c>
      <c r="AN1003" s="1" t="b">
        <f>NOT(ISNA(VLOOKUP(Master_Reference[[#This Row],[Model Number]],ObsoleteModels[],1,FALSE)))</f>
        <v>1</v>
      </c>
      <c r="AO1003" s="1" t="str">
        <f>IF(LEFT(Master_Reference[[#This Row],[Model Number]],1)="U",LEFT(Master_Reference[[#This Row],[Model Number]],4),LEFT(Master_Reference[[#This Row],[Model Number]],3))</f>
        <v>UHL3</v>
      </c>
    </row>
  </sheetData>
  <phoneticPr fontId="2" type="noConversion"/>
  <pageMargins left="0.7" right="0.7" top="0.75" bottom="0.75" header="0.3" footer="0.3"/>
  <pageSetup orientation="portrait" horizontalDpi="300" verticalDpi="300"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59C5-BDCB-446D-8BDB-CB32971C97C0}">
  <sheetPr codeName="Sheet5"/>
  <dimension ref="A1:F86"/>
  <sheetViews>
    <sheetView workbookViewId="0">
      <selection activeCell="E5" sqref="E5"/>
    </sheetView>
  </sheetViews>
  <sheetFormatPr defaultRowHeight="15" x14ac:dyDescent="0.25"/>
  <cols>
    <col min="1" max="1" width="20.5703125" bestFit="1" customWidth="1"/>
    <col min="2" max="2" width="18.42578125" bestFit="1" customWidth="1"/>
    <col min="3" max="3" width="18.42578125" customWidth="1"/>
    <col min="5" max="5" width="16.7109375" bestFit="1" customWidth="1"/>
    <col min="6" max="6" width="18.42578125" customWidth="1"/>
    <col min="7" max="7" width="18.7109375" bestFit="1" customWidth="1"/>
  </cols>
  <sheetData>
    <row r="1" spans="1:6" x14ac:dyDescent="0.25">
      <c r="A1" t="s">
        <v>1308</v>
      </c>
      <c r="B1" t="s">
        <v>1309</v>
      </c>
      <c r="C1" t="s">
        <v>45</v>
      </c>
      <c r="E1" s="75" t="s">
        <v>1310</v>
      </c>
      <c r="F1" t="s">
        <v>1311</v>
      </c>
    </row>
    <row r="2" spans="1:6" x14ac:dyDescent="0.25">
      <c r="A2" s="28" t="s">
        <v>1312</v>
      </c>
      <c r="B2" s="28" t="s">
        <v>1130</v>
      </c>
      <c r="C2" s="33" t="str">
        <f>VLOOKUP(Grainger_Ballast_Lookup[[#This Row],[Lutron Ballast PN]],Master_Reference[],14,FALSE)</f>
        <v>UNV</v>
      </c>
      <c r="E2" t="s">
        <v>1407</v>
      </c>
      <c r="F2" t="s">
        <v>1508</v>
      </c>
    </row>
    <row r="3" spans="1:6" x14ac:dyDescent="0.25">
      <c r="A3" s="28" t="s">
        <v>1314</v>
      </c>
      <c r="B3" s="28" t="s">
        <v>1133</v>
      </c>
      <c r="C3" s="28" t="str">
        <f>VLOOKUP(Grainger_Ballast_Lookup[[#This Row],[Lutron Ballast PN]],Master_Reference[],14,FALSE)</f>
        <v>UNV</v>
      </c>
      <c r="E3" t="s">
        <v>1408</v>
      </c>
      <c r="F3" t="s">
        <v>1509</v>
      </c>
    </row>
    <row r="4" spans="1:6" x14ac:dyDescent="0.25">
      <c r="A4" s="28" t="s">
        <v>1316</v>
      </c>
      <c r="B4" s="28" t="s">
        <v>803</v>
      </c>
      <c r="C4" s="28" t="str">
        <f>VLOOKUP(Grainger_Ballast_Lookup[[#This Row],[Lutron Ballast PN]],Master_Reference[],14,FALSE)</f>
        <v>UNV</v>
      </c>
      <c r="E4" t="s">
        <v>1409</v>
      </c>
      <c r="F4" t="s">
        <v>1510</v>
      </c>
    </row>
    <row r="5" spans="1:6" x14ac:dyDescent="0.25">
      <c r="A5" s="28" t="s">
        <v>1317</v>
      </c>
      <c r="B5" s="28" t="s">
        <v>815</v>
      </c>
      <c r="C5" s="28" t="str">
        <f>VLOOKUP(Grainger_Ballast_Lookup[[#This Row],[Lutron Ballast PN]],Master_Reference[],14,FALSE)</f>
        <v>UNV</v>
      </c>
      <c r="E5" t="s">
        <v>1410</v>
      </c>
      <c r="F5" t="s">
        <v>1511</v>
      </c>
    </row>
    <row r="6" spans="1:6" x14ac:dyDescent="0.25">
      <c r="A6" s="28" t="s">
        <v>1318</v>
      </c>
      <c r="B6" s="28" t="s">
        <v>805</v>
      </c>
      <c r="C6" s="28" t="str">
        <f>VLOOKUP(Grainger_Ballast_Lookup[[#This Row],[Lutron Ballast PN]],Master_Reference[],14,FALSE)</f>
        <v>UNV</v>
      </c>
      <c r="E6" t="s">
        <v>1411</v>
      </c>
      <c r="F6" t="s">
        <v>1512</v>
      </c>
    </row>
    <row r="7" spans="1:6" x14ac:dyDescent="0.25">
      <c r="A7" s="28" t="s">
        <v>1319</v>
      </c>
      <c r="B7" s="28" t="s">
        <v>817</v>
      </c>
      <c r="C7" s="28" t="str">
        <f>VLOOKUP(Grainger_Ballast_Lookup[[#This Row],[Lutron Ballast PN]],Master_Reference[],14,FALSE)</f>
        <v>UNV</v>
      </c>
      <c r="E7" t="s">
        <v>1412</v>
      </c>
      <c r="F7" t="s">
        <v>1513</v>
      </c>
    </row>
    <row r="8" spans="1:6" x14ac:dyDescent="0.25">
      <c r="A8" s="28" t="s">
        <v>1320</v>
      </c>
      <c r="B8" s="28" t="s">
        <v>796</v>
      </c>
      <c r="C8" s="28" t="str">
        <f>VLOOKUP(Grainger_Ballast_Lookup[[#This Row],[Lutron Ballast PN]],Master_Reference[],14,FALSE)</f>
        <v>UNV</v>
      </c>
      <c r="E8" t="s">
        <v>1413</v>
      </c>
      <c r="F8" t="s">
        <v>1514</v>
      </c>
    </row>
    <row r="9" spans="1:6" x14ac:dyDescent="0.25">
      <c r="A9" s="28" t="s">
        <v>1321</v>
      </c>
      <c r="B9" s="28" t="s">
        <v>797</v>
      </c>
      <c r="C9" s="28" t="str">
        <f>VLOOKUP(Grainger_Ballast_Lookup[[#This Row],[Lutron Ballast PN]],Master_Reference[],14,FALSE)</f>
        <v>UNV</v>
      </c>
      <c r="E9" t="s">
        <v>1414</v>
      </c>
      <c r="F9" t="s">
        <v>1515</v>
      </c>
    </row>
    <row r="10" spans="1:6" x14ac:dyDescent="0.25">
      <c r="A10" s="28" t="s">
        <v>1322</v>
      </c>
      <c r="B10" s="28" t="s">
        <v>757</v>
      </c>
      <c r="C10" s="28" t="str">
        <f>VLOOKUP(Grainger_Ballast_Lookup[[#This Row],[Lutron Ballast PN]],Master_Reference[],14,FALSE)</f>
        <v>UNV</v>
      </c>
      <c r="E10" t="s">
        <v>1415</v>
      </c>
      <c r="F10" t="s">
        <v>1516</v>
      </c>
    </row>
    <row r="11" spans="1:6" x14ac:dyDescent="0.25">
      <c r="A11" s="28" t="s">
        <v>1323</v>
      </c>
      <c r="B11" s="28" t="s">
        <v>765</v>
      </c>
      <c r="C11" s="28" t="str">
        <f>VLOOKUP(Grainger_Ballast_Lookup[[#This Row],[Lutron Ballast PN]],Master_Reference[],14,FALSE)</f>
        <v>UNV</v>
      </c>
      <c r="E11" t="s">
        <v>1416</v>
      </c>
      <c r="F11" t="s">
        <v>1517</v>
      </c>
    </row>
    <row r="12" spans="1:6" x14ac:dyDescent="0.25">
      <c r="A12" s="28" t="s">
        <v>1324</v>
      </c>
      <c r="B12" s="28" t="s">
        <v>750</v>
      </c>
      <c r="C12" s="28" t="str">
        <f>VLOOKUP(Grainger_Ballast_Lookup[[#This Row],[Lutron Ballast PN]],Master_Reference[],14,FALSE)</f>
        <v>UNV</v>
      </c>
      <c r="E12" t="s">
        <v>1417</v>
      </c>
      <c r="F12" t="s">
        <v>1518</v>
      </c>
    </row>
    <row r="13" spans="1:6" x14ac:dyDescent="0.25">
      <c r="A13" s="28" t="s">
        <v>1325</v>
      </c>
      <c r="B13" s="28" t="s">
        <v>754</v>
      </c>
      <c r="C13" s="28" t="str">
        <f>VLOOKUP(Grainger_Ballast_Lookup[[#This Row],[Lutron Ballast PN]],Master_Reference[],14,FALSE)</f>
        <v>UNV</v>
      </c>
      <c r="E13" t="s">
        <v>1418</v>
      </c>
      <c r="F13" t="s">
        <v>1519</v>
      </c>
    </row>
    <row r="14" spans="1:6" x14ac:dyDescent="0.25">
      <c r="A14" s="28" t="s">
        <v>1326</v>
      </c>
      <c r="B14" s="28" t="s">
        <v>738</v>
      </c>
      <c r="C14" s="28" t="str">
        <f>VLOOKUP(Grainger_Ballast_Lookup[[#This Row],[Lutron Ballast PN]],Master_Reference[],14,FALSE)</f>
        <v>UNV</v>
      </c>
      <c r="E14" t="s">
        <v>1315</v>
      </c>
      <c r="F14" t="s">
        <v>1520</v>
      </c>
    </row>
    <row r="15" spans="1:6" x14ac:dyDescent="0.25">
      <c r="A15" s="28" t="s">
        <v>1327</v>
      </c>
      <c r="B15" s="28" t="s">
        <v>744</v>
      </c>
      <c r="C15" s="28" t="str">
        <f>VLOOKUP(Grainger_Ballast_Lookup[[#This Row],[Lutron Ballast PN]],Master_Reference[],14,FALSE)</f>
        <v>UNV</v>
      </c>
      <c r="E15" t="s">
        <v>1419</v>
      </c>
      <c r="F15" t="s">
        <v>1521</v>
      </c>
    </row>
    <row r="16" spans="1:6" x14ac:dyDescent="0.25">
      <c r="A16" s="28" t="s">
        <v>1328</v>
      </c>
      <c r="B16" s="28" t="s">
        <v>711</v>
      </c>
      <c r="C16" s="28" t="str">
        <f>VLOOKUP(Grainger_Ballast_Lookup[[#This Row],[Lutron Ballast PN]],Master_Reference[],14,FALSE)</f>
        <v>UNV</v>
      </c>
      <c r="E16" t="s">
        <v>1420</v>
      </c>
      <c r="F16" t="s">
        <v>1522</v>
      </c>
    </row>
    <row r="17" spans="1:6" x14ac:dyDescent="0.25">
      <c r="A17" s="28" t="s">
        <v>1329</v>
      </c>
      <c r="B17" s="28" t="s">
        <v>714</v>
      </c>
      <c r="C17" s="28" t="str">
        <f>VLOOKUP(Grainger_Ballast_Lookup[[#This Row],[Lutron Ballast PN]],Master_Reference[],14,FALSE)</f>
        <v>UNV</v>
      </c>
      <c r="E17" t="s">
        <v>1421</v>
      </c>
      <c r="F17" t="s">
        <v>1523</v>
      </c>
    </row>
    <row r="18" spans="1:6" x14ac:dyDescent="0.25">
      <c r="A18" s="28" t="s">
        <v>1330</v>
      </c>
      <c r="B18" s="28" t="s">
        <v>694</v>
      </c>
      <c r="C18" s="28" t="str">
        <f>VLOOKUP(Grainger_Ballast_Lookup[[#This Row],[Lutron Ballast PN]],Master_Reference[],14,FALSE)</f>
        <v>UNV</v>
      </c>
      <c r="E18" t="s">
        <v>1422</v>
      </c>
      <c r="F18" t="s">
        <v>1524</v>
      </c>
    </row>
    <row r="19" spans="1:6" x14ac:dyDescent="0.25">
      <c r="A19" s="28" t="s">
        <v>1331</v>
      </c>
      <c r="B19" s="28" t="s">
        <v>703</v>
      </c>
      <c r="C19" s="28" t="str">
        <f>VLOOKUP(Grainger_Ballast_Lookup[[#This Row],[Lutron Ballast PN]],Master_Reference[],14,FALSE)</f>
        <v>UNV</v>
      </c>
      <c r="E19" t="s">
        <v>1423</v>
      </c>
      <c r="F19" t="s">
        <v>1525</v>
      </c>
    </row>
    <row r="20" spans="1:6" x14ac:dyDescent="0.25">
      <c r="A20" s="28" t="s">
        <v>1332</v>
      </c>
      <c r="B20" s="28" t="s">
        <v>671</v>
      </c>
      <c r="C20" s="28" t="str">
        <f>VLOOKUP(Grainger_Ballast_Lookup[[#This Row],[Lutron Ballast PN]],Master_Reference[],14,FALSE)</f>
        <v>UNV</v>
      </c>
      <c r="E20" t="s">
        <v>1426</v>
      </c>
      <c r="F20" t="s">
        <v>1526</v>
      </c>
    </row>
    <row r="21" spans="1:6" x14ac:dyDescent="0.25">
      <c r="A21" s="28" t="s">
        <v>1333</v>
      </c>
      <c r="B21" s="28" t="s">
        <v>674</v>
      </c>
      <c r="C21" s="28" t="str">
        <f>VLOOKUP(Grainger_Ballast_Lookup[[#This Row],[Lutron Ballast PN]],Master_Reference[],14,FALSE)</f>
        <v>UNV</v>
      </c>
      <c r="E21" t="s">
        <v>1427</v>
      </c>
      <c r="F21" t="s">
        <v>1527</v>
      </c>
    </row>
    <row r="22" spans="1:6" x14ac:dyDescent="0.25">
      <c r="A22" s="28" t="s">
        <v>1334</v>
      </c>
      <c r="B22" s="28" t="s">
        <v>657</v>
      </c>
      <c r="C22" s="28" t="str">
        <f>VLOOKUP(Grainger_Ballast_Lookup[[#This Row],[Lutron Ballast PN]],Master_Reference[],14,FALSE)</f>
        <v>UNV</v>
      </c>
      <c r="E22" t="s">
        <v>1428</v>
      </c>
      <c r="F22" t="s">
        <v>1528</v>
      </c>
    </row>
    <row r="23" spans="1:6" x14ac:dyDescent="0.25">
      <c r="A23" s="28" t="s">
        <v>1335</v>
      </c>
      <c r="B23" s="28" t="s">
        <v>663</v>
      </c>
      <c r="C23" s="28" t="str">
        <f>VLOOKUP(Grainger_Ballast_Lookup[[#This Row],[Lutron Ballast PN]],Master_Reference[],14,FALSE)</f>
        <v>UNV</v>
      </c>
      <c r="E23" t="s">
        <v>1431</v>
      </c>
      <c r="F23" t="s">
        <v>1529</v>
      </c>
    </row>
    <row r="24" spans="1:6" x14ac:dyDescent="0.25">
      <c r="A24" s="28" t="s">
        <v>1336</v>
      </c>
      <c r="B24" s="28" t="s">
        <v>647</v>
      </c>
      <c r="C24" s="28" t="str">
        <f>VLOOKUP(Grainger_Ballast_Lookup[[#This Row],[Lutron Ballast PN]],Master_Reference[],14,FALSE)</f>
        <v>UNV</v>
      </c>
      <c r="E24" t="s">
        <v>1432</v>
      </c>
      <c r="F24" t="s">
        <v>1530</v>
      </c>
    </row>
    <row r="25" spans="1:6" x14ac:dyDescent="0.25">
      <c r="A25" s="28" t="s">
        <v>1337</v>
      </c>
      <c r="B25" s="28" t="s">
        <v>652</v>
      </c>
      <c r="C25" s="28" t="str">
        <f>VLOOKUP(Grainger_Ballast_Lookup[[#This Row],[Lutron Ballast PN]],Master_Reference[],14,FALSE)</f>
        <v>UNV</v>
      </c>
      <c r="E25" t="s">
        <v>1433</v>
      </c>
      <c r="F25" t="s">
        <v>1531</v>
      </c>
    </row>
    <row r="26" spans="1:6" x14ac:dyDescent="0.25">
      <c r="A26" s="28" t="s">
        <v>1338</v>
      </c>
      <c r="B26" s="28" t="s">
        <v>1118</v>
      </c>
      <c r="C26" s="28" t="str">
        <f>VLOOKUP(Grainger_Ballast_Lookup[[#This Row],[Lutron Ballast PN]],Master_Reference[],14,FALSE)</f>
        <v>UNV</v>
      </c>
      <c r="E26" t="s">
        <v>1435</v>
      </c>
      <c r="F26" t="s">
        <v>1532</v>
      </c>
    </row>
    <row r="27" spans="1:6" x14ac:dyDescent="0.25">
      <c r="A27" s="28" t="s">
        <v>1339</v>
      </c>
      <c r="B27" s="28" t="s">
        <v>1122</v>
      </c>
      <c r="C27" s="28" t="str">
        <f>VLOOKUP(Grainger_Ballast_Lookup[[#This Row],[Lutron Ballast PN]],Master_Reference[],14,FALSE)</f>
        <v>UNV</v>
      </c>
      <c r="E27" t="s">
        <v>1436</v>
      </c>
      <c r="F27" t="s">
        <v>1533</v>
      </c>
    </row>
    <row r="28" spans="1:6" x14ac:dyDescent="0.25">
      <c r="A28" s="28" t="s">
        <v>1340</v>
      </c>
      <c r="B28" s="28" t="s">
        <v>1141</v>
      </c>
      <c r="C28" s="28" t="str">
        <f>VLOOKUP(Grainger_Ballast_Lookup[[#This Row],[Lutron Ballast PN]],Master_Reference[],14,FALSE)</f>
        <v>UNV</v>
      </c>
      <c r="E28" t="s">
        <v>1437</v>
      </c>
      <c r="F28" t="s">
        <v>1534</v>
      </c>
    </row>
    <row r="29" spans="1:6" x14ac:dyDescent="0.25">
      <c r="A29" s="28" t="s">
        <v>1341</v>
      </c>
      <c r="B29" s="28" t="s">
        <v>1146</v>
      </c>
      <c r="C29" s="28" t="str">
        <f>VLOOKUP(Grainger_Ballast_Lookup[[#This Row],[Lutron Ballast PN]],Master_Reference[],14,FALSE)</f>
        <v>UNV</v>
      </c>
      <c r="E29" t="s">
        <v>1438</v>
      </c>
      <c r="F29" t="s">
        <v>1535</v>
      </c>
    </row>
    <row r="30" spans="1:6" x14ac:dyDescent="0.25">
      <c r="A30" s="28" t="s">
        <v>1342</v>
      </c>
      <c r="B30" s="28" t="s">
        <v>1157</v>
      </c>
      <c r="C30" s="28" t="str">
        <f>VLOOKUP(Grainger_Ballast_Lookup[[#This Row],[Lutron Ballast PN]],Master_Reference[],14,FALSE)</f>
        <v>UNV</v>
      </c>
      <c r="E30" t="s">
        <v>1439</v>
      </c>
      <c r="F30" t="s">
        <v>1536</v>
      </c>
    </row>
    <row r="31" spans="1:6" x14ac:dyDescent="0.25">
      <c r="A31" s="28" t="s">
        <v>1343</v>
      </c>
      <c r="B31" s="28" t="s">
        <v>1165</v>
      </c>
      <c r="C31" s="28" t="str">
        <f>VLOOKUP(Grainger_Ballast_Lookup[[#This Row],[Lutron Ballast PN]],Master_Reference[],14,FALSE)</f>
        <v>UNV</v>
      </c>
      <c r="E31" t="s">
        <v>1440</v>
      </c>
      <c r="F31" t="s">
        <v>1537</v>
      </c>
    </row>
    <row r="32" spans="1:6" x14ac:dyDescent="0.25">
      <c r="A32" s="28" t="s">
        <v>1344</v>
      </c>
      <c r="B32" s="28" t="s">
        <v>1186</v>
      </c>
      <c r="C32" s="28" t="str">
        <f>VLOOKUP(Grainger_Ballast_Lookup[[#This Row],[Lutron Ballast PN]],Master_Reference[],14,FALSE)</f>
        <v>UNV</v>
      </c>
      <c r="E32" t="s">
        <v>1441</v>
      </c>
      <c r="F32" t="s">
        <v>1538</v>
      </c>
    </row>
    <row r="33" spans="1:6" x14ac:dyDescent="0.25">
      <c r="A33" s="28" t="s">
        <v>1345</v>
      </c>
      <c r="B33" s="28" t="s">
        <v>1070</v>
      </c>
      <c r="C33" s="28" t="str">
        <f>VLOOKUP(Grainger_Ballast_Lookup[[#This Row],[Lutron Ballast PN]],Master_Reference[],14,FALSE)</f>
        <v>UNV</v>
      </c>
      <c r="E33" t="s">
        <v>1442</v>
      </c>
      <c r="F33" t="s">
        <v>1539</v>
      </c>
    </row>
    <row r="34" spans="1:6" x14ac:dyDescent="0.25">
      <c r="A34" s="28" t="s">
        <v>1346</v>
      </c>
      <c r="B34" s="28" t="s">
        <v>1077</v>
      </c>
      <c r="C34" s="28" t="str">
        <f>VLOOKUP(Grainger_Ballast_Lookup[[#This Row],[Lutron Ballast PN]],Master_Reference[],14,FALSE)</f>
        <v>UNV</v>
      </c>
      <c r="E34" t="s">
        <v>1443</v>
      </c>
      <c r="F34" t="s">
        <v>1540</v>
      </c>
    </row>
    <row r="35" spans="1:6" x14ac:dyDescent="0.25">
      <c r="A35" s="28" t="s">
        <v>1347</v>
      </c>
      <c r="B35" s="28" t="s">
        <v>1039</v>
      </c>
      <c r="C35" s="28" t="str">
        <f>VLOOKUP(Grainger_Ballast_Lookup[[#This Row],[Lutron Ballast PN]],Master_Reference[],14,FALSE)</f>
        <v>UNV</v>
      </c>
      <c r="E35" t="s">
        <v>1444</v>
      </c>
      <c r="F35" t="s">
        <v>1541</v>
      </c>
    </row>
    <row r="36" spans="1:6" x14ac:dyDescent="0.25">
      <c r="A36" s="28" t="s">
        <v>1348</v>
      </c>
      <c r="B36" s="28" t="s">
        <v>1043</v>
      </c>
      <c r="C36" s="28" t="str">
        <f>VLOOKUP(Grainger_Ballast_Lookup[[#This Row],[Lutron Ballast PN]],Master_Reference[],14,FALSE)</f>
        <v>UNV</v>
      </c>
      <c r="E36" t="s">
        <v>1445</v>
      </c>
      <c r="F36" t="s">
        <v>1542</v>
      </c>
    </row>
    <row r="37" spans="1:6" x14ac:dyDescent="0.25">
      <c r="A37" s="28" t="s">
        <v>1349</v>
      </c>
      <c r="B37" s="28" t="s">
        <v>1049</v>
      </c>
      <c r="C37" s="28" t="str">
        <f>VLOOKUP(Grainger_Ballast_Lookup[[#This Row],[Lutron Ballast PN]],Master_Reference[],14,FALSE)</f>
        <v>UNV</v>
      </c>
      <c r="E37" t="s">
        <v>1313</v>
      </c>
      <c r="F37" t="s">
        <v>1543</v>
      </c>
    </row>
    <row r="38" spans="1:6" x14ac:dyDescent="0.25">
      <c r="A38" s="28" t="s">
        <v>1350</v>
      </c>
      <c r="B38" s="28" t="s">
        <v>1056</v>
      </c>
      <c r="C38" s="28" t="str">
        <f>VLOOKUP(Grainger_Ballast_Lookup[[#This Row],[Lutron Ballast PN]],Master_Reference[],14,FALSE)</f>
        <v>UNV</v>
      </c>
      <c r="E38" t="s">
        <v>1446</v>
      </c>
      <c r="F38" t="s">
        <v>1544</v>
      </c>
    </row>
    <row r="39" spans="1:6" x14ac:dyDescent="0.25">
      <c r="A39" s="28" t="s">
        <v>1351</v>
      </c>
      <c r="B39" s="28" t="s">
        <v>1159</v>
      </c>
      <c r="C39" s="28" t="str">
        <f>VLOOKUP(Grainger_Ballast_Lookup[[#This Row],[Lutron Ballast PN]],Master_Reference[],14,FALSE)</f>
        <v>UNV</v>
      </c>
      <c r="E39" t="s">
        <v>1447</v>
      </c>
      <c r="F39" t="s">
        <v>1545</v>
      </c>
    </row>
    <row r="40" spans="1:6" x14ac:dyDescent="0.25">
      <c r="A40" s="28" t="s">
        <v>1352</v>
      </c>
      <c r="B40" s="28" t="s">
        <v>1167</v>
      </c>
      <c r="C40" s="28" t="str">
        <f>VLOOKUP(Grainger_Ballast_Lookup[[#This Row],[Lutron Ballast PN]],Master_Reference[],14,FALSE)</f>
        <v>UNV</v>
      </c>
      <c r="E40" t="s">
        <v>1448</v>
      </c>
      <c r="F40" t="s">
        <v>1546</v>
      </c>
    </row>
    <row r="41" spans="1:6" x14ac:dyDescent="0.25">
      <c r="A41" s="28" t="s">
        <v>1353</v>
      </c>
      <c r="B41" s="28" t="s">
        <v>1188</v>
      </c>
      <c r="C41" s="28" t="str">
        <f>VLOOKUP(Grainger_Ballast_Lookup[[#This Row],[Lutron Ballast PN]],Master_Reference[],14,FALSE)</f>
        <v>UNV</v>
      </c>
      <c r="E41" t="s">
        <v>1449</v>
      </c>
      <c r="F41" t="s">
        <v>1547</v>
      </c>
    </row>
    <row r="42" spans="1:6" x14ac:dyDescent="0.25">
      <c r="A42" s="28" t="s">
        <v>1354</v>
      </c>
      <c r="B42" s="28" t="s">
        <v>1142</v>
      </c>
      <c r="C42" s="28" t="str">
        <f>VLOOKUP(Grainger_Ballast_Lookup[[#This Row],[Lutron Ballast PN]],Master_Reference[],14,FALSE)</f>
        <v>UNV</v>
      </c>
      <c r="E42" t="s">
        <v>1450</v>
      </c>
      <c r="F42" t="s">
        <v>1548</v>
      </c>
    </row>
    <row r="43" spans="1:6" x14ac:dyDescent="0.25">
      <c r="A43" s="28" t="s">
        <v>1355</v>
      </c>
      <c r="B43" s="28" t="s">
        <v>1148</v>
      </c>
      <c r="C43" s="28" t="str">
        <f>VLOOKUP(Grainger_Ballast_Lookup[[#This Row],[Lutron Ballast PN]],Master_Reference[],14,FALSE)</f>
        <v>UNV</v>
      </c>
      <c r="E43" t="s">
        <v>1451</v>
      </c>
      <c r="F43" t="s">
        <v>1549</v>
      </c>
    </row>
    <row r="44" spans="1:6" x14ac:dyDescent="0.25">
      <c r="A44" s="28" t="s">
        <v>1356</v>
      </c>
      <c r="B44" s="28" t="s">
        <v>1119</v>
      </c>
      <c r="C44" s="28" t="str">
        <f>VLOOKUP(Grainger_Ballast_Lookup[[#This Row],[Lutron Ballast PN]],Master_Reference[],14,FALSE)</f>
        <v>UNV</v>
      </c>
      <c r="E44" t="s">
        <v>1452</v>
      </c>
      <c r="F44" t="s">
        <v>1550</v>
      </c>
    </row>
    <row r="45" spans="1:6" x14ac:dyDescent="0.25">
      <c r="A45" s="28" t="s">
        <v>1357</v>
      </c>
      <c r="B45" s="28" t="s">
        <v>1124</v>
      </c>
      <c r="C45" s="28" t="str">
        <f>VLOOKUP(Grainger_Ballast_Lookup[[#This Row],[Lutron Ballast PN]],Master_Reference[],14,FALSE)</f>
        <v>UNV</v>
      </c>
      <c r="E45" t="s">
        <v>1453</v>
      </c>
      <c r="F45" t="s">
        <v>1551</v>
      </c>
    </row>
    <row r="46" spans="1:6" x14ac:dyDescent="0.25">
      <c r="A46" s="28" t="s">
        <v>1358</v>
      </c>
      <c r="B46" s="28" t="s">
        <v>1180</v>
      </c>
      <c r="C46" s="28" t="str">
        <f>VLOOKUP(Grainger_Ballast_Lookup[[#This Row],[Lutron Ballast PN]],Master_Reference[],14,FALSE)</f>
        <v>UNV</v>
      </c>
      <c r="E46" t="s">
        <v>1454</v>
      </c>
      <c r="F46" t="s">
        <v>1552</v>
      </c>
    </row>
    <row r="47" spans="1:6" x14ac:dyDescent="0.25">
      <c r="A47" s="28" t="s">
        <v>1359</v>
      </c>
      <c r="B47" s="28" t="s">
        <v>1183</v>
      </c>
      <c r="C47" s="28" t="str">
        <f>VLOOKUP(Grainger_Ballast_Lookup[[#This Row],[Lutron Ballast PN]],Master_Reference[],14,FALSE)</f>
        <v>UNV</v>
      </c>
      <c r="E47" t="s">
        <v>1455</v>
      </c>
      <c r="F47" t="s">
        <v>1553</v>
      </c>
    </row>
    <row r="48" spans="1:6" x14ac:dyDescent="0.25">
      <c r="A48" s="28" t="s">
        <v>1360</v>
      </c>
      <c r="B48" s="28" t="s">
        <v>189</v>
      </c>
      <c r="C48" s="28" t="str">
        <f>VLOOKUP(Grainger_Ballast_Lookup[[#This Row],[Lutron Ballast PN]],Master_Reference[],14,FALSE)</f>
        <v>UNV</v>
      </c>
      <c r="E48" t="s">
        <v>1456</v>
      </c>
      <c r="F48" t="s">
        <v>1554</v>
      </c>
    </row>
    <row r="49" spans="1:6" x14ac:dyDescent="0.25">
      <c r="A49" s="28" t="s">
        <v>1361</v>
      </c>
      <c r="B49" s="28" t="s">
        <v>210</v>
      </c>
      <c r="C49" s="28" t="str">
        <f>VLOOKUP(Grainger_Ballast_Lookup[[#This Row],[Lutron Ballast PN]],Master_Reference[],14,FALSE)</f>
        <v>UNV</v>
      </c>
      <c r="E49" t="s">
        <v>1457</v>
      </c>
      <c r="F49" t="s">
        <v>1555</v>
      </c>
    </row>
    <row r="50" spans="1:6" x14ac:dyDescent="0.25">
      <c r="A50" s="28" t="s">
        <v>1362</v>
      </c>
      <c r="B50" s="28" t="s">
        <v>382</v>
      </c>
      <c r="C50" s="28" t="str">
        <f>VLOOKUP(Grainger_Ballast_Lookup[[#This Row],[Lutron Ballast PN]],Master_Reference[],14,FALSE)</f>
        <v>UNV</v>
      </c>
      <c r="E50" t="s">
        <v>1458</v>
      </c>
      <c r="F50" t="s">
        <v>1556</v>
      </c>
    </row>
    <row r="51" spans="1:6" x14ac:dyDescent="0.25">
      <c r="A51" s="28" t="s">
        <v>1363</v>
      </c>
      <c r="B51" s="28" t="s">
        <v>386</v>
      </c>
      <c r="C51" s="28" t="str">
        <f>VLOOKUP(Grainger_Ballast_Lookup[[#This Row],[Lutron Ballast PN]],Master_Reference[],14,FALSE)</f>
        <v>UNV</v>
      </c>
      <c r="E51" t="s">
        <v>1459</v>
      </c>
      <c r="F51" t="s">
        <v>1557</v>
      </c>
    </row>
    <row r="52" spans="1:6" x14ac:dyDescent="0.25">
      <c r="A52" s="28" t="s">
        <v>1364</v>
      </c>
      <c r="B52" s="28" t="s">
        <v>443</v>
      </c>
      <c r="C52" s="28" t="str">
        <f>VLOOKUP(Grainger_Ballast_Lookup[[#This Row],[Lutron Ballast PN]],Master_Reference[],14,FALSE)</f>
        <v>UNV</v>
      </c>
      <c r="E52" t="s">
        <v>1460</v>
      </c>
      <c r="F52" t="s">
        <v>1558</v>
      </c>
    </row>
    <row r="53" spans="1:6" x14ac:dyDescent="0.25">
      <c r="A53" s="28" t="s">
        <v>1365</v>
      </c>
      <c r="B53" s="28" t="s">
        <v>448</v>
      </c>
      <c r="C53" s="28" t="str">
        <f>VLOOKUP(Grainger_Ballast_Lookup[[#This Row],[Lutron Ballast PN]],Master_Reference[],14,FALSE)</f>
        <v>UNV</v>
      </c>
      <c r="E53" t="s">
        <v>1461</v>
      </c>
      <c r="F53" t="s">
        <v>1559</v>
      </c>
    </row>
    <row r="54" spans="1:6" x14ac:dyDescent="0.25">
      <c r="A54" s="28" t="s">
        <v>1366</v>
      </c>
      <c r="B54" s="28" t="s">
        <v>503</v>
      </c>
      <c r="C54" s="28" t="str">
        <f>VLOOKUP(Grainger_Ballast_Lookup[[#This Row],[Lutron Ballast PN]],Master_Reference[],14,FALSE)</f>
        <v>UNV</v>
      </c>
      <c r="E54" t="s">
        <v>1462</v>
      </c>
      <c r="F54" t="s">
        <v>1560</v>
      </c>
    </row>
    <row r="55" spans="1:6" x14ac:dyDescent="0.25">
      <c r="A55" s="28" t="s">
        <v>1367</v>
      </c>
      <c r="B55" s="28" t="s">
        <v>506</v>
      </c>
      <c r="C55" s="28" t="str">
        <f>VLOOKUP(Grainger_Ballast_Lookup[[#This Row],[Lutron Ballast PN]],Master_Reference[],14,FALSE)</f>
        <v>UNV</v>
      </c>
      <c r="E55" t="s">
        <v>1463</v>
      </c>
      <c r="F55" t="s">
        <v>1561</v>
      </c>
    </row>
    <row r="56" spans="1:6" x14ac:dyDescent="0.25">
      <c r="A56" s="28" t="s">
        <v>1368</v>
      </c>
      <c r="B56" s="28" t="s">
        <v>511</v>
      </c>
      <c r="C56" s="28" t="str">
        <f>VLOOKUP(Grainger_Ballast_Lookup[[#This Row],[Lutron Ballast PN]],Master_Reference[],14,FALSE)</f>
        <v>UNV</v>
      </c>
    </row>
    <row r="57" spans="1:6" x14ac:dyDescent="0.25">
      <c r="A57" s="28" t="s">
        <v>1369</v>
      </c>
      <c r="B57" s="28" t="s">
        <v>525</v>
      </c>
      <c r="C57" s="28" t="str">
        <f>VLOOKUP(Grainger_Ballast_Lookup[[#This Row],[Lutron Ballast PN]],Master_Reference[],14,FALSE)</f>
        <v>UNV</v>
      </c>
    </row>
    <row r="58" spans="1:6" x14ac:dyDescent="0.25">
      <c r="A58" s="28" t="s">
        <v>1370</v>
      </c>
      <c r="B58" s="28" t="s">
        <v>296</v>
      </c>
      <c r="C58" s="28" t="str">
        <f>VLOOKUP(Grainger_Ballast_Lookup[[#This Row],[Lutron Ballast PN]],Master_Reference[],14,FALSE)</f>
        <v>UNV</v>
      </c>
    </row>
    <row r="59" spans="1:6" x14ac:dyDescent="0.25">
      <c r="A59" s="28" t="s">
        <v>1371</v>
      </c>
      <c r="B59" s="28" t="s">
        <v>289</v>
      </c>
      <c r="C59" s="28" t="str">
        <f>VLOOKUP(Grainger_Ballast_Lookup[[#This Row],[Lutron Ballast PN]],Master_Reference[],14,FALSE)</f>
        <v>UNV</v>
      </c>
    </row>
    <row r="60" spans="1:6" x14ac:dyDescent="0.25">
      <c r="A60" s="28" t="s">
        <v>1372</v>
      </c>
      <c r="B60" s="28" t="s">
        <v>212</v>
      </c>
      <c r="C60" s="28" t="str">
        <f>VLOOKUP(Grainger_Ballast_Lookup[[#This Row],[Lutron Ballast PN]],Master_Reference[],14,FALSE)</f>
        <v>UNV</v>
      </c>
    </row>
    <row r="61" spans="1:6" x14ac:dyDescent="0.25">
      <c r="A61" s="28" t="s">
        <v>1373</v>
      </c>
      <c r="B61" s="28" t="s">
        <v>175</v>
      </c>
      <c r="C61" s="28" t="str">
        <f>VLOOKUP(Grainger_Ballast_Lookup[[#This Row],[Lutron Ballast PN]],Master_Reference[],14,FALSE)</f>
        <v>UNV</v>
      </c>
    </row>
    <row r="62" spans="1:6" x14ac:dyDescent="0.25">
      <c r="A62" s="28" t="s">
        <v>1374</v>
      </c>
      <c r="B62" s="28" t="s">
        <v>1193</v>
      </c>
      <c r="C62" s="28" t="str">
        <f>VLOOKUP(Grainger_Ballast_Lookup[[#This Row],[Lutron Ballast PN]],Master_Reference[],14,FALSE)</f>
        <v>UNV</v>
      </c>
    </row>
    <row r="63" spans="1:6" x14ac:dyDescent="0.25">
      <c r="A63" s="28" t="s">
        <v>1375</v>
      </c>
      <c r="B63" s="28" t="s">
        <v>1196</v>
      </c>
      <c r="C63" s="28" t="str">
        <f>VLOOKUP(Grainger_Ballast_Lookup[[#This Row],[Lutron Ballast PN]],Master_Reference[],14,FALSE)</f>
        <v>UNV</v>
      </c>
    </row>
    <row r="64" spans="1:6" x14ac:dyDescent="0.25">
      <c r="A64" s="28" t="s">
        <v>1376</v>
      </c>
      <c r="B64" s="28" t="s">
        <v>1063</v>
      </c>
      <c r="C64" s="28" t="str">
        <f>VLOOKUP(Grainger_Ballast_Lookup[[#This Row],[Lutron Ballast PN]],Master_Reference[],14,FALSE)</f>
        <v>UNV</v>
      </c>
    </row>
    <row r="65" spans="1:3" x14ac:dyDescent="0.25">
      <c r="A65" s="28" t="s">
        <v>1377</v>
      </c>
      <c r="B65" s="28" t="s">
        <v>1066</v>
      </c>
      <c r="C65" s="28" t="str">
        <f>VLOOKUP(Grainger_Ballast_Lookup[[#This Row],[Lutron Ballast PN]],Master_Reference[],14,FALSE)</f>
        <v>UNV</v>
      </c>
    </row>
    <row r="66" spans="1:3" x14ac:dyDescent="0.25">
      <c r="A66" s="28" t="s">
        <v>1378</v>
      </c>
      <c r="B66" s="28" t="s">
        <v>1088</v>
      </c>
      <c r="C66" s="28" t="str">
        <f>VLOOKUP(Grainger_Ballast_Lookup[[#This Row],[Lutron Ballast PN]],Master_Reference[],14,FALSE)</f>
        <v>UNV</v>
      </c>
    </row>
    <row r="67" spans="1:3" x14ac:dyDescent="0.25">
      <c r="A67" s="28" t="s">
        <v>1379</v>
      </c>
      <c r="B67" s="28" t="s">
        <v>1091</v>
      </c>
      <c r="C67" s="28" t="str">
        <f>VLOOKUP(Grainger_Ballast_Lookup[[#This Row],[Lutron Ballast PN]],Master_Reference[],14,FALSE)</f>
        <v>UNV</v>
      </c>
    </row>
    <row r="68" spans="1:3" x14ac:dyDescent="0.25">
      <c r="A68" s="28" t="s">
        <v>1380</v>
      </c>
      <c r="B68" s="28" t="s">
        <v>1107</v>
      </c>
      <c r="C68" s="28" t="str">
        <f>VLOOKUP(Grainger_Ballast_Lookup[[#This Row],[Lutron Ballast PN]],Master_Reference[],14,FALSE)</f>
        <v>UNV</v>
      </c>
    </row>
    <row r="69" spans="1:3" x14ac:dyDescent="0.25">
      <c r="A69" s="28" t="s">
        <v>1381</v>
      </c>
      <c r="B69" s="28" t="s">
        <v>1112</v>
      </c>
      <c r="C69" s="28" t="str">
        <f>VLOOKUP(Grainger_Ballast_Lookup[[#This Row],[Lutron Ballast PN]],Master_Reference[],14,FALSE)</f>
        <v>UNV</v>
      </c>
    </row>
    <row r="70" spans="1:3" x14ac:dyDescent="0.25">
      <c r="A70" s="28" t="s">
        <v>1382</v>
      </c>
      <c r="B70" s="28" t="s">
        <v>1085</v>
      </c>
      <c r="C70" s="28" t="str">
        <f>VLOOKUP(Grainger_Ballast_Lookup[[#This Row],[Lutron Ballast PN]],Master_Reference[],14,FALSE)</f>
        <v>UNV</v>
      </c>
    </row>
    <row r="71" spans="1:3" x14ac:dyDescent="0.25">
      <c r="A71" s="28" t="s">
        <v>1383</v>
      </c>
      <c r="B71" s="28" t="s">
        <v>1087</v>
      </c>
      <c r="C71" s="28" t="str">
        <f>VLOOKUP(Grainger_Ballast_Lookup[[#This Row],[Lutron Ballast PN]],Master_Reference[],14,FALSE)</f>
        <v>UNV</v>
      </c>
    </row>
    <row r="72" spans="1:3" x14ac:dyDescent="0.25">
      <c r="A72" s="28" t="s">
        <v>1384</v>
      </c>
      <c r="B72" s="28" t="s">
        <v>1095</v>
      </c>
      <c r="C72" s="28" t="str">
        <f>VLOOKUP(Grainger_Ballast_Lookup[[#This Row],[Lutron Ballast PN]],Master_Reference[],14,FALSE)</f>
        <v>UNV</v>
      </c>
    </row>
    <row r="73" spans="1:3" x14ac:dyDescent="0.25">
      <c r="A73" s="28" t="s">
        <v>1385</v>
      </c>
      <c r="B73" s="28" t="s">
        <v>1098</v>
      </c>
      <c r="C73" s="28" t="str">
        <f>VLOOKUP(Grainger_Ballast_Lookup[[#This Row],[Lutron Ballast PN]],Master_Reference[],14,FALSE)</f>
        <v>UNV</v>
      </c>
    </row>
    <row r="74" spans="1:3" x14ac:dyDescent="0.25">
      <c r="A74" s="28" t="s">
        <v>1386</v>
      </c>
      <c r="B74" s="28" t="s">
        <v>1104</v>
      </c>
      <c r="C74" s="28" t="str">
        <f>VLOOKUP(Grainger_Ballast_Lookup[[#This Row],[Lutron Ballast PN]],Master_Reference[],14,FALSE)</f>
        <v>UNV</v>
      </c>
    </row>
    <row r="75" spans="1:3" x14ac:dyDescent="0.25">
      <c r="A75" s="28" t="s">
        <v>1387</v>
      </c>
      <c r="B75" s="28" t="s">
        <v>1105</v>
      </c>
      <c r="C75" s="28" t="str">
        <f>VLOOKUP(Grainger_Ballast_Lookup[[#This Row],[Lutron Ballast PN]],Master_Reference[],14,FALSE)</f>
        <v>UNV</v>
      </c>
    </row>
    <row r="76" spans="1:3" x14ac:dyDescent="0.25">
      <c r="A76" s="28" t="s">
        <v>1388</v>
      </c>
      <c r="B76" s="28" t="s">
        <v>157</v>
      </c>
      <c r="C76" s="28" t="str">
        <f>VLOOKUP(Grainger_Ballast_Lookup[[#This Row],[Lutron Ballast PN]],Master_Reference[],14,FALSE)</f>
        <v>UNV</v>
      </c>
    </row>
    <row r="77" spans="1:3" x14ac:dyDescent="0.25">
      <c r="A77" s="28" t="s">
        <v>1389</v>
      </c>
      <c r="B77" s="28" t="s">
        <v>165</v>
      </c>
      <c r="C77" s="28" t="str">
        <f>VLOOKUP(Grainger_Ballast_Lookup[[#This Row],[Lutron Ballast PN]],Master_Reference[],14,FALSE)</f>
        <v>UNV</v>
      </c>
    </row>
    <row r="78" spans="1:3" x14ac:dyDescent="0.25">
      <c r="A78" s="28" t="s">
        <v>1390</v>
      </c>
      <c r="B78" s="28" t="s">
        <v>198</v>
      </c>
      <c r="C78" s="28" t="str">
        <f>VLOOKUP(Grainger_Ballast_Lookup[[#This Row],[Lutron Ballast PN]],Master_Reference[],14,FALSE)</f>
        <v>UNV</v>
      </c>
    </row>
    <row r="79" spans="1:3" x14ac:dyDescent="0.25">
      <c r="A79" s="28" t="s">
        <v>1391</v>
      </c>
      <c r="B79" s="28" t="s">
        <v>1136</v>
      </c>
      <c r="C79" s="28" t="str">
        <f>VLOOKUP(Grainger_Ballast_Lookup[[#This Row],[Lutron Ballast PN]],Master_Reference[],14,FALSE)</f>
        <v>UNV</v>
      </c>
    </row>
    <row r="80" spans="1:3" x14ac:dyDescent="0.25">
      <c r="A80" s="28" t="s">
        <v>1392</v>
      </c>
      <c r="B80" s="28" t="s">
        <v>1140</v>
      </c>
      <c r="C80" s="28" t="str">
        <f>VLOOKUP(Grainger_Ballast_Lookup[[#This Row],[Lutron Ballast PN]],Master_Reference[],14,FALSE)</f>
        <v>UNV</v>
      </c>
    </row>
    <row r="81" spans="1:3" x14ac:dyDescent="0.25">
      <c r="A81" s="28" t="s">
        <v>1393</v>
      </c>
      <c r="B81" s="28" t="s">
        <v>1102</v>
      </c>
      <c r="C81" s="28" t="str">
        <f>VLOOKUP(Grainger_Ballast_Lookup[[#This Row],[Lutron Ballast PN]],Master_Reference[],14,FALSE)</f>
        <v>UNV</v>
      </c>
    </row>
    <row r="82" spans="1:3" x14ac:dyDescent="0.25">
      <c r="A82" s="29" t="s">
        <v>1394</v>
      </c>
      <c r="B82" s="29" t="s">
        <v>282</v>
      </c>
      <c r="C82" s="28" t="str">
        <f>VLOOKUP(Grainger_Ballast_Lookup[[#This Row],[Lutron Ballast PN]],Master_Reference[],14,FALSE)</f>
        <v>UNV</v>
      </c>
    </row>
    <row r="83" spans="1:3" x14ac:dyDescent="0.25">
      <c r="A83" s="29" t="s">
        <v>1395</v>
      </c>
      <c r="B83" s="29" t="s">
        <v>304</v>
      </c>
      <c r="C83" s="28" t="str">
        <f>VLOOKUP(Grainger_Ballast_Lookup[[#This Row],[Lutron Ballast PN]],Master_Reference[],14,FALSE)</f>
        <v>UNV</v>
      </c>
    </row>
    <row r="84" spans="1:3" x14ac:dyDescent="0.25">
      <c r="A84" s="29" t="s">
        <v>1396</v>
      </c>
      <c r="B84" s="29" t="s">
        <v>1201</v>
      </c>
      <c r="C84" s="28" t="str">
        <f>VLOOKUP(Grainger_Ballast_Lookup[[#This Row],[Lutron Ballast PN]],Master_Reference[],14,FALSE)</f>
        <v>UNV</v>
      </c>
    </row>
    <row r="85" spans="1:3" x14ac:dyDescent="0.25">
      <c r="A85" s="29" t="s">
        <v>1397</v>
      </c>
      <c r="B85" s="29" t="s">
        <v>1202</v>
      </c>
      <c r="C85" s="28" t="str">
        <f>VLOOKUP(Grainger_Ballast_Lookup[[#This Row],[Lutron Ballast PN]],Master_Reference[],14,FALSE)</f>
        <v>UNV</v>
      </c>
    </row>
    <row r="86" spans="1:3" x14ac:dyDescent="0.25">
      <c r="A86" s="56" t="s">
        <v>1398</v>
      </c>
      <c r="B86" s="56" t="s">
        <v>1399</v>
      </c>
      <c r="C86" s="56" t="e">
        <f>VLOOKUP(Grainger_Ballast_Lookup[[#This Row],[Lutron Ballast PN]],Master_Reference[],14,FALSE)</f>
        <v>#N/A</v>
      </c>
    </row>
  </sheetData>
  <conditionalFormatting sqref="A2:A86">
    <cfRule type="duplicateValues" dxfId="2" priority="3"/>
  </conditionalFormatting>
  <conditionalFormatting sqref="B2:B86">
    <cfRule type="duplicateValues" dxfId="1" priority="4"/>
  </conditionalFormatting>
  <pageMargins left="0.7" right="0.7" top="0.75" bottom="0.75" header="0.3" footer="0.3"/>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0BEAA-955D-4D40-8F3B-B8506415C424}">
  <sheetPr codeName="Sheet21"/>
  <dimension ref="A1:N357"/>
  <sheetViews>
    <sheetView topLeftCell="A46" zoomScale="85" zoomScaleNormal="85" workbookViewId="0">
      <selection activeCell="D29" sqref="D29"/>
    </sheetView>
  </sheetViews>
  <sheetFormatPr defaultRowHeight="15" x14ac:dyDescent="0.25"/>
  <cols>
    <col min="1" max="1" width="33" bestFit="1" customWidth="1"/>
    <col min="2" max="2" width="34" bestFit="1" customWidth="1"/>
    <col min="3" max="3" width="14.42578125" customWidth="1"/>
    <col min="4" max="4" width="29.28515625" bestFit="1" customWidth="1"/>
    <col min="5" max="5" width="14.7109375" bestFit="1" customWidth="1"/>
    <col min="6" max="6" width="14.5703125" bestFit="1" customWidth="1"/>
    <col min="7" max="7" width="16.28515625" customWidth="1"/>
    <col min="8" max="8" width="14.140625" customWidth="1"/>
    <col min="9" max="9" width="18.140625" customWidth="1"/>
    <col min="10" max="10" width="22.42578125" bestFit="1" customWidth="1"/>
    <col min="11" max="11" width="24.140625" bestFit="1" customWidth="1"/>
    <col min="12" max="13" width="24.140625" customWidth="1"/>
    <col min="14" max="14" width="37.85546875" customWidth="1"/>
    <col min="15" max="15" width="22.42578125" customWidth="1"/>
    <col min="16" max="16" width="11.140625" customWidth="1"/>
    <col min="17" max="17" width="16.7109375" bestFit="1" customWidth="1"/>
  </cols>
  <sheetData>
    <row r="1" spans="1:14" x14ac:dyDescent="0.25">
      <c r="A1" t="s">
        <v>1404</v>
      </c>
      <c r="B1" t="s">
        <v>44</v>
      </c>
      <c r="C1" t="s">
        <v>61</v>
      </c>
      <c r="D1" t="s">
        <v>1400</v>
      </c>
      <c r="E1" t="s">
        <v>2270</v>
      </c>
      <c r="F1" t="s">
        <v>2123</v>
      </c>
      <c r="G1" t="s">
        <v>1401</v>
      </c>
      <c r="H1" t="s">
        <v>1402</v>
      </c>
      <c r="I1" t="s">
        <v>1403</v>
      </c>
      <c r="J1" t="s">
        <v>2129</v>
      </c>
      <c r="K1" t="s">
        <v>1840</v>
      </c>
      <c r="L1" t="s">
        <v>2333</v>
      </c>
      <c r="M1" t="s">
        <v>2334</v>
      </c>
      <c r="N1" t="s">
        <v>2268</v>
      </c>
    </row>
    <row r="2" spans="1:14" hidden="1" x14ac:dyDescent="0.25">
      <c r="A2" t="s">
        <v>2315</v>
      </c>
      <c r="B2" t="s">
        <v>50</v>
      </c>
      <c r="C2" t="s">
        <v>1429</v>
      </c>
      <c r="D2" t="s">
        <v>1430</v>
      </c>
      <c r="E2">
        <v>1</v>
      </c>
      <c r="F2" cm="1">
        <f t="array" ref="F2">_xlfn.IFS(Lutron_CFlex_Lookup[[#This Row],[Kit Lamp Qty]]=1,24,Lutron_CFlex_Lookup[[#This Row],[Kit Lamp Qty]]=2,12,Lutron_CFlex_Lookup[[#This Row],[Kit Lamp Qty]]=3,8)</f>
        <v>24</v>
      </c>
      <c r="G2" s="81">
        <v>3000</v>
      </c>
      <c r="H2">
        <v>900</v>
      </c>
      <c r="I2" t="s">
        <v>150</v>
      </c>
      <c r="J2" t="s">
        <v>1656</v>
      </c>
      <c r="L2"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LED-G24QCB830</v>
      </c>
    </row>
    <row r="3" spans="1:14" hidden="1" x14ac:dyDescent="0.25">
      <c r="A3" t="s">
        <v>1762</v>
      </c>
      <c r="B3" t="s">
        <v>50</v>
      </c>
      <c r="C3" s="3" t="s">
        <v>1759</v>
      </c>
      <c r="D3" s="3" t="s">
        <v>1665</v>
      </c>
      <c r="E3">
        <v>1</v>
      </c>
      <c r="F3" cm="1">
        <f t="array" ref="F3">_xlfn.IFS(Lutron_CFlex_Lookup[[#This Row],[Kit Lamp Qty]]=1,24,Lutron_CFlex_Lookup[[#This Row],[Kit Lamp Qty]]=2,12,Lutron_CFlex_Lookup[[#This Row],[Kit Lamp Qty]]=3,8)</f>
        <v>24</v>
      </c>
      <c r="G3" s="81">
        <v>3000</v>
      </c>
      <c r="H3">
        <v>900</v>
      </c>
      <c r="I3" s="3" t="s">
        <v>1666</v>
      </c>
      <c r="J3" t="s">
        <v>2005</v>
      </c>
      <c r="L3"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3"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LED-G24QCB830</v>
      </c>
    </row>
    <row r="4" spans="1:14" hidden="1" x14ac:dyDescent="0.25">
      <c r="A4" t="s">
        <v>2316</v>
      </c>
      <c r="B4" t="s">
        <v>1405</v>
      </c>
      <c r="C4" t="s">
        <v>1429</v>
      </c>
      <c r="D4" t="s">
        <v>1430</v>
      </c>
      <c r="E4">
        <v>1</v>
      </c>
      <c r="F4" cm="1">
        <f t="array" ref="F4">_xlfn.IFS(Lutron_CFlex_Lookup[[#This Row],[Kit Lamp Qty]]=1,24,Lutron_CFlex_Lookup[[#This Row],[Kit Lamp Qty]]=2,12,Lutron_CFlex_Lookup[[#This Row],[Kit Lamp Qty]]=3,8)</f>
        <v>24</v>
      </c>
      <c r="G4" s="81">
        <v>3000</v>
      </c>
      <c r="H4">
        <v>900</v>
      </c>
      <c r="I4" t="s">
        <v>150</v>
      </c>
      <c r="J4" t="s">
        <v>1641</v>
      </c>
      <c r="L4" t="str">
        <f>_xlfn.XLOOKUP(Lutron_CFlex_Lookup[[#This Row],[C-FLEX Individual Kit]],Grackle_LED_Map[LED EcoSystem SKU],Grackle_LED_Map[EcoSystem Drivers],"",0)&amp;_xlfn.XLOOKUP(Lutron_CFlex_Lookup[[#This Row],[C-FLEX Individual Kit]],Grackle_LED_Map[LED 3W SKU with and without BMF],Grackle_LED_Map[3W Drivers],"",0)</f>
        <v>LDE4KSAA-1</v>
      </c>
      <c r="M4"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LED-G24QCB830</v>
      </c>
    </row>
    <row r="5" spans="1:14" hidden="1" x14ac:dyDescent="0.25">
      <c r="A5" t="s">
        <v>1667</v>
      </c>
      <c r="B5" t="s">
        <v>1405</v>
      </c>
      <c r="C5" t="s">
        <v>1759</v>
      </c>
      <c r="D5" t="s">
        <v>1665</v>
      </c>
      <c r="E5">
        <v>1</v>
      </c>
      <c r="F5" cm="1">
        <f t="array" ref="F5">_xlfn.IFS(Lutron_CFlex_Lookup[[#This Row],[Kit Lamp Qty]]=1,24,Lutron_CFlex_Lookup[[#This Row],[Kit Lamp Qty]]=2,12,Lutron_CFlex_Lookup[[#This Row],[Kit Lamp Qty]]=3,8)</f>
        <v>24</v>
      </c>
      <c r="G5" s="81">
        <v>3000</v>
      </c>
      <c r="H5">
        <v>900</v>
      </c>
      <c r="I5" t="s">
        <v>1666</v>
      </c>
      <c r="J5" t="s">
        <v>1935</v>
      </c>
      <c r="K5" s="2"/>
      <c r="L5" s="2" t="str">
        <f>_xlfn.XLOOKUP(Lutron_CFlex_Lookup[[#This Row],[C-FLEX Individual Kit]],Grackle_LED_Map[LED EcoSystem SKU],Grackle_LED_Map[EcoSystem Drivers],"",0)&amp;_xlfn.XLOOKUP(Lutron_CFlex_Lookup[[#This Row],[C-FLEX Individual Kit]],Grackle_LED_Map[LED 3W SKU with and without BMF],Grackle_LED_Map[3W Drivers],"",0)</f>
        <v>LDE4KNAA-1</v>
      </c>
      <c r="M5"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LED-G24QCB830</v>
      </c>
    </row>
    <row r="6" spans="1:14" hidden="1" x14ac:dyDescent="0.25">
      <c r="A6" t="s">
        <v>2317</v>
      </c>
      <c r="B6" t="s">
        <v>50</v>
      </c>
      <c r="C6" t="s">
        <v>1429</v>
      </c>
      <c r="D6" t="s">
        <v>1430</v>
      </c>
      <c r="E6">
        <v>1</v>
      </c>
      <c r="F6" cm="1">
        <f t="array" ref="F6">_xlfn.IFS(Lutron_CFlex_Lookup[[#This Row],[Kit Lamp Qty]]=1,24,Lutron_CFlex_Lookup[[#This Row],[Kit Lamp Qty]]=2,12,Lutron_CFlex_Lookup[[#This Row],[Kit Lamp Qty]]=3,8)</f>
        <v>24</v>
      </c>
      <c r="G6" s="81">
        <v>3500</v>
      </c>
      <c r="H6">
        <v>900</v>
      </c>
      <c r="I6" t="s">
        <v>150</v>
      </c>
      <c r="J6" t="s">
        <v>1657</v>
      </c>
      <c r="L6"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6"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LED-G24QCB835</v>
      </c>
    </row>
    <row r="7" spans="1:14" hidden="1" x14ac:dyDescent="0.25">
      <c r="A7" t="s">
        <v>1763</v>
      </c>
      <c r="B7" t="s">
        <v>50</v>
      </c>
      <c r="C7" s="3" t="s">
        <v>1759</v>
      </c>
      <c r="D7" s="3" t="s">
        <v>1665</v>
      </c>
      <c r="E7">
        <v>1</v>
      </c>
      <c r="F7" cm="1">
        <f t="array" ref="F7">_xlfn.IFS(Lutron_CFlex_Lookup[[#This Row],[Kit Lamp Qty]]=1,24,Lutron_CFlex_Lookup[[#This Row],[Kit Lamp Qty]]=2,12,Lutron_CFlex_Lookup[[#This Row],[Kit Lamp Qty]]=3,8)</f>
        <v>24</v>
      </c>
      <c r="G7" s="81">
        <v>3500</v>
      </c>
      <c r="H7">
        <v>900</v>
      </c>
      <c r="I7" s="3" t="s">
        <v>1666</v>
      </c>
      <c r="J7" t="s">
        <v>2006</v>
      </c>
      <c r="L7"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7"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LED-G24QCB835</v>
      </c>
    </row>
    <row r="8" spans="1:14" hidden="1" x14ac:dyDescent="0.25">
      <c r="A8" t="s">
        <v>2318</v>
      </c>
      <c r="B8" t="s">
        <v>1405</v>
      </c>
      <c r="C8" t="s">
        <v>1429</v>
      </c>
      <c r="D8" t="s">
        <v>1430</v>
      </c>
      <c r="E8">
        <v>1</v>
      </c>
      <c r="F8" cm="1">
        <f t="array" ref="F8">_xlfn.IFS(Lutron_CFlex_Lookup[[#This Row],[Kit Lamp Qty]]=1,24,Lutron_CFlex_Lookup[[#This Row],[Kit Lamp Qty]]=2,12,Lutron_CFlex_Lookup[[#This Row],[Kit Lamp Qty]]=3,8)</f>
        <v>24</v>
      </c>
      <c r="G8" s="81">
        <v>3500</v>
      </c>
      <c r="H8">
        <v>900</v>
      </c>
      <c r="I8" t="s">
        <v>150</v>
      </c>
      <c r="J8" t="s">
        <v>1642</v>
      </c>
      <c r="L8" t="str">
        <f>_xlfn.XLOOKUP(Lutron_CFlex_Lookup[[#This Row],[C-FLEX Individual Kit]],Grackle_LED_Map[LED EcoSystem SKU],Grackle_LED_Map[EcoSystem Drivers],"",0)&amp;_xlfn.XLOOKUP(Lutron_CFlex_Lookup[[#This Row],[C-FLEX Individual Kit]],Grackle_LED_Map[LED 3W SKU with and without BMF],Grackle_LED_Map[3W Drivers],"",0)</f>
        <v>LDE4KSAA-1</v>
      </c>
      <c r="M8"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LED-G24QCB835</v>
      </c>
    </row>
    <row r="9" spans="1:14" hidden="1" x14ac:dyDescent="0.25">
      <c r="A9" t="s">
        <v>1668</v>
      </c>
      <c r="B9" t="s">
        <v>1405</v>
      </c>
      <c r="C9" t="s">
        <v>1759</v>
      </c>
      <c r="D9" t="s">
        <v>1665</v>
      </c>
      <c r="E9">
        <v>1</v>
      </c>
      <c r="F9" cm="1">
        <f t="array" ref="F9">_xlfn.IFS(Lutron_CFlex_Lookup[[#This Row],[Kit Lamp Qty]]=1,24,Lutron_CFlex_Lookup[[#This Row],[Kit Lamp Qty]]=2,12,Lutron_CFlex_Lookup[[#This Row],[Kit Lamp Qty]]=3,8)</f>
        <v>24</v>
      </c>
      <c r="G9" s="81">
        <v>3500</v>
      </c>
      <c r="H9">
        <v>900</v>
      </c>
      <c r="I9" t="s">
        <v>1666</v>
      </c>
      <c r="J9" t="s">
        <v>1936</v>
      </c>
      <c r="K9" s="2"/>
      <c r="L9" s="2" t="str">
        <f>_xlfn.XLOOKUP(Lutron_CFlex_Lookup[[#This Row],[C-FLEX Individual Kit]],Grackle_LED_Map[LED EcoSystem SKU],Grackle_LED_Map[EcoSystem Drivers],"",0)&amp;_xlfn.XLOOKUP(Lutron_CFlex_Lookup[[#This Row],[C-FLEX Individual Kit]],Grackle_LED_Map[LED 3W SKU with and without BMF],Grackle_LED_Map[3W Drivers],"",0)</f>
        <v>LDE4KNAA-1</v>
      </c>
      <c r="M9"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LED-G24QCB835</v>
      </c>
    </row>
    <row r="10" spans="1:14" hidden="1" x14ac:dyDescent="0.25">
      <c r="A10" t="s">
        <v>2319</v>
      </c>
      <c r="B10" t="s">
        <v>50</v>
      </c>
      <c r="C10" t="s">
        <v>1429</v>
      </c>
      <c r="D10" t="s">
        <v>1430</v>
      </c>
      <c r="E10">
        <v>1</v>
      </c>
      <c r="F10" cm="1">
        <f t="array" ref="F10">_xlfn.IFS(Lutron_CFlex_Lookup[[#This Row],[Kit Lamp Qty]]=1,24,Lutron_CFlex_Lookup[[#This Row],[Kit Lamp Qty]]=2,12,Lutron_CFlex_Lookup[[#This Row],[Kit Lamp Qty]]=3,8)</f>
        <v>24</v>
      </c>
      <c r="G10" s="81">
        <v>4000</v>
      </c>
      <c r="H10">
        <v>900</v>
      </c>
      <c r="I10" t="s">
        <v>150</v>
      </c>
      <c r="J10" t="s">
        <v>1658</v>
      </c>
      <c r="L10"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10"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LED-G24QCB840</v>
      </c>
    </row>
    <row r="11" spans="1:14" hidden="1" x14ac:dyDescent="0.25">
      <c r="A11" t="s">
        <v>1764</v>
      </c>
      <c r="B11" t="s">
        <v>50</v>
      </c>
      <c r="C11" s="3" t="s">
        <v>1759</v>
      </c>
      <c r="D11" s="3" t="s">
        <v>1665</v>
      </c>
      <c r="E11">
        <v>1</v>
      </c>
      <c r="F11" cm="1">
        <f t="array" ref="F11">_xlfn.IFS(Lutron_CFlex_Lookup[[#This Row],[Kit Lamp Qty]]=1,24,Lutron_CFlex_Lookup[[#This Row],[Kit Lamp Qty]]=2,12,Lutron_CFlex_Lookup[[#This Row],[Kit Lamp Qty]]=3,8)</f>
        <v>24</v>
      </c>
      <c r="G11" s="81">
        <v>4000</v>
      </c>
      <c r="H11">
        <v>900</v>
      </c>
      <c r="I11" s="3" t="s">
        <v>1666</v>
      </c>
      <c r="J11" t="s">
        <v>2007</v>
      </c>
      <c r="L11"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11"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LED-G24QCB840</v>
      </c>
    </row>
    <row r="12" spans="1:14" hidden="1" x14ac:dyDescent="0.25">
      <c r="A12" t="s">
        <v>2320</v>
      </c>
      <c r="B12" t="s">
        <v>1405</v>
      </c>
      <c r="C12" t="s">
        <v>1429</v>
      </c>
      <c r="D12" t="s">
        <v>1430</v>
      </c>
      <c r="E12">
        <v>1</v>
      </c>
      <c r="F12" cm="1">
        <f t="array" ref="F12">_xlfn.IFS(Lutron_CFlex_Lookup[[#This Row],[Kit Lamp Qty]]=1,24,Lutron_CFlex_Lookup[[#This Row],[Kit Lamp Qty]]=2,12,Lutron_CFlex_Lookup[[#This Row],[Kit Lamp Qty]]=3,8)</f>
        <v>24</v>
      </c>
      <c r="G12" s="81">
        <v>4000</v>
      </c>
      <c r="H12">
        <v>900</v>
      </c>
      <c r="I12" t="s">
        <v>150</v>
      </c>
      <c r="J12" t="s">
        <v>1643</v>
      </c>
      <c r="L12" t="str">
        <f>_xlfn.XLOOKUP(Lutron_CFlex_Lookup[[#This Row],[C-FLEX Individual Kit]],Grackle_LED_Map[LED EcoSystem SKU],Grackle_LED_Map[EcoSystem Drivers],"",0)&amp;_xlfn.XLOOKUP(Lutron_CFlex_Lookup[[#This Row],[C-FLEX Individual Kit]],Grackle_LED_Map[LED 3W SKU with and without BMF],Grackle_LED_Map[3W Drivers],"",0)</f>
        <v>LDE4KSAA-1</v>
      </c>
      <c r="M1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LED-G24QCB840</v>
      </c>
    </row>
    <row r="13" spans="1:14" hidden="1" x14ac:dyDescent="0.25">
      <c r="A13" t="s">
        <v>1669</v>
      </c>
      <c r="B13" t="s">
        <v>1405</v>
      </c>
      <c r="C13" t="s">
        <v>1759</v>
      </c>
      <c r="D13" t="s">
        <v>1665</v>
      </c>
      <c r="E13">
        <v>1</v>
      </c>
      <c r="F13" cm="1">
        <f t="array" ref="F13">_xlfn.IFS(Lutron_CFlex_Lookup[[#This Row],[Kit Lamp Qty]]=1,24,Lutron_CFlex_Lookup[[#This Row],[Kit Lamp Qty]]=2,12,Lutron_CFlex_Lookup[[#This Row],[Kit Lamp Qty]]=3,8)</f>
        <v>24</v>
      </c>
      <c r="G13" s="81">
        <v>4000</v>
      </c>
      <c r="H13">
        <v>900</v>
      </c>
      <c r="I13" t="s">
        <v>1666</v>
      </c>
      <c r="J13" t="s">
        <v>1937</v>
      </c>
      <c r="K13" s="2"/>
      <c r="L13" s="2" t="str">
        <f>_xlfn.XLOOKUP(Lutron_CFlex_Lookup[[#This Row],[C-FLEX Individual Kit]],Grackle_LED_Map[LED EcoSystem SKU],Grackle_LED_Map[EcoSystem Drivers],"",0)&amp;_xlfn.XLOOKUP(Lutron_CFlex_Lookup[[#This Row],[C-FLEX Individual Kit]],Grackle_LED_Map[LED 3W SKU with and without BMF],Grackle_LED_Map[3W Drivers],"",0)</f>
        <v>LDE4KNAA-1</v>
      </c>
      <c r="M13"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LED-G24QCB840</v>
      </c>
    </row>
    <row r="14" spans="1:14" hidden="1" x14ac:dyDescent="0.25">
      <c r="A14" t="s">
        <v>2321</v>
      </c>
      <c r="B14" t="s">
        <v>50</v>
      </c>
      <c r="C14" t="s">
        <v>1424</v>
      </c>
      <c r="D14" t="s">
        <v>1425</v>
      </c>
      <c r="E14">
        <v>1</v>
      </c>
      <c r="F14" cm="1">
        <f t="array" ref="F14">_xlfn.IFS(Lutron_CFlex_Lookup[[#This Row],[Kit Lamp Qty]]=1,24,Lutron_CFlex_Lookup[[#This Row],[Kit Lamp Qty]]=2,12,Lutron_CFlex_Lookup[[#This Row],[Kit Lamp Qty]]=3,8)</f>
        <v>24</v>
      </c>
      <c r="G14" s="81">
        <v>3000</v>
      </c>
      <c r="H14">
        <v>1000</v>
      </c>
      <c r="I14" t="s">
        <v>150</v>
      </c>
      <c r="J14" t="s">
        <v>1653</v>
      </c>
      <c r="L14"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14"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LED-G24QCA830</v>
      </c>
    </row>
    <row r="15" spans="1:14" hidden="1" x14ac:dyDescent="0.25">
      <c r="A15" t="s">
        <v>1768</v>
      </c>
      <c r="B15" t="s">
        <v>50</v>
      </c>
      <c r="C15" s="3" t="s">
        <v>1759</v>
      </c>
      <c r="D15" s="3" t="s">
        <v>1673</v>
      </c>
      <c r="E15">
        <v>1</v>
      </c>
      <c r="F15" cm="1">
        <f t="array" ref="F15">_xlfn.IFS(Lutron_CFlex_Lookup[[#This Row],[Kit Lamp Qty]]=1,24,Lutron_CFlex_Lookup[[#This Row],[Kit Lamp Qty]]=2,12,Lutron_CFlex_Lookup[[#This Row],[Kit Lamp Qty]]=3,8)</f>
        <v>24</v>
      </c>
      <c r="G15" s="81">
        <v>3000</v>
      </c>
      <c r="H15">
        <v>1000</v>
      </c>
      <c r="I15" s="3" t="s">
        <v>1666</v>
      </c>
      <c r="J15" t="s">
        <v>2008</v>
      </c>
      <c r="L15"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15"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LED-G24QCA830</v>
      </c>
    </row>
    <row r="16" spans="1:14" hidden="1" x14ac:dyDescent="0.25">
      <c r="A16" t="s">
        <v>2322</v>
      </c>
      <c r="B16" t="s">
        <v>1405</v>
      </c>
      <c r="C16" t="s">
        <v>1424</v>
      </c>
      <c r="D16" t="s">
        <v>1425</v>
      </c>
      <c r="E16">
        <v>1</v>
      </c>
      <c r="F16" cm="1">
        <f t="array" ref="F16">_xlfn.IFS(Lutron_CFlex_Lookup[[#This Row],[Kit Lamp Qty]]=1,24,Lutron_CFlex_Lookup[[#This Row],[Kit Lamp Qty]]=2,12,Lutron_CFlex_Lookup[[#This Row],[Kit Lamp Qty]]=3,8)</f>
        <v>24</v>
      </c>
      <c r="G16" s="81">
        <v>3000</v>
      </c>
      <c r="H16">
        <v>1000</v>
      </c>
      <c r="I16" t="s">
        <v>150</v>
      </c>
      <c r="J16" t="s">
        <v>1638</v>
      </c>
      <c r="L16" t="str">
        <f>_xlfn.XLOOKUP(Lutron_CFlex_Lookup[[#This Row],[C-FLEX Individual Kit]],Grackle_LED_Map[LED EcoSystem SKU],Grackle_LED_Map[EcoSystem Drivers],"",0)&amp;_xlfn.XLOOKUP(Lutron_CFlex_Lookup[[#This Row],[C-FLEX Individual Kit]],Grackle_LED_Map[LED 3W SKU with and without BMF],Grackle_LED_Map[3W Drivers],"",0)</f>
        <v>LDE4KSAA-1</v>
      </c>
      <c r="M16"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LED-G24QCA830</v>
      </c>
    </row>
    <row r="17" spans="1:13" hidden="1" x14ac:dyDescent="0.25">
      <c r="A17" t="s">
        <v>1674</v>
      </c>
      <c r="B17" t="s">
        <v>1405</v>
      </c>
      <c r="C17" t="s">
        <v>1759</v>
      </c>
      <c r="D17" t="s">
        <v>1673</v>
      </c>
      <c r="E17">
        <v>1</v>
      </c>
      <c r="F17" cm="1">
        <f t="array" ref="F17">_xlfn.IFS(Lutron_CFlex_Lookup[[#This Row],[Kit Lamp Qty]]=1,24,Lutron_CFlex_Lookup[[#This Row],[Kit Lamp Qty]]=2,12,Lutron_CFlex_Lookup[[#This Row],[Kit Lamp Qty]]=3,8)</f>
        <v>24</v>
      </c>
      <c r="G17" s="81">
        <v>3000</v>
      </c>
      <c r="H17">
        <v>1000</v>
      </c>
      <c r="I17" t="s">
        <v>1666</v>
      </c>
      <c r="J17" t="s">
        <v>1938</v>
      </c>
      <c r="K17" s="2"/>
      <c r="L17" s="2" t="str">
        <f>_xlfn.XLOOKUP(Lutron_CFlex_Lookup[[#This Row],[C-FLEX Individual Kit]],Grackle_LED_Map[LED EcoSystem SKU],Grackle_LED_Map[EcoSystem Drivers],"",0)&amp;_xlfn.XLOOKUP(Lutron_CFlex_Lookup[[#This Row],[C-FLEX Individual Kit]],Grackle_LED_Map[LED 3W SKU with and without BMF],Grackle_LED_Map[3W Drivers],"",0)</f>
        <v>LDE4KNAA-1</v>
      </c>
      <c r="M17"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LED-G24QCA830</v>
      </c>
    </row>
    <row r="18" spans="1:13" hidden="1" x14ac:dyDescent="0.25">
      <c r="A18" t="s">
        <v>2323</v>
      </c>
      <c r="B18" t="s">
        <v>50</v>
      </c>
      <c r="C18" t="s">
        <v>1424</v>
      </c>
      <c r="D18" t="s">
        <v>1425</v>
      </c>
      <c r="E18">
        <v>1</v>
      </c>
      <c r="F18" cm="1">
        <f t="array" ref="F18">_xlfn.IFS(Lutron_CFlex_Lookup[[#This Row],[Kit Lamp Qty]]=1,24,Lutron_CFlex_Lookup[[#This Row],[Kit Lamp Qty]]=2,12,Lutron_CFlex_Lookup[[#This Row],[Kit Lamp Qty]]=3,8)</f>
        <v>24</v>
      </c>
      <c r="G18" s="81">
        <v>3500</v>
      </c>
      <c r="H18">
        <v>1000</v>
      </c>
      <c r="I18" t="s">
        <v>150</v>
      </c>
      <c r="J18" t="s">
        <v>1654</v>
      </c>
      <c r="L18"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18"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LED-G24QCA835</v>
      </c>
    </row>
    <row r="19" spans="1:13" hidden="1" x14ac:dyDescent="0.25">
      <c r="A19" t="s">
        <v>1769</v>
      </c>
      <c r="B19" t="s">
        <v>50</v>
      </c>
      <c r="C19" s="3" t="s">
        <v>1759</v>
      </c>
      <c r="D19" s="3" t="s">
        <v>1673</v>
      </c>
      <c r="E19">
        <v>1</v>
      </c>
      <c r="F19" cm="1">
        <f t="array" ref="F19">_xlfn.IFS(Lutron_CFlex_Lookup[[#This Row],[Kit Lamp Qty]]=1,24,Lutron_CFlex_Lookup[[#This Row],[Kit Lamp Qty]]=2,12,Lutron_CFlex_Lookup[[#This Row],[Kit Lamp Qty]]=3,8)</f>
        <v>24</v>
      </c>
      <c r="G19" s="81">
        <v>3500</v>
      </c>
      <c r="H19">
        <v>1000</v>
      </c>
      <c r="I19" s="3" t="s">
        <v>1666</v>
      </c>
      <c r="J19" t="s">
        <v>2009</v>
      </c>
      <c r="L19"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19"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LED-G24QCA835</v>
      </c>
    </row>
    <row r="20" spans="1:13" hidden="1" x14ac:dyDescent="0.25">
      <c r="A20" t="s">
        <v>2324</v>
      </c>
      <c r="B20" t="s">
        <v>1405</v>
      </c>
      <c r="C20" t="s">
        <v>1424</v>
      </c>
      <c r="D20" t="s">
        <v>1425</v>
      </c>
      <c r="E20">
        <v>1</v>
      </c>
      <c r="F20" cm="1">
        <f t="array" ref="F20">_xlfn.IFS(Lutron_CFlex_Lookup[[#This Row],[Kit Lamp Qty]]=1,24,Lutron_CFlex_Lookup[[#This Row],[Kit Lamp Qty]]=2,12,Lutron_CFlex_Lookup[[#This Row],[Kit Lamp Qty]]=3,8)</f>
        <v>24</v>
      </c>
      <c r="G20" s="81">
        <v>3500</v>
      </c>
      <c r="H20">
        <v>1000</v>
      </c>
      <c r="I20" t="s">
        <v>150</v>
      </c>
      <c r="J20" t="s">
        <v>1639</v>
      </c>
      <c r="L20" t="str">
        <f>_xlfn.XLOOKUP(Lutron_CFlex_Lookup[[#This Row],[C-FLEX Individual Kit]],Grackle_LED_Map[LED EcoSystem SKU],Grackle_LED_Map[EcoSystem Drivers],"",0)&amp;_xlfn.XLOOKUP(Lutron_CFlex_Lookup[[#This Row],[C-FLEX Individual Kit]],Grackle_LED_Map[LED 3W SKU with and without BMF],Grackle_LED_Map[3W Drivers],"",0)</f>
        <v>LDE4KSAA-1</v>
      </c>
      <c r="M20"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LED-G24QCA835</v>
      </c>
    </row>
    <row r="21" spans="1:13" hidden="1" x14ac:dyDescent="0.25">
      <c r="A21" t="s">
        <v>1675</v>
      </c>
      <c r="B21" t="s">
        <v>1405</v>
      </c>
      <c r="C21" t="s">
        <v>1759</v>
      </c>
      <c r="D21" t="s">
        <v>1673</v>
      </c>
      <c r="E21">
        <v>1</v>
      </c>
      <c r="F21" cm="1">
        <f t="array" ref="F21">_xlfn.IFS(Lutron_CFlex_Lookup[[#This Row],[Kit Lamp Qty]]=1,24,Lutron_CFlex_Lookup[[#This Row],[Kit Lamp Qty]]=2,12,Lutron_CFlex_Lookup[[#This Row],[Kit Lamp Qty]]=3,8)</f>
        <v>24</v>
      </c>
      <c r="G21" s="81">
        <v>3500</v>
      </c>
      <c r="H21">
        <v>1000</v>
      </c>
      <c r="I21" t="s">
        <v>1666</v>
      </c>
      <c r="J21" t="s">
        <v>1939</v>
      </c>
      <c r="K21" s="2"/>
      <c r="L21" s="2" t="str">
        <f>_xlfn.XLOOKUP(Lutron_CFlex_Lookup[[#This Row],[C-FLEX Individual Kit]],Grackle_LED_Map[LED EcoSystem SKU],Grackle_LED_Map[EcoSystem Drivers],"",0)&amp;_xlfn.XLOOKUP(Lutron_CFlex_Lookup[[#This Row],[C-FLEX Individual Kit]],Grackle_LED_Map[LED 3W SKU with and without BMF],Grackle_LED_Map[3W Drivers],"",0)</f>
        <v>LDE4KNAA-1</v>
      </c>
      <c r="M21"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LED-G24QCA835</v>
      </c>
    </row>
    <row r="22" spans="1:13" hidden="1" x14ac:dyDescent="0.25">
      <c r="A22" t="s">
        <v>2325</v>
      </c>
      <c r="B22" t="s">
        <v>50</v>
      </c>
      <c r="C22" t="s">
        <v>1424</v>
      </c>
      <c r="D22" t="s">
        <v>1425</v>
      </c>
      <c r="E22">
        <v>1</v>
      </c>
      <c r="F22" cm="1">
        <f t="array" ref="F22">_xlfn.IFS(Lutron_CFlex_Lookup[[#This Row],[Kit Lamp Qty]]=1,24,Lutron_CFlex_Lookup[[#This Row],[Kit Lamp Qty]]=2,12,Lutron_CFlex_Lookup[[#This Row],[Kit Lamp Qty]]=3,8)</f>
        <v>24</v>
      </c>
      <c r="G22" s="81">
        <v>4000</v>
      </c>
      <c r="H22">
        <v>1000</v>
      </c>
      <c r="I22" t="s">
        <v>150</v>
      </c>
      <c r="J22" t="s">
        <v>1655</v>
      </c>
      <c r="L22"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2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LED-G24QCA840</v>
      </c>
    </row>
    <row r="23" spans="1:13" hidden="1" x14ac:dyDescent="0.25">
      <c r="A23" t="s">
        <v>1770</v>
      </c>
      <c r="B23" t="s">
        <v>50</v>
      </c>
      <c r="C23" s="3" t="s">
        <v>1759</v>
      </c>
      <c r="D23" s="3" t="s">
        <v>1673</v>
      </c>
      <c r="E23">
        <v>1</v>
      </c>
      <c r="F23" cm="1">
        <f t="array" ref="F23">_xlfn.IFS(Lutron_CFlex_Lookup[[#This Row],[Kit Lamp Qty]]=1,24,Lutron_CFlex_Lookup[[#This Row],[Kit Lamp Qty]]=2,12,Lutron_CFlex_Lookup[[#This Row],[Kit Lamp Qty]]=3,8)</f>
        <v>24</v>
      </c>
      <c r="G23" s="81">
        <v>4000</v>
      </c>
      <c r="H23">
        <v>1000</v>
      </c>
      <c r="I23" s="3" t="s">
        <v>1666</v>
      </c>
      <c r="J23" t="s">
        <v>2010</v>
      </c>
      <c r="L23"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23"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LED-G24QCA840</v>
      </c>
    </row>
    <row r="24" spans="1:13" hidden="1" x14ac:dyDescent="0.25">
      <c r="A24" t="s">
        <v>2326</v>
      </c>
      <c r="B24" t="s">
        <v>1405</v>
      </c>
      <c r="C24" t="s">
        <v>1424</v>
      </c>
      <c r="D24" t="s">
        <v>1425</v>
      </c>
      <c r="E24">
        <v>1</v>
      </c>
      <c r="F24" cm="1">
        <f t="array" ref="F24">_xlfn.IFS(Lutron_CFlex_Lookup[[#This Row],[Kit Lamp Qty]]=1,24,Lutron_CFlex_Lookup[[#This Row],[Kit Lamp Qty]]=2,12,Lutron_CFlex_Lookup[[#This Row],[Kit Lamp Qty]]=3,8)</f>
        <v>24</v>
      </c>
      <c r="G24" s="81">
        <v>4000</v>
      </c>
      <c r="H24">
        <v>1000</v>
      </c>
      <c r="I24" t="s">
        <v>150</v>
      </c>
      <c r="J24" t="s">
        <v>1640</v>
      </c>
      <c r="L24" t="str">
        <f>_xlfn.XLOOKUP(Lutron_CFlex_Lookup[[#This Row],[C-FLEX Individual Kit]],Grackle_LED_Map[LED EcoSystem SKU],Grackle_LED_Map[EcoSystem Drivers],"",0)&amp;_xlfn.XLOOKUP(Lutron_CFlex_Lookup[[#This Row],[C-FLEX Individual Kit]],Grackle_LED_Map[LED 3W SKU with and without BMF],Grackle_LED_Map[3W Drivers],"",0)</f>
        <v>LDE4KSAA-1</v>
      </c>
      <c r="M24"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LED-G24QCA840</v>
      </c>
    </row>
    <row r="25" spans="1:13" hidden="1" x14ac:dyDescent="0.25">
      <c r="A25" t="s">
        <v>1676</v>
      </c>
      <c r="B25" t="s">
        <v>1405</v>
      </c>
      <c r="C25" t="s">
        <v>1759</v>
      </c>
      <c r="D25" t="s">
        <v>1673</v>
      </c>
      <c r="E25">
        <v>1</v>
      </c>
      <c r="F25" cm="1">
        <f t="array" ref="F25">_xlfn.IFS(Lutron_CFlex_Lookup[[#This Row],[Kit Lamp Qty]]=1,24,Lutron_CFlex_Lookup[[#This Row],[Kit Lamp Qty]]=2,12,Lutron_CFlex_Lookup[[#This Row],[Kit Lamp Qty]]=3,8)</f>
        <v>24</v>
      </c>
      <c r="G25" s="81">
        <v>4000</v>
      </c>
      <c r="H25">
        <v>1000</v>
      </c>
      <c r="I25" t="s">
        <v>1666</v>
      </c>
      <c r="J25" t="s">
        <v>1940</v>
      </c>
      <c r="K25" s="2"/>
      <c r="L25" s="2" t="str">
        <f>_xlfn.XLOOKUP(Lutron_CFlex_Lookup[[#This Row],[C-FLEX Individual Kit]],Grackle_LED_Map[LED EcoSystem SKU],Grackle_LED_Map[EcoSystem Drivers],"",0)&amp;_xlfn.XLOOKUP(Lutron_CFlex_Lookup[[#This Row],[C-FLEX Individual Kit]],Grackle_LED_Map[LED 3W SKU with and without BMF],Grackle_LED_Map[3W Drivers],"",0)</f>
        <v>LDE4KNAA-1</v>
      </c>
      <c r="M25"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LED-G24QCA840</v>
      </c>
    </row>
    <row r="26" spans="1:13" x14ac:dyDescent="0.25">
      <c r="A26" t="s">
        <v>1795</v>
      </c>
      <c r="B26" t="s">
        <v>50</v>
      </c>
      <c r="C26" s="3" t="s">
        <v>1759</v>
      </c>
      <c r="D26" s="3" t="s">
        <v>1704</v>
      </c>
      <c r="E26">
        <v>1</v>
      </c>
      <c r="F26" cm="1">
        <f t="array" ref="F26">_xlfn.IFS(Lutron_CFlex_Lookup[[#This Row],[Kit Lamp Qty]]=1,24,Lutron_CFlex_Lookup[[#This Row],[Kit Lamp Qty]]=2,12,Lutron_CFlex_Lookup[[#This Row],[Kit Lamp Qty]]=3,8)</f>
        <v>24</v>
      </c>
      <c r="G26" s="81">
        <v>3000</v>
      </c>
      <c r="H26">
        <v>1200</v>
      </c>
      <c r="I26" s="3" t="s">
        <v>150</v>
      </c>
      <c r="J26" t="s">
        <v>2035</v>
      </c>
      <c r="L26"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26"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LED-G24QCC830</v>
      </c>
    </row>
    <row r="27" spans="1:13" x14ac:dyDescent="0.25">
      <c r="A27" t="s">
        <v>1796</v>
      </c>
      <c r="B27" t="s">
        <v>50</v>
      </c>
      <c r="C27" s="3" t="s">
        <v>1759</v>
      </c>
      <c r="D27" s="3" t="s">
        <v>1704</v>
      </c>
      <c r="E27">
        <v>1</v>
      </c>
      <c r="F27" cm="1">
        <f t="array" ref="F27">_xlfn.IFS(Lutron_CFlex_Lookup[[#This Row],[Kit Lamp Qty]]=1,24,Lutron_CFlex_Lookup[[#This Row],[Kit Lamp Qty]]=2,12,Lutron_CFlex_Lookup[[#This Row],[Kit Lamp Qty]]=3,8)</f>
        <v>24</v>
      </c>
      <c r="G27" s="81">
        <v>3000</v>
      </c>
      <c r="H27">
        <v>1200</v>
      </c>
      <c r="I27" s="3" t="s">
        <v>1666</v>
      </c>
      <c r="J27" t="s">
        <v>2036</v>
      </c>
      <c r="L27"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27"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LED-G24QCC-830</v>
      </c>
    </row>
    <row r="28" spans="1:13" x14ac:dyDescent="0.25">
      <c r="A28" t="s">
        <v>1705</v>
      </c>
      <c r="B28" t="s">
        <v>1405</v>
      </c>
      <c r="C28" t="s">
        <v>1759</v>
      </c>
      <c r="D28" t="s">
        <v>1704</v>
      </c>
      <c r="E28">
        <v>1</v>
      </c>
      <c r="F28" cm="1">
        <f t="array" ref="F28">_xlfn.IFS(Lutron_CFlex_Lookup[[#This Row],[Kit Lamp Qty]]=1,24,Lutron_CFlex_Lookup[[#This Row],[Kit Lamp Qty]]=2,12,Lutron_CFlex_Lookup[[#This Row],[Kit Lamp Qty]]=3,8)</f>
        <v>24</v>
      </c>
      <c r="G28" s="81">
        <v>3000</v>
      </c>
      <c r="H28">
        <v>1200</v>
      </c>
      <c r="I28" t="s">
        <v>150</v>
      </c>
      <c r="J28" t="s">
        <v>1965</v>
      </c>
      <c r="K28" s="2"/>
      <c r="L28"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28"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LED-G24QCC830</v>
      </c>
    </row>
    <row r="29" spans="1:13" x14ac:dyDescent="0.25">
      <c r="A29" t="s">
        <v>1706</v>
      </c>
      <c r="B29" t="s">
        <v>1405</v>
      </c>
      <c r="C29" t="s">
        <v>1759</v>
      </c>
      <c r="D29" t="s">
        <v>1704</v>
      </c>
      <c r="E29">
        <v>1</v>
      </c>
      <c r="F29" cm="1">
        <f t="array" ref="F29">_xlfn.IFS(Lutron_CFlex_Lookup[[#This Row],[Kit Lamp Qty]]=1,24,Lutron_CFlex_Lookup[[#This Row],[Kit Lamp Qty]]=2,12,Lutron_CFlex_Lookup[[#This Row],[Kit Lamp Qty]]=3,8)</f>
        <v>24</v>
      </c>
      <c r="G29" s="81">
        <v>3000</v>
      </c>
      <c r="H29">
        <v>1200</v>
      </c>
      <c r="I29" t="s">
        <v>1666</v>
      </c>
      <c r="J29" t="s">
        <v>1966</v>
      </c>
      <c r="K29" s="2"/>
      <c r="L29"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29"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LED-G24QCC-830</v>
      </c>
    </row>
    <row r="30" spans="1:13" x14ac:dyDescent="0.25">
      <c r="A30" t="s">
        <v>1797</v>
      </c>
      <c r="B30" t="s">
        <v>50</v>
      </c>
      <c r="C30" s="3" t="s">
        <v>1759</v>
      </c>
      <c r="D30" s="3" t="s">
        <v>1704</v>
      </c>
      <c r="E30">
        <v>1</v>
      </c>
      <c r="F30" cm="1">
        <f t="array" ref="F30">_xlfn.IFS(Lutron_CFlex_Lookup[[#This Row],[Kit Lamp Qty]]=1,24,Lutron_CFlex_Lookup[[#This Row],[Kit Lamp Qty]]=2,12,Lutron_CFlex_Lookup[[#This Row],[Kit Lamp Qty]]=3,8)</f>
        <v>24</v>
      </c>
      <c r="G30" s="81">
        <v>3500</v>
      </c>
      <c r="H30">
        <v>1200</v>
      </c>
      <c r="I30" s="3" t="s">
        <v>150</v>
      </c>
      <c r="J30" t="s">
        <v>2037</v>
      </c>
      <c r="L30"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30"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LED-G24QCC835</v>
      </c>
    </row>
    <row r="31" spans="1:13" x14ac:dyDescent="0.25">
      <c r="A31" t="s">
        <v>1798</v>
      </c>
      <c r="B31" t="s">
        <v>50</v>
      </c>
      <c r="C31" s="3" t="s">
        <v>1759</v>
      </c>
      <c r="D31" s="3" t="s">
        <v>1704</v>
      </c>
      <c r="E31">
        <v>1</v>
      </c>
      <c r="F31" cm="1">
        <f t="array" ref="F31">_xlfn.IFS(Lutron_CFlex_Lookup[[#This Row],[Kit Lamp Qty]]=1,24,Lutron_CFlex_Lookup[[#This Row],[Kit Lamp Qty]]=2,12,Lutron_CFlex_Lookup[[#This Row],[Kit Lamp Qty]]=3,8)</f>
        <v>24</v>
      </c>
      <c r="G31" s="81">
        <v>3500</v>
      </c>
      <c r="H31">
        <v>1200</v>
      </c>
      <c r="I31" s="3" t="s">
        <v>1666</v>
      </c>
      <c r="J31" t="s">
        <v>2038</v>
      </c>
      <c r="L31"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31"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LED-G24QCC-835</v>
      </c>
    </row>
    <row r="32" spans="1:13" x14ac:dyDescent="0.25">
      <c r="A32" t="s">
        <v>1707</v>
      </c>
      <c r="B32" t="s">
        <v>1405</v>
      </c>
      <c r="C32" t="s">
        <v>1759</v>
      </c>
      <c r="D32" t="s">
        <v>1704</v>
      </c>
      <c r="E32">
        <v>1</v>
      </c>
      <c r="F32" cm="1">
        <f t="array" ref="F32">_xlfn.IFS(Lutron_CFlex_Lookup[[#This Row],[Kit Lamp Qty]]=1,24,Lutron_CFlex_Lookup[[#This Row],[Kit Lamp Qty]]=2,12,Lutron_CFlex_Lookup[[#This Row],[Kit Lamp Qty]]=3,8)</f>
        <v>24</v>
      </c>
      <c r="G32" s="81">
        <v>3500</v>
      </c>
      <c r="H32">
        <v>1200</v>
      </c>
      <c r="I32" t="s">
        <v>150</v>
      </c>
      <c r="J32" t="s">
        <v>1967</v>
      </c>
      <c r="K32" s="2"/>
      <c r="L32"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32"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LED-G24QCC835</v>
      </c>
    </row>
    <row r="33" spans="1:13" x14ac:dyDescent="0.25">
      <c r="A33" t="s">
        <v>1708</v>
      </c>
      <c r="B33" t="s">
        <v>1405</v>
      </c>
      <c r="C33" t="s">
        <v>1759</v>
      </c>
      <c r="D33" t="s">
        <v>1704</v>
      </c>
      <c r="E33">
        <v>1</v>
      </c>
      <c r="F33" cm="1">
        <f t="array" ref="F33">_xlfn.IFS(Lutron_CFlex_Lookup[[#This Row],[Kit Lamp Qty]]=1,24,Lutron_CFlex_Lookup[[#This Row],[Kit Lamp Qty]]=2,12,Lutron_CFlex_Lookup[[#This Row],[Kit Lamp Qty]]=3,8)</f>
        <v>24</v>
      </c>
      <c r="G33" s="81">
        <v>3500</v>
      </c>
      <c r="H33">
        <v>1200</v>
      </c>
      <c r="I33" t="s">
        <v>1666</v>
      </c>
      <c r="J33" t="s">
        <v>1968</v>
      </c>
      <c r="K33" s="2"/>
      <c r="L33"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33"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LED-G24QCC-835</v>
      </c>
    </row>
    <row r="34" spans="1:13" x14ac:dyDescent="0.25">
      <c r="A34" t="s">
        <v>1799</v>
      </c>
      <c r="B34" t="s">
        <v>50</v>
      </c>
      <c r="C34" s="3" t="s">
        <v>1759</v>
      </c>
      <c r="D34" s="3" t="s">
        <v>1704</v>
      </c>
      <c r="E34">
        <v>1</v>
      </c>
      <c r="F34" cm="1">
        <f t="array" ref="F34">_xlfn.IFS(Lutron_CFlex_Lookup[[#This Row],[Kit Lamp Qty]]=1,24,Lutron_CFlex_Lookup[[#This Row],[Kit Lamp Qty]]=2,12,Lutron_CFlex_Lookup[[#This Row],[Kit Lamp Qty]]=3,8)</f>
        <v>24</v>
      </c>
      <c r="G34" s="81">
        <v>4000</v>
      </c>
      <c r="H34">
        <v>1200</v>
      </c>
      <c r="I34" s="3" t="s">
        <v>150</v>
      </c>
      <c r="J34" t="s">
        <v>2039</v>
      </c>
      <c r="L34"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34"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LED-G24QCC840</v>
      </c>
    </row>
    <row r="35" spans="1:13" x14ac:dyDescent="0.25">
      <c r="A35" t="s">
        <v>1800</v>
      </c>
      <c r="B35" t="s">
        <v>50</v>
      </c>
      <c r="C35" s="3" t="s">
        <v>1759</v>
      </c>
      <c r="D35" s="3" t="s">
        <v>1704</v>
      </c>
      <c r="E35">
        <v>1</v>
      </c>
      <c r="F35" cm="1">
        <f t="array" ref="F35">_xlfn.IFS(Lutron_CFlex_Lookup[[#This Row],[Kit Lamp Qty]]=1,24,Lutron_CFlex_Lookup[[#This Row],[Kit Lamp Qty]]=2,12,Lutron_CFlex_Lookup[[#This Row],[Kit Lamp Qty]]=3,8)</f>
        <v>24</v>
      </c>
      <c r="G35" s="81">
        <v>4000</v>
      </c>
      <c r="H35">
        <v>1200</v>
      </c>
      <c r="I35" s="3" t="s">
        <v>1666</v>
      </c>
      <c r="J35" t="s">
        <v>2040</v>
      </c>
      <c r="L35"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35"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LED-G24QCC-840</v>
      </c>
    </row>
    <row r="36" spans="1:13" x14ac:dyDescent="0.25">
      <c r="A36" t="s">
        <v>1709</v>
      </c>
      <c r="B36" t="s">
        <v>1405</v>
      </c>
      <c r="C36" t="s">
        <v>1759</v>
      </c>
      <c r="D36" t="s">
        <v>1704</v>
      </c>
      <c r="E36">
        <v>1</v>
      </c>
      <c r="F36" cm="1">
        <f t="array" ref="F36">_xlfn.IFS(Lutron_CFlex_Lookup[[#This Row],[Kit Lamp Qty]]=1,24,Lutron_CFlex_Lookup[[#This Row],[Kit Lamp Qty]]=2,12,Lutron_CFlex_Lookup[[#This Row],[Kit Lamp Qty]]=3,8)</f>
        <v>24</v>
      </c>
      <c r="G36" s="81">
        <v>4000</v>
      </c>
      <c r="H36">
        <v>1200</v>
      </c>
      <c r="I36" t="s">
        <v>150</v>
      </c>
      <c r="J36" t="s">
        <v>1969</v>
      </c>
      <c r="K36" s="2"/>
      <c r="L36"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36"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LED-G24QCC840</v>
      </c>
    </row>
    <row r="37" spans="1:13" x14ac:dyDescent="0.25">
      <c r="A37" t="s">
        <v>1710</v>
      </c>
      <c r="B37" t="s">
        <v>1405</v>
      </c>
      <c r="C37" t="s">
        <v>1759</v>
      </c>
      <c r="D37" t="s">
        <v>1704</v>
      </c>
      <c r="E37">
        <v>1</v>
      </c>
      <c r="F37" cm="1">
        <f t="array" ref="F37">_xlfn.IFS(Lutron_CFlex_Lookup[[#This Row],[Kit Lamp Qty]]=1,24,Lutron_CFlex_Lookup[[#This Row],[Kit Lamp Qty]]=2,12,Lutron_CFlex_Lookup[[#This Row],[Kit Lamp Qty]]=3,8)</f>
        <v>24</v>
      </c>
      <c r="G37" s="81">
        <v>4000</v>
      </c>
      <c r="H37">
        <v>1200</v>
      </c>
      <c r="I37" t="s">
        <v>1666</v>
      </c>
      <c r="J37" t="s">
        <v>1970</v>
      </c>
      <c r="K37" s="2"/>
      <c r="L37"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37"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LED-G24QCC-840</v>
      </c>
    </row>
    <row r="38" spans="1:13" x14ac:dyDescent="0.25">
      <c r="A38" t="s">
        <v>1789</v>
      </c>
      <c r="B38" t="s">
        <v>50</v>
      </c>
      <c r="C38" s="3" t="s">
        <v>1759</v>
      </c>
      <c r="D38" s="3" t="s">
        <v>1697</v>
      </c>
      <c r="E38">
        <v>1</v>
      </c>
      <c r="F38" cm="1">
        <f t="array" ref="F38">_xlfn.IFS(Lutron_CFlex_Lookup[[#This Row],[Kit Lamp Qty]]=1,24,Lutron_CFlex_Lookup[[#This Row],[Kit Lamp Qty]]=2,12,Lutron_CFlex_Lookup[[#This Row],[Kit Lamp Qty]]=3,8)</f>
        <v>24</v>
      </c>
      <c r="G38" s="81">
        <v>3000</v>
      </c>
      <c r="H38">
        <v>1200</v>
      </c>
      <c r="I38" s="3" t="s">
        <v>150</v>
      </c>
      <c r="J38" t="s">
        <v>2029</v>
      </c>
      <c r="L38"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38"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LED-G24QCC830</v>
      </c>
    </row>
    <row r="39" spans="1:13" x14ac:dyDescent="0.25">
      <c r="A39" t="s">
        <v>1790</v>
      </c>
      <c r="B39" t="s">
        <v>50</v>
      </c>
      <c r="C39" s="3" t="s">
        <v>1759</v>
      </c>
      <c r="D39" s="3" t="s">
        <v>1697</v>
      </c>
      <c r="E39">
        <v>1</v>
      </c>
      <c r="F39" cm="1">
        <f t="array" ref="F39">_xlfn.IFS(Lutron_CFlex_Lookup[[#This Row],[Kit Lamp Qty]]=1,24,Lutron_CFlex_Lookup[[#This Row],[Kit Lamp Qty]]=2,12,Lutron_CFlex_Lookup[[#This Row],[Kit Lamp Qty]]=3,8)</f>
        <v>24</v>
      </c>
      <c r="G39" s="81">
        <v>3000</v>
      </c>
      <c r="H39">
        <v>1200</v>
      </c>
      <c r="I39" s="3" t="s">
        <v>1666</v>
      </c>
      <c r="J39" t="s">
        <v>2030</v>
      </c>
      <c r="L39"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39"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LED-G24QCC-830</v>
      </c>
    </row>
    <row r="40" spans="1:13" x14ac:dyDescent="0.25">
      <c r="A40" t="s">
        <v>1698</v>
      </c>
      <c r="B40" t="s">
        <v>1405</v>
      </c>
      <c r="C40" t="s">
        <v>1759</v>
      </c>
      <c r="D40" t="s">
        <v>1697</v>
      </c>
      <c r="E40">
        <v>1</v>
      </c>
      <c r="F40" cm="1">
        <f t="array" ref="F40">_xlfn.IFS(Lutron_CFlex_Lookup[[#This Row],[Kit Lamp Qty]]=1,24,Lutron_CFlex_Lookup[[#This Row],[Kit Lamp Qty]]=2,12,Lutron_CFlex_Lookup[[#This Row],[Kit Lamp Qty]]=3,8)</f>
        <v>24</v>
      </c>
      <c r="G40" s="81">
        <v>3000</v>
      </c>
      <c r="H40">
        <v>1200</v>
      </c>
      <c r="I40" t="s">
        <v>150</v>
      </c>
      <c r="J40" t="s">
        <v>1959</v>
      </c>
      <c r="K40" s="2"/>
      <c r="L40"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40"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LED-G24QCC830</v>
      </c>
    </row>
    <row r="41" spans="1:13" x14ac:dyDescent="0.25">
      <c r="A41" t="s">
        <v>1699</v>
      </c>
      <c r="B41" t="s">
        <v>1405</v>
      </c>
      <c r="C41" t="s">
        <v>1759</v>
      </c>
      <c r="D41" t="s">
        <v>1697</v>
      </c>
      <c r="E41">
        <v>1</v>
      </c>
      <c r="F41" cm="1">
        <f t="array" ref="F41">_xlfn.IFS(Lutron_CFlex_Lookup[[#This Row],[Kit Lamp Qty]]=1,24,Lutron_CFlex_Lookup[[#This Row],[Kit Lamp Qty]]=2,12,Lutron_CFlex_Lookup[[#This Row],[Kit Lamp Qty]]=3,8)</f>
        <v>24</v>
      </c>
      <c r="G41" s="81">
        <v>3000</v>
      </c>
      <c r="H41">
        <v>1200</v>
      </c>
      <c r="I41" t="s">
        <v>1666</v>
      </c>
      <c r="J41" t="s">
        <v>1960</v>
      </c>
      <c r="K41" s="2"/>
      <c r="L41"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41"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LED-G24QCC-830</v>
      </c>
    </row>
    <row r="42" spans="1:13" x14ac:dyDescent="0.25">
      <c r="A42" t="s">
        <v>1791</v>
      </c>
      <c r="B42" t="s">
        <v>50</v>
      </c>
      <c r="C42" s="3" t="s">
        <v>1759</v>
      </c>
      <c r="D42" s="3" t="s">
        <v>1697</v>
      </c>
      <c r="E42">
        <v>1</v>
      </c>
      <c r="F42" cm="1">
        <f t="array" ref="F42">_xlfn.IFS(Lutron_CFlex_Lookup[[#This Row],[Kit Lamp Qty]]=1,24,Lutron_CFlex_Lookup[[#This Row],[Kit Lamp Qty]]=2,12,Lutron_CFlex_Lookup[[#This Row],[Kit Lamp Qty]]=3,8)</f>
        <v>24</v>
      </c>
      <c r="G42" s="81">
        <v>3500</v>
      </c>
      <c r="H42">
        <v>1200</v>
      </c>
      <c r="I42" s="3" t="s">
        <v>150</v>
      </c>
      <c r="J42" t="s">
        <v>2031</v>
      </c>
      <c r="L42"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4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LED-G24QCC835</v>
      </c>
    </row>
    <row r="43" spans="1:13" x14ac:dyDescent="0.25">
      <c r="A43" t="s">
        <v>1792</v>
      </c>
      <c r="B43" t="s">
        <v>50</v>
      </c>
      <c r="C43" s="3" t="s">
        <v>1759</v>
      </c>
      <c r="D43" s="3" t="s">
        <v>1697</v>
      </c>
      <c r="E43">
        <v>1</v>
      </c>
      <c r="F43" cm="1">
        <f t="array" ref="F43">_xlfn.IFS(Lutron_CFlex_Lookup[[#This Row],[Kit Lamp Qty]]=1,24,Lutron_CFlex_Lookup[[#This Row],[Kit Lamp Qty]]=2,12,Lutron_CFlex_Lookup[[#This Row],[Kit Lamp Qty]]=3,8)</f>
        <v>24</v>
      </c>
      <c r="G43" s="81">
        <v>3500</v>
      </c>
      <c r="H43">
        <v>1200</v>
      </c>
      <c r="I43" s="3" t="s">
        <v>1666</v>
      </c>
      <c r="J43" t="s">
        <v>2032</v>
      </c>
      <c r="L43"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43"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LED-G24QCC-835</v>
      </c>
    </row>
    <row r="44" spans="1:13" x14ac:dyDescent="0.25">
      <c r="A44" t="s">
        <v>1700</v>
      </c>
      <c r="B44" t="s">
        <v>1405</v>
      </c>
      <c r="C44" t="s">
        <v>1759</v>
      </c>
      <c r="D44" t="s">
        <v>1697</v>
      </c>
      <c r="E44">
        <v>1</v>
      </c>
      <c r="F44" cm="1">
        <f t="array" ref="F44">_xlfn.IFS(Lutron_CFlex_Lookup[[#This Row],[Kit Lamp Qty]]=1,24,Lutron_CFlex_Lookup[[#This Row],[Kit Lamp Qty]]=2,12,Lutron_CFlex_Lookup[[#This Row],[Kit Lamp Qty]]=3,8)</f>
        <v>24</v>
      </c>
      <c r="G44" s="81">
        <v>3500</v>
      </c>
      <c r="H44">
        <v>1200</v>
      </c>
      <c r="I44" t="s">
        <v>150</v>
      </c>
      <c r="J44" t="s">
        <v>1961</v>
      </c>
      <c r="K44" s="2"/>
      <c r="L44"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44"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LED-G24QCC835</v>
      </c>
    </row>
    <row r="45" spans="1:13" x14ac:dyDescent="0.25">
      <c r="A45" t="s">
        <v>1701</v>
      </c>
      <c r="B45" t="s">
        <v>1405</v>
      </c>
      <c r="C45" t="s">
        <v>1759</v>
      </c>
      <c r="D45" t="s">
        <v>1697</v>
      </c>
      <c r="E45">
        <v>1</v>
      </c>
      <c r="F45" cm="1">
        <f t="array" ref="F45">_xlfn.IFS(Lutron_CFlex_Lookup[[#This Row],[Kit Lamp Qty]]=1,24,Lutron_CFlex_Lookup[[#This Row],[Kit Lamp Qty]]=2,12,Lutron_CFlex_Lookup[[#This Row],[Kit Lamp Qty]]=3,8)</f>
        <v>24</v>
      </c>
      <c r="G45" s="81">
        <v>3500</v>
      </c>
      <c r="H45">
        <v>1200</v>
      </c>
      <c r="I45" t="s">
        <v>1666</v>
      </c>
      <c r="J45" t="s">
        <v>1962</v>
      </c>
      <c r="K45" s="2"/>
      <c r="L45"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45"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LED-G24QCC-835</v>
      </c>
    </row>
    <row r="46" spans="1:13" x14ac:dyDescent="0.25">
      <c r="A46" t="s">
        <v>1793</v>
      </c>
      <c r="B46" t="s">
        <v>50</v>
      </c>
      <c r="C46" s="3" t="s">
        <v>1759</v>
      </c>
      <c r="D46" s="3" t="s">
        <v>1697</v>
      </c>
      <c r="E46">
        <v>1</v>
      </c>
      <c r="F46" cm="1">
        <f t="array" ref="F46">_xlfn.IFS(Lutron_CFlex_Lookup[[#This Row],[Kit Lamp Qty]]=1,24,Lutron_CFlex_Lookup[[#This Row],[Kit Lamp Qty]]=2,12,Lutron_CFlex_Lookup[[#This Row],[Kit Lamp Qty]]=3,8)</f>
        <v>24</v>
      </c>
      <c r="G46" s="81">
        <v>4000</v>
      </c>
      <c r="H46">
        <v>1200</v>
      </c>
      <c r="I46" s="3" t="s">
        <v>150</v>
      </c>
      <c r="J46" t="s">
        <v>2033</v>
      </c>
      <c r="L46"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46"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LED-G24QCC840</v>
      </c>
    </row>
    <row r="47" spans="1:13" x14ac:dyDescent="0.25">
      <c r="A47" t="s">
        <v>1794</v>
      </c>
      <c r="B47" t="s">
        <v>50</v>
      </c>
      <c r="C47" s="3" t="s">
        <v>1759</v>
      </c>
      <c r="D47" s="3" t="s">
        <v>1697</v>
      </c>
      <c r="E47">
        <v>1</v>
      </c>
      <c r="F47" cm="1">
        <f t="array" ref="F47">_xlfn.IFS(Lutron_CFlex_Lookup[[#This Row],[Kit Lamp Qty]]=1,24,Lutron_CFlex_Lookup[[#This Row],[Kit Lamp Qty]]=2,12,Lutron_CFlex_Lookup[[#This Row],[Kit Lamp Qty]]=3,8)</f>
        <v>24</v>
      </c>
      <c r="G47" s="81">
        <v>4000</v>
      </c>
      <c r="H47">
        <v>1200</v>
      </c>
      <c r="I47" s="3" t="s">
        <v>1666</v>
      </c>
      <c r="J47" t="s">
        <v>2034</v>
      </c>
      <c r="L47"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47"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LED-G24QCC-840</v>
      </c>
    </row>
    <row r="48" spans="1:13" x14ac:dyDescent="0.25">
      <c r="A48" t="s">
        <v>1702</v>
      </c>
      <c r="B48" t="s">
        <v>1405</v>
      </c>
      <c r="C48" t="s">
        <v>1759</v>
      </c>
      <c r="D48" t="s">
        <v>1697</v>
      </c>
      <c r="E48">
        <v>1</v>
      </c>
      <c r="F48" cm="1">
        <f t="array" ref="F48">_xlfn.IFS(Lutron_CFlex_Lookup[[#This Row],[Kit Lamp Qty]]=1,24,Lutron_CFlex_Lookup[[#This Row],[Kit Lamp Qty]]=2,12,Lutron_CFlex_Lookup[[#This Row],[Kit Lamp Qty]]=3,8)</f>
        <v>24</v>
      </c>
      <c r="G48" s="81">
        <v>4000</v>
      </c>
      <c r="H48">
        <v>1200</v>
      </c>
      <c r="I48" t="s">
        <v>150</v>
      </c>
      <c r="J48" t="s">
        <v>1963</v>
      </c>
      <c r="K48" s="2"/>
      <c r="L48"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48"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LED-G24QCC840</v>
      </c>
    </row>
    <row r="49" spans="1:13" x14ac:dyDescent="0.25">
      <c r="A49" t="s">
        <v>1703</v>
      </c>
      <c r="B49" t="s">
        <v>1405</v>
      </c>
      <c r="C49" t="s">
        <v>1759</v>
      </c>
      <c r="D49" t="s">
        <v>1697</v>
      </c>
      <c r="E49">
        <v>1</v>
      </c>
      <c r="F49" cm="1">
        <f t="array" ref="F49">_xlfn.IFS(Lutron_CFlex_Lookup[[#This Row],[Kit Lamp Qty]]=1,24,Lutron_CFlex_Lookup[[#This Row],[Kit Lamp Qty]]=2,12,Lutron_CFlex_Lookup[[#This Row],[Kit Lamp Qty]]=3,8)</f>
        <v>24</v>
      </c>
      <c r="G49" s="81">
        <v>4000</v>
      </c>
      <c r="H49">
        <v>1200</v>
      </c>
      <c r="I49" t="s">
        <v>1666</v>
      </c>
      <c r="J49" t="s">
        <v>1964</v>
      </c>
      <c r="K49" s="2"/>
      <c r="L49"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49"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LED-G24QCC-840</v>
      </c>
    </row>
    <row r="50" spans="1:13" x14ac:dyDescent="0.25">
      <c r="A50" t="s">
        <v>1783</v>
      </c>
      <c r="B50" t="s">
        <v>50</v>
      </c>
      <c r="C50" s="3" t="s">
        <v>1759</v>
      </c>
      <c r="D50" s="3" t="s">
        <v>1690</v>
      </c>
      <c r="E50">
        <v>1</v>
      </c>
      <c r="F50" cm="1">
        <f t="array" ref="F50">_xlfn.IFS(Lutron_CFlex_Lookup[[#This Row],[Kit Lamp Qty]]=1,24,Lutron_CFlex_Lookup[[#This Row],[Kit Lamp Qty]]=2,12,Lutron_CFlex_Lookup[[#This Row],[Kit Lamp Qty]]=3,8)</f>
        <v>24</v>
      </c>
      <c r="G50" s="81">
        <v>3000</v>
      </c>
      <c r="H50">
        <v>2000</v>
      </c>
      <c r="I50" s="3" t="s">
        <v>150</v>
      </c>
      <c r="J50" t="s">
        <v>2017</v>
      </c>
      <c r="L50"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50"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51" spans="1:13" x14ac:dyDescent="0.25">
      <c r="A51" t="s">
        <v>1784</v>
      </c>
      <c r="B51" t="s">
        <v>50</v>
      </c>
      <c r="C51" s="3" t="s">
        <v>1759</v>
      </c>
      <c r="D51" s="3" t="s">
        <v>1690</v>
      </c>
      <c r="E51">
        <v>1</v>
      </c>
      <c r="F51" cm="1">
        <f t="array" ref="F51">_xlfn.IFS(Lutron_CFlex_Lookup[[#This Row],[Kit Lamp Qty]]=1,24,Lutron_CFlex_Lookup[[#This Row],[Kit Lamp Qty]]=2,12,Lutron_CFlex_Lookup[[#This Row],[Kit Lamp Qty]]=3,8)</f>
        <v>24</v>
      </c>
      <c r="G51" s="81">
        <v>3000</v>
      </c>
      <c r="H51">
        <v>2000</v>
      </c>
      <c r="I51" s="3" t="s">
        <v>1666</v>
      </c>
      <c r="J51" t="s">
        <v>2018</v>
      </c>
      <c r="L51"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51"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52" spans="1:13" x14ac:dyDescent="0.25">
      <c r="A52" t="s">
        <v>1691</v>
      </c>
      <c r="B52" t="s">
        <v>1405</v>
      </c>
      <c r="C52" t="s">
        <v>1759</v>
      </c>
      <c r="D52" t="s">
        <v>1690</v>
      </c>
      <c r="E52">
        <v>1</v>
      </c>
      <c r="F52" cm="1">
        <f t="array" ref="F52">_xlfn.IFS(Lutron_CFlex_Lookup[[#This Row],[Kit Lamp Qty]]=1,24,Lutron_CFlex_Lookup[[#This Row],[Kit Lamp Qty]]=2,12,Lutron_CFlex_Lookup[[#This Row],[Kit Lamp Qty]]=3,8)</f>
        <v>24</v>
      </c>
      <c r="G52" s="81">
        <v>3000</v>
      </c>
      <c r="H52">
        <v>2000</v>
      </c>
      <c r="I52" t="s">
        <v>150</v>
      </c>
      <c r="J52" t="s">
        <v>1947</v>
      </c>
      <c r="K52" s="2"/>
      <c r="L52"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52"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53" spans="1:13" x14ac:dyDescent="0.25">
      <c r="A53" t="s">
        <v>1692</v>
      </c>
      <c r="B53" t="s">
        <v>1405</v>
      </c>
      <c r="C53" t="s">
        <v>1759</v>
      </c>
      <c r="D53" t="s">
        <v>1690</v>
      </c>
      <c r="E53">
        <v>1</v>
      </c>
      <c r="F53" cm="1">
        <f t="array" ref="F53">_xlfn.IFS(Lutron_CFlex_Lookup[[#This Row],[Kit Lamp Qty]]=1,24,Lutron_CFlex_Lookup[[#This Row],[Kit Lamp Qty]]=2,12,Lutron_CFlex_Lookup[[#This Row],[Kit Lamp Qty]]=3,8)</f>
        <v>24</v>
      </c>
      <c r="G53" s="81">
        <v>3000</v>
      </c>
      <c r="H53">
        <v>2000</v>
      </c>
      <c r="I53" t="s">
        <v>1666</v>
      </c>
      <c r="J53" t="s">
        <v>1948</v>
      </c>
      <c r="K53" s="2"/>
      <c r="L53"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53"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54" spans="1:13" x14ac:dyDescent="0.25">
      <c r="A54" t="s">
        <v>1785</v>
      </c>
      <c r="B54" t="s">
        <v>50</v>
      </c>
      <c r="C54" s="3" t="s">
        <v>1759</v>
      </c>
      <c r="D54" s="3" t="s">
        <v>1690</v>
      </c>
      <c r="E54">
        <v>1</v>
      </c>
      <c r="F54" cm="1">
        <f t="array" ref="F54">_xlfn.IFS(Lutron_CFlex_Lookup[[#This Row],[Kit Lamp Qty]]=1,24,Lutron_CFlex_Lookup[[#This Row],[Kit Lamp Qty]]=2,12,Lutron_CFlex_Lookup[[#This Row],[Kit Lamp Qty]]=3,8)</f>
        <v>24</v>
      </c>
      <c r="G54" s="81">
        <v>3500</v>
      </c>
      <c r="H54">
        <v>2000</v>
      </c>
      <c r="I54" s="3" t="s">
        <v>150</v>
      </c>
      <c r="J54" t="s">
        <v>2021</v>
      </c>
      <c r="L54"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54"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55" spans="1:13" x14ac:dyDescent="0.25">
      <c r="A55" t="s">
        <v>1786</v>
      </c>
      <c r="B55" t="s">
        <v>50</v>
      </c>
      <c r="C55" s="3" t="s">
        <v>1759</v>
      </c>
      <c r="D55" s="3" t="s">
        <v>1690</v>
      </c>
      <c r="E55">
        <v>1</v>
      </c>
      <c r="F55" cm="1">
        <f t="array" ref="F55">_xlfn.IFS(Lutron_CFlex_Lookup[[#This Row],[Kit Lamp Qty]]=1,24,Lutron_CFlex_Lookup[[#This Row],[Kit Lamp Qty]]=2,12,Lutron_CFlex_Lookup[[#This Row],[Kit Lamp Qty]]=3,8)</f>
        <v>24</v>
      </c>
      <c r="G55" s="81">
        <v>3500</v>
      </c>
      <c r="H55">
        <v>2000</v>
      </c>
      <c r="I55" s="3" t="s">
        <v>1666</v>
      </c>
      <c r="J55" t="s">
        <v>2022</v>
      </c>
      <c r="L55"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55"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56" spans="1:13" x14ac:dyDescent="0.25">
      <c r="A56" t="s">
        <v>1693</v>
      </c>
      <c r="B56" t="s">
        <v>1405</v>
      </c>
      <c r="C56" t="s">
        <v>1759</v>
      </c>
      <c r="D56" t="s">
        <v>1690</v>
      </c>
      <c r="E56">
        <v>1</v>
      </c>
      <c r="F56" cm="1">
        <f t="array" ref="F56">_xlfn.IFS(Lutron_CFlex_Lookup[[#This Row],[Kit Lamp Qty]]=1,24,Lutron_CFlex_Lookup[[#This Row],[Kit Lamp Qty]]=2,12,Lutron_CFlex_Lookup[[#This Row],[Kit Lamp Qty]]=3,8)</f>
        <v>24</v>
      </c>
      <c r="G56" s="81">
        <v>3500</v>
      </c>
      <c r="H56">
        <v>2000</v>
      </c>
      <c r="I56" t="s">
        <v>150</v>
      </c>
      <c r="J56" t="s">
        <v>1951</v>
      </c>
      <c r="K56" s="2"/>
      <c r="L56"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56"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57" spans="1:13" x14ac:dyDescent="0.25">
      <c r="A57" t="s">
        <v>1694</v>
      </c>
      <c r="B57" t="s">
        <v>1405</v>
      </c>
      <c r="C57" t="s">
        <v>1759</v>
      </c>
      <c r="D57" t="s">
        <v>1690</v>
      </c>
      <c r="E57">
        <v>1</v>
      </c>
      <c r="F57" cm="1">
        <f t="array" ref="F57">_xlfn.IFS(Lutron_CFlex_Lookup[[#This Row],[Kit Lamp Qty]]=1,24,Lutron_CFlex_Lookup[[#This Row],[Kit Lamp Qty]]=2,12,Lutron_CFlex_Lookup[[#This Row],[Kit Lamp Qty]]=3,8)</f>
        <v>24</v>
      </c>
      <c r="G57" s="81">
        <v>3500</v>
      </c>
      <c r="H57">
        <v>2000</v>
      </c>
      <c r="I57" t="s">
        <v>1666</v>
      </c>
      <c r="J57" t="s">
        <v>1952</v>
      </c>
      <c r="K57" s="2"/>
      <c r="L57"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57"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58" spans="1:13" x14ac:dyDescent="0.25">
      <c r="A58" t="s">
        <v>1787</v>
      </c>
      <c r="B58" t="s">
        <v>50</v>
      </c>
      <c r="C58" s="3" t="s">
        <v>1759</v>
      </c>
      <c r="D58" s="3" t="s">
        <v>1690</v>
      </c>
      <c r="E58">
        <v>1</v>
      </c>
      <c r="F58" cm="1">
        <f t="array" ref="F58">_xlfn.IFS(Lutron_CFlex_Lookup[[#This Row],[Kit Lamp Qty]]=1,24,Lutron_CFlex_Lookup[[#This Row],[Kit Lamp Qty]]=2,12,Lutron_CFlex_Lookup[[#This Row],[Kit Lamp Qty]]=3,8)</f>
        <v>24</v>
      </c>
      <c r="G58" s="81">
        <v>4000</v>
      </c>
      <c r="H58">
        <v>2000</v>
      </c>
      <c r="I58" s="3" t="s">
        <v>150</v>
      </c>
      <c r="J58" t="s">
        <v>2025</v>
      </c>
      <c r="L58"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58"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59" spans="1:13" x14ac:dyDescent="0.25">
      <c r="A59" t="s">
        <v>1788</v>
      </c>
      <c r="B59" t="s">
        <v>50</v>
      </c>
      <c r="C59" s="3" t="s">
        <v>1759</v>
      </c>
      <c r="D59" s="3" t="s">
        <v>1690</v>
      </c>
      <c r="E59">
        <v>1</v>
      </c>
      <c r="F59" cm="1">
        <f t="array" ref="F59">_xlfn.IFS(Lutron_CFlex_Lookup[[#This Row],[Kit Lamp Qty]]=1,24,Lutron_CFlex_Lookup[[#This Row],[Kit Lamp Qty]]=2,12,Lutron_CFlex_Lookup[[#This Row],[Kit Lamp Qty]]=3,8)</f>
        <v>24</v>
      </c>
      <c r="G59" s="81">
        <v>4000</v>
      </c>
      <c r="H59">
        <v>2000</v>
      </c>
      <c r="I59" s="3" t="s">
        <v>1666</v>
      </c>
      <c r="J59" t="s">
        <v>2026</v>
      </c>
      <c r="L59"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59"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60" spans="1:13" x14ac:dyDescent="0.25">
      <c r="A60" t="s">
        <v>1695</v>
      </c>
      <c r="B60" s="86" t="s">
        <v>1405</v>
      </c>
      <c r="C60" t="s">
        <v>1759</v>
      </c>
      <c r="D60" t="s">
        <v>1690</v>
      </c>
      <c r="E60">
        <v>1</v>
      </c>
      <c r="F60" cm="1">
        <f t="array" ref="F60">_xlfn.IFS(Lutron_CFlex_Lookup[[#This Row],[Kit Lamp Qty]]=1,24,Lutron_CFlex_Lookup[[#This Row],[Kit Lamp Qty]]=2,12,Lutron_CFlex_Lookup[[#This Row],[Kit Lamp Qty]]=3,8)</f>
        <v>24</v>
      </c>
      <c r="G60" s="81">
        <v>4000</v>
      </c>
      <c r="H60">
        <v>2000</v>
      </c>
      <c r="I60" t="s">
        <v>150</v>
      </c>
      <c r="J60" t="s">
        <v>1955</v>
      </c>
      <c r="K60" s="2"/>
      <c r="L60"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60"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61" spans="1:13" x14ac:dyDescent="0.25">
      <c r="A61" t="s">
        <v>1696</v>
      </c>
      <c r="B61" s="86" t="s">
        <v>1405</v>
      </c>
      <c r="C61" t="s">
        <v>1759</v>
      </c>
      <c r="D61" t="s">
        <v>1690</v>
      </c>
      <c r="E61">
        <v>1</v>
      </c>
      <c r="F61" cm="1">
        <f t="array" ref="F61">_xlfn.IFS(Lutron_CFlex_Lookup[[#This Row],[Kit Lamp Qty]]=1,24,Lutron_CFlex_Lookup[[#This Row],[Kit Lamp Qty]]=2,12,Lutron_CFlex_Lookup[[#This Row],[Kit Lamp Qty]]=3,8)</f>
        <v>24</v>
      </c>
      <c r="G61" s="81">
        <v>4000</v>
      </c>
      <c r="H61">
        <v>2000</v>
      </c>
      <c r="I61" t="s">
        <v>1666</v>
      </c>
      <c r="J61" t="s">
        <v>1956</v>
      </c>
      <c r="K61" s="2"/>
      <c r="L61"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61"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62" spans="1:13" x14ac:dyDescent="0.25">
      <c r="A62" t="s">
        <v>1777</v>
      </c>
      <c r="B62" s="86" t="s">
        <v>50</v>
      </c>
      <c r="C62" s="3" t="s">
        <v>1759</v>
      </c>
      <c r="D62" s="3" t="s">
        <v>1683</v>
      </c>
      <c r="E62">
        <v>1</v>
      </c>
      <c r="F62" cm="1">
        <f t="array" ref="F62">_xlfn.IFS(Lutron_CFlex_Lookup[[#This Row],[Kit Lamp Qty]]=1,24,Lutron_CFlex_Lookup[[#This Row],[Kit Lamp Qty]]=2,12,Lutron_CFlex_Lookup[[#This Row],[Kit Lamp Qty]]=3,8)</f>
        <v>24</v>
      </c>
      <c r="G62" s="81">
        <v>3000</v>
      </c>
      <c r="H62">
        <v>2700</v>
      </c>
      <c r="I62" s="3" t="s">
        <v>150</v>
      </c>
      <c r="J62" t="s">
        <v>2011</v>
      </c>
      <c r="L62"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6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63" spans="1:13" x14ac:dyDescent="0.25">
      <c r="A63" t="s">
        <v>1778</v>
      </c>
      <c r="B63" s="86" t="s">
        <v>50</v>
      </c>
      <c r="C63" s="3" t="s">
        <v>1759</v>
      </c>
      <c r="D63" s="3" t="s">
        <v>1683</v>
      </c>
      <c r="E63">
        <v>1</v>
      </c>
      <c r="F63" cm="1">
        <f t="array" ref="F63">_xlfn.IFS(Lutron_CFlex_Lookup[[#This Row],[Kit Lamp Qty]]=1,24,Lutron_CFlex_Lookup[[#This Row],[Kit Lamp Qty]]=2,12,Lutron_CFlex_Lookup[[#This Row],[Kit Lamp Qty]]=3,8)</f>
        <v>24</v>
      </c>
      <c r="G63" s="81">
        <v>3000</v>
      </c>
      <c r="H63">
        <v>2700</v>
      </c>
      <c r="I63" s="3" t="s">
        <v>1666</v>
      </c>
      <c r="J63" t="s">
        <v>2012</v>
      </c>
      <c r="L63"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63"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64" spans="1:13" x14ac:dyDescent="0.25">
      <c r="A64" t="s">
        <v>1684</v>
      </c>
      <c r="B64" s="86" t="s">
        <v>1405</v>
      </c>
      <c r="C64" t="s">
        <v>1759</v>
      </c>
      <c r="D64" t="s">
        <v>1683</v>
      </c>
      <c r="E64">
        <v>1</v>
      </c>
      <c r="F64" cm="1">
        <f t="array" ref="F64">_xlfn.IFS(Lutron_CFlex_Lookup[[#This Row],[Kit Lamp Qty]]=1,24,Lutron_CFlex_Lookup[[#This Row],[Kit Lamp Qty]]=2,12,Lutron_CFlex_Lookup[[#This Row],[Kit Lamp Qty]]=3,8)</f>
        <v>24</v>
      </c>
      <c r="G64" s="81">
        <v>3000</v>
      </c>
      <c r="H64">
        <v>2700</v>
      </c>
      <c r="I64" t="s">
        <v>150</v>
      </c>
      <c r="J64" t="s">
        <v>1941</v>
      </c>
      <c r="K64" s="2"/>
      <c r="L64"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64"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65" spans="1:13" x14ac:dyDescent="0.25">
      <c r="A65" t="s">
        <v>1685</v>
      </c>
      <c r="B65" s="86" t="s">
        <v>1405</v>
      </c>
      <c r="C65" t="s">
        <v>1759</v>
      </c>
      <c r="D65" t="s">
        <v>1683</v>
      </c>
      <c r="E65">
        <v>1</v>
      </c>
      <c r="F65" cm="1">
        <f t="array" ref="F65">_xlfn.IFS(Lutron_CFlex_Lookup[[#This Row],[Kit Lamp Qty]]=1,24,Lutron_CFlex_Lookup[[#This Row],[Kit Lamp Qty]]=2,12,Lutron_CFlex_Lookup[[#This Row],[Kit Lamp Qty]]=3,8)</f>
        <v>24</v>
      </c>
      <c r="G65" s="81">
        <v>3000</v>
      </c>
      <c r="H65">
        <v>2700</v>
      </c>
      <c r="I65" t="s">
        <v>1666</v>
      </c>
      <c r="J65" t="s">
        <v>1942</v>
      </c>
      <c r="K65" s="2"/>
      <c r="L65"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65"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66" spans="1:13" x14ac:dyDescent="0.25">
      <c r="A66" t="s">
        <v>1779</v>
      </c>
      <c r="B66" s="86" t="s">
        <v>50</v>
      </c>
      <c r="C66" s="3" t="s">
        <v>1759</v>
      </c>
      <c r="D66" s="3" t="s">
        <v>1683</v>
      </c>
      <c r="E66">
        <v>1</v>
      </c>
      <c r="F66" cm="1">
        <f t="array" ref="F66">_xlfn.IFS(Lutron_CFlex_Lookup[[#This Row],[Kit Lamp Qty]]=1,24,Lutron_CFlex_Lookup[[#This Row],[Kit Lamp Qty]]=2,12,Lutron_CFlex_Lookup[[#This Row],[Kit Lamp Qty]]=3,8)</f>
        <v>24</v>
      </c>
      <c r="G66" s="81">
        <v>3500</v>
      </c>
      <c r="H66">
        <v>2700</v>
      </c>
      <c r="I66" s="3" t="s">
        <v>150</v>
      </c>
      <c r="J66" t="s">
        <v>2013</v>
      </c>
      <c r="L66"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66"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67" spans="1:13" x14ac:dyDescent="0.25">
      <c r="A67" t="s">
        <v>1780</v>
      </c>
      <c r="B67" s="86" t="s">
        <v>50</v>
      </c>
      <c r="C67" s="3" t="s">
        <v>1759</v>
      </c>
      <c r="D67" s="3" t="s">
        <v>1683</v>
      </c>
      <c r="E67">
        <v>1</v>
      </c>
      <c r="F67" cm="1">
        <f t="array" ref="F67">_xlfn.IFS(Lutron_CFlex_Lookup[[#This Row],[Kit Lamp Qty]]=1,24,Lutron_CFlex_Lookup[[#This Row],[Kit Lamp Qty]]=2,12,Lutron_CFlex_Lookup[[#This Row],[Kit Lamp Qty]]=3,8)</f>
        <v>24</v>
      </c>
      <c r="G67" s="81">
        <v>3500</v>
      </c>
      <c r="H67">
        <v>2700</v>
      </c>
      <c r="I67" s="3" t="s">
        <v>1666</v>
      </c>
      <c r="J67" t="s">
        <v>2014</v>
      </c>
      <c r="L67"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67"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68" spans="1:13" x14ac:dyDescent="0.25">
      <c r="A68" t="s">
        <v>1686</v>
      </c>
      <c r="B68" s="86" t="s">
        <v>1405</v>
      </c>
      <c r="C68" t="s">
        <v>1759</v>
      </c>
      <c r="D68" t="s">
        <v>1683</v>
      </c>
      <c r="E68">
        <v>1</v>
      </c>
      <c r="F68" cm="1">
        <f t="array" ref="F68">_xlfn.IFS(Lutron_CFlex_Lookup[[#This Row],[Kit Lamp Qty]]=1,24,Lutron_CFlex_Lookup[[#This Row],[Kit Lamp Qty]]=2,12,Lutron_CFlex_Lookup[[#This Row],[Kit Lamp Qty]]=3,8)</f>
        <v>24</v>
      </c>
      <c r="G68" s="81">
        <v>3500</v>
      </c>
      <c r="H68">
        <v>2700</v>
      </c>
      <c r="I68" t="s">
        <v>150</v>
      </c>
      <c r="J68" t="s">
        <v>1943</v>
      </c>
      <c r="K68" s="2"/>
      <c r="L68"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68"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69" spans="1:13" x14ac:dyDescent="0.25">
      <c r="A69" t="s">
        <v>1687</v>
      </c>
      <c r="B69" s="86" t="s">
        <v>1405</v>
      </c>
      <c r="C69" t="s">
        <v>1759</v>
      </c>
      <c r="D69" t="s">
        <v>1683</v>
      </c>
      <c r="E69">
        <v>1</v>
      </c>
      <c r="F69" cm="1">
        <f t="array" ref="F69">_xlfn.IFS(Lutron_CFlex_Lookup[[#This Row],[Kit Lamp Qty]]=1,24,Lutron_CFlex_Lookup[[#This Row],[Kit Lamp Qty]]=2,12,Lutron_CFlex_Lookup[[#This Row],[Kit Lamp Qty]]=3,8)</f>
        <v>24</v>
      </c>
      <c r="G69" s="81">
        <v>3500</v>
      </c>
      <c r="H69">
        <v>2700</v>
      </c>
      <c r="I69" t="s">
        <v>1666</v>
      </c>
      <c r="J69" t="s">
        <v>1944</v>
      </c>
      <c r="K69" s="2"/>
      <c r="L69"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69"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70" spans="1:13" x14ac:dyDescent="0.25">
      <c r="A70" t="s">
        <v>1781</v>
      </c>
      <c r="B70" s="86" t="s">
        <v>50</v>
      </c>
      <c r="C70" s="3" t="s">
        <v>1759</v>
      </c>
      <c r="D70" s="3" t="s">
        <v>1683</v>
      </c>
      <c r="E70">
        <v>1</v>
      </c>
      <c r="F70" cm="1">
        <f t="array" ref="F70">_xlfn.IFS(Lutron_CFlex_Lookup[[#This Row],[Kit Lamp Qty]]=1,24,Lutron_CFlex_Lookup[[#This Row],[Kit Lamp Qty]]=2,12,Lutron_CFlex_Lookup[[#This Row],[Kit Lamp Qty]]=3,8)</f>
        <v>24</v>
      </c>
      <c r="G70" s="81">
        <v>4000</v>
      </c>
      <c r="H70">
        <v>2700</v>
      </c>
      <c r="I70" s="3" t="s">
        <v>150</v>
      </c>
      <c r="J70" t="s">
        <v>2015</v>
      </c>
      <c r="L70"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70"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71" spans="1:13" x14ac:dyDescent="0.25">
      <c r="A71" t="s">
        <v>1782</v>
      </c>
      <c r="B71" s="86" t="s">
        <v>50</v>
      </c>
      <c r="C71" s="3" t="s">
        <v>1759</v>
      </c>
      <c r="D71" s="3" t="s">
        <v>1683</v>
      </c>
      <c r="E71">
        <v>1</v>
      </c>
      <c r="F71" cm="1">
        <f t="array" ref="F71">_xlfn.IFS(Lutron_CFlex_Lookup[[#This Row],[Kit Lamp Qty]]=1,24,Lutron_CFlex_Lookup[[#This Row],[Kit Lamp Qty]]=2,12,Lutron_CFlex_Lookup[[#This Row],[Kit Lamp Qty]]=3,8)</f>
        <v>24</v>
      </c>
      <c r="G71" s="81">
        <v>4000</v>
      </c>
      <c r="H71">
        <v>2700</v>
      </c>
      <c r="I71" s="3" t="s">
        <v>1666</v>
      </c>
      <c r="J71" t="s">
        <v>2016</v>
      </c>
      <c r="L71"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71"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72" spans="1:13" x14ac:dyDescent="0.25">
      <c r="A72" t="s">
        <v>1688</v>
      </c>
      <c r="B72" s="86" t="s">
        <v>1405</v>
      </c>
      <c r="C72" t="s">
        <v>1759</v>
      </c>
      <c r="D72" t="s">
        <v>1683</v>
      </c>
      <c r="E72">
        <v>1</v>
      </c>
      <c r="F72" cm="1">
        <f t="array" ref="F72">_xlfn.IFS(Lutron_CFlex_Lookup[[#This Row],[Kit Lamp Qty]]=1,24,Lutron_CFlex_Lookup[[#This Row],[Kit Lamp Qty]]=2,12,Lutron_CFlex_Lookup[[#This Row],[Kit Lamp Qty]]=3,8)</f>
        <v>24</v>
      </c>
      <c r="G72" s="81">
        <v>4000</v>
      </c>
      <c r="H72">
        <v>2700</v>
      </c>
      <c r="I72" t="s">
        <v>150</v>
      </c>
      <c r="J72" t="s">
        <v>1945</v>
      </c>
      <c r="K72" s="2"/>
      <c r="L72"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72"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73" spans="1:13" x14ac:dyDescent="0.25">
      <c r="A73" t="s">
        <v>1689</v>
      </c>
      <c r="B73" s="86" t="s">
        <v>1405</v>
      </c>
      <c r="C73" t="s">
        <v>1759</v>
      </c>
      <c r="D73" t="s">
        <v>1683</v>
      </c>
      <c r="E73">
        <v>1</v>
      </c>
      <c r="F73" cm="1">
        <f t="array" ref="F73">_xlfn.IFS(Lutron_CFlex_Lookup[[#This Row],[Kit Lamp Qty]]=1,24,Lutron_CFlex_Lookup[[#This Row],[Kit Lamp Qty]]=2,12,Lutron_CFlex_Lookup[[#This Row],[Kit Lamp Qty]]=3,8)</f>
        <v>24</v>
      </c>
      <c r="G73" s="81">
        <v>4000</v>
      </c>
      <c r="H73">
        <v>2700</v>
      </c>
      <c r="I73" t="s">
        <v>1666</v>
      </c>
      <c r="J73" t="s">
        <v>1946</v>
      </c>
      <c r="K73" s="2"/>
      <c r="L73"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73"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74" spans="1:13" hidden="1" x14ac:dyDescent="0.25">
      <c r="A74" t="s">
        <v>2327</v>
      </c>
      <c r="B74" s="86" t="s">
        <v>50</v>
      </c>
      <c r="C74" t="s">
        <v>1434</v>
      </c>
      <c r="D74" t="s">
        <v>1430</v>
      </c>
      <c r="E74">
        <v>2</v>
      </c>
      <c r="F74" cm="1">
        <f t="array" ref="F74">_xlfn.IFS(Lutron_CFlex_Lookup[[#This Row],[Kit Lamp Qty]]=1,24,Lutron_CFlex_Lookup[[#This Row],[Kit Lamp Qty]]=2,12,Lutron_CFlex_Lookup[[#This Row],[Kit Lamp Qty]]=3,8)</f>
        <v>12</v>
      </c>
      <c r="G74" s="81">
        <v>3000</v>
      </c>
      <c r="H74">
        <v>2000</v>
      </c>
      <c r="I74" t="s">
        <v>150</v>
      </c>
      <c r="J74" t="s">
        <v>1626</v>
      </c>
      <c r="L74"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74"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LED-G24QCB830</v>
      </c>
    </row>
    <row r="75" spans="1:13" hidden="1" x14ac:dyDescent="0.25">
      <c r="A75" t="s">
        <v>1765</v>
      </c>
      <c r="B75" s="86" t="s">
        <v>50</v>
      </c>
      <c r="C75" s="3" t="s">
        <v>1759</v>
      </c>
      <c r="D75" s="3" t="s">
        <v>1665</v>
      </c>
      <c r="E75">
        <v>2</v>
      </c>
      <c r="F75" cm="1">
        <f t="array" ref="F75">_xlfn.IFS(Lutron_CFlex_Lookup[[#This Row],[Kit Lamp Qty]]=1,24,Lutron_CFlex_Lookup[[#This Row],[Kit Lamp Qty]]=2,12,Lutron_CFlex_Lookup[[#This Row],[Kit Lamp Qty]]=3,8)</f>
        <v>12</v>
      </c>
      <c r="G75" s="81">
        <v>3000</v>
      </c>
      <c r="H75">
        <v>2000</v>
      </c>
      <c r="I75" s="3" t="s">
        <v>1666</v>
      </c>
      <c r="J75" t="s">
        <v>1891</v>
      </c>
      <c r="L75"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75"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LED-G24QCB830</v>
      </c>
    </row>
    <row r="76" spans="1:13" hidden="1" x14ac:dyDescent="0.25">
      <c r="A76" t="s">
        <v>2328</v>
      </c>
      <c r="B76" s="86" t="s">
        <v>1405</v>
      </c>
      <c r="C76" t="s">
        <v>1434</v>
      </c>
      <c r="D76" t="s">
        <v>1430</v>
      </c>
      <c r="E76">
        <v>2</v>
      </c>
      <c r="F76" cm="1">
        <f t="array" ref="F76">_xlfn.IFS(Lutron_CFlex_Lookup[[#This Row],[Kit Lamp Qty]]=1,24,Lutron_CFlex_Lookup[[#This Row],[Kit Lamp Qty]]=2,12,Lutron_CFlex_Lookup[[#This Row],[Kit Lamp Qty]]=3,8)</f>
        <v>12</v>
      </c>
      <c r="G76" s="81">
        <v>3000</v>
      </c>
      <c r="H76">
        <v>2000</v>
      </c>
      <c r="I76" t="s">
        <v>150</v>
      </c>
      <c r="J76" t="s">
        <v>1614</v>
      </c>
      <c r="L76"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76"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LED-G24QCB830</v>
      </c>
    </row>
    <row r="77" spans="1:13" hidden="1" x14ac:dyDescent="0.25">
      <c r="A77" t="s">
        <v>1670</v>
      </c>
      <c r="B77" s="86" t="s">
        <v>1405</v>
      </c>
      <c r="C77" t="s">
        <v>1759</v>
      </c>
      <c r="D77" t="s">
        <v>1665</v>
      </c>
      <c r="E77">
        <v>2</v>
      </c>
      <c r="F77" cm="1">
        <f t="array" ref="F77">_xlfn.IFS(Lutron_CFlex_Lookup[[#This Row],[Kit Lamp Qty]]=1,24,Lutron_CFlex_Lookup[[#This Row],[Kit Lamp Qty]]=2,12,Lutron_CFlex_Lookup[[#This Row],[Kit Lamp Qty]]=3,8)</f>
        <v>12</v>
      </c>
      <c r="G77" s="81">
        <v>3000</v>
      </c>
      <c r="H77">
        <v>2000</v>
      </c>
      <c r="I77" t="s">
        <v>1666</v>
      </c>
      <c r="J77" t="s">
        <v>1847</v>
      </c>
      <c r="K77" s="2"/>
      <c r="L77"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77"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LED-G24QCB830</v>
      </c>
    </row>
    <row r="78" spans="1:13" hidden="1" x14ac:dyDescent="0.25">
      <c r="A78" t="s">
        <v>2329</v>
      </c>
      <c r="B78" s="86" t="s">
        <v>50</v>
      </c>
      <c r="C78" t="s">
        <v>1434</v>
      </c>
      <c r="D78" t="s">
        <v>1430</v>
      </c>
      <c r="E78">
        <v>2</v>
      </c>
      <c r="F78" cm="1">
        <f t="array" ref="F78">_xlfn.IFS(Lutron_CFlex_Lookup[[#This Row],[Kit Lamp Qty]]=1,24,Lutron_CFlex_Lookup[[#This Row],[Kit Lamp Qty]]=2,12,Lutron_CFlex_Lookup[[#This Row],[Kit Lamp Qty]]=3,8)</f>
        <v>12</v>
      </c>
      <c r="G78" s="81">
        <v>3500</v>
      </c>
      <c r="H78">
        <v>2000</v>
      </c>
      <c r="I78" t="s">
        <v>150</v>
      </c>
      <c r="J78" t="s">
        <v>1627</v>
      </c>
      <c r="L78"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78"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LED-G24QCB835</v>
      </c>
    </row>
    <row r="79" spans="1:13" hidden="1" x14ac:dyDescent="0.25">
      <c r="A79" t="s">
        <v>1766</v>
      </c>
      <c r="B79" s="86" t="s">
        <v>50</v>
      </c>
      <c r="C79" s="3" t="s">
        <v>1759</v>
      </c>
      <c r="D79" s="3" t="s">
        <v>1665</v>
      </c>
      <c r="E79">
        <v>2</v>
      </c>
      <c r="F79" cm="1">
        <f t="array" ref="F79">_xlfn.IFS(Lutron_CFlex_Lookup[[#This Row],[Kit Lamp Qty]]=1,24,Lutron_CFlex_Lookup[[#This Row],[Kit Lamp Qty]]=2,12,Lutron_CFlex_Lookup[[#This Row],[Kit Lamp Qty]]=3,8)</f>
        <v>12</v>
      </c>
      <c r="G79" s="81">
        <v>3500</v>
      </c>
      <c r="H79">
        <v>2000</v>
      </c>
      <c r="I79" s="3" t="s">
        <v>1666</v>
      </c>
      <c r="J79" t="s">
        <v>1892</v>
      </c>
      <c r="L79"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79"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LED-G24QCB835</v>
      </c>
    </row>
    <row r="80" spans="1:13" hidden="1" x14ac:dyDescent="0.25">
      <c r="A80" t="s">
        <v>2330</v>
      </c>
      <c r="B80" s="86" t="s">
        <v>1405</v>
      </c>
      <c r="C80" t="s">
        <v>1434</v>
      </c>
      <c r="D80" t="s">
        <v>1430</v>
      </c>
      <c r="E80">
        <v>2</v>
      </c>
      <c r="F80" cm="1">
        <f t="array" ref="F80">_xlfn.IFS(Lutron_CFlex_Lookup[[#This Row],[Kit Lamp Qty]]=1,24,Lutron_CFlex_Lookup[[#This Row],[Kit Lamp Qty]]=2,12,Lutron_CFlex_Lookup[[#This Row],[Kit Lamp Qty]]=3,8)</f>
        <v>12</v>
      </c>
      <c r="G80" s="81">
        <v>3500</v>
      </c>
      <c r="H80">
        <v>2000</v>
      </c>
      <c r="I80" t="s">
        <v>150</v>
      </c>
      <c r="J80" t="s">
        <v>1615</v>
      </c>
      <c r="L80"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80"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LED-G24QCB835</v>
      </c>
    </row>
    <row r="81" spans="1:13" hidden="1" x14ac:dyDescent="0.25">
      <c r="A81" t="s">
        <v>1671</v>
      </c>
      <c r="B81" s="86" t="s">
        <v>1405</v>
      </c>
      <c r="C81" t="s">
        <v>1759</v>
      </c>
      <c r="D81" t="s">
        <v>1665</v>
      </c>
      <c r="E81">
        <v>2</v>
      </c>
      <c r="F81" cm="1">
        <f t="array" ref="F81">_xlfn.IFS(Lutron_CFlex_Lookup[[#This Row],[Kit Lamp Qty]]=1,24,Lutron_CFlex_Lookup[[#This Row],[Kit Lamp Qty]]=2,12,Lutron_CFlex_Lookup[[#This Row],[Kit Lamp Qty]]=3,8)</f>
        <v>12</v>
      </c>
      <c r="G81" s="81">
        <v>3500</v>
      </c>
      <c r="H81">
        <v>2000</v>
      </c>
      <c r="I81" t="s">
        <v>1666</v>
      </c>
      <c r="J81" t="s">
        <v>1848</v>
      </c>
      <c r="K81" s="2"/>
      <c r="L81"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81"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LED-G24QCB835</v>
      </c>
    </row>
    <row r="82" spans="1:13" hidden="1" x14ac:dyDescent="0.25">
      <c r="A82" t="s">
        <v>2331</v>
      </c>
      <c r="B82" s="86" t="s">
        <v>50</v>
      </c>
      <c r="C82" t="s">
        <v>1434</v>
      </c>
      <c r="D82" t="s">
        <v>1430</v>
      </c>
      <c r="E82">
        <v>2</v>
      </c>
      <c r="F82" cm="1">
        <f t="array" ref="F82">_xlfn.IFS(Lutron_CFlex_Lookup[[#This Row],[Kit Lamp Qty]]=1,24,Lutron_CFlex_Lookup[[#This Row],[Kit Lamp Qty]]=2,12,Lutron_CFlex_Lookup[[#This Row],[Kit Lamp Qty]]=3,8)</f>
        <v>12</v>
      </c>
      <c r="G82" s="81">
        <v>4000</v>
      </c>
      <c r="H82">
        <v>2000</v>
      </c>
      <c r="I82" t="s">
        <v>150</v>
      </c>
      <c r="J82" t="s">
        <v>1628</v>
      </c>
      <c r="L82"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8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LED-G24QCB840</v>
      </c>
    </row>
    <row r="83" spans="1:13" hidden="1" x14ac:dyDescent="0.25">
      <c r="A83" t="s">
        <v>1767</v>
      </c>
      <c r="B83" s="86" t="s">
        <v>50</v>
      </c>
      <c r="C83" s="3" t="s">
        <v>1759</v>
      </c>
      <c r="D83" s="3" t="s">
        <v>1665</v>
      </c>
      <c r="E83">
        <v>2</v>
      </c>
      <c r="F83" cm="1">
        <f t="array" ref="F83">_xlfn.IFS(Lutron_CFlex_Lookup[[#This Row],[Kit Lamp Qty]]=1,24,Lutron_CFlex_Lookup[[#This Row],[Kit Lamp Qty]]=2,12,Lutron_CFlex_Lookup[[#This Row],[Kit Lamp Qty]]=3,8)</f>
        <v>12</v>
      </c>
      <c r="G83" s="81">
        <v>4000</v>
      </c>
      <c r="H83">
        <v>2000</v>
      </c>
      <c r="I83" s="3" t="s">
        <v>1666</v>
      </c>
      <c r="J83" t="s">
        <v>1893</v>
      </c>
      <c r="L83"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83"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LED-G24QCB840</v>
      </c>
    </row>
    <row r="84" spans="1:13" hidden="1" x14ac:dyDescent="0.25">
      <c r="A84" t="s">
        <v>2332</v>
      </c>
      <c r="B84" s="86" t="s">
        <v>1405</v>
      </c>
      <c r="C84" t="s">
        <v>1434</v>
      </c>
      <c r="D84" t="s">
        <v>1430</v>
      </c>
      <c r="E84">
        <v>2</v>
      </c>
      <c r="F84" cm="1">
        <f t="array" ref="F84">_xlfn.IFS(Lutron_CFlex_Lookup[[#This Row],[Kit Lamp Qty]]=1,24,Lutron_CFlex_Lookup[[#This Row],[Kit Lamp Qty]]=2,12,Lutron_CFlex_Lookup[[#This Row],[Kit Lamp Qty]]=3,8)</f>
        <v>12</v>
      </c>
      <c r="G84" s="81">
        <v>4000</v>
      </c>
      <c r="H84">
        <v>2000</v>
      </c>
      <c r="I84" t="s">
        <v>150</v>
      </c>
      <c r="J84" t="s">
        <v>1616</v>
      </c>
      <c r="L84"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84"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LED-G24QCB840</v>
      </c>
    </row>
    <row r="85" spans="1:13" hidden="1" x14ac:dyDescent="0.25">
      <c r="A85" t="s">
        <v>1672</v>
      </c>
      <c r="B85" s="86" t="s">
        <v>1405</v>
      </c>
      <c r="C85" t="s">
        <v>1759</v>
      </c>
      <c r="D85" t="s">
        <v>1665</v>
      </c>
      <c r="E85">
        <v>2</v>
      </c>
      <c r="F85" cm="1">
        <f t="array" ref="F85">_xlfn.IFS(Lutron_CFlex_Lookup[[#This Row],[Kit Lamp Qty]]=1,24,Lutron_CFlex_Lookup[[#This Row],[Kit Lamp Qty]]=2,12,Lutron_CFlex_Lookup[[#This Row],[Kit Lamp Qty]]=3,8)</f>
        <v>12</v>
      </c>
      <c r="G85" s="81">
        <v>4000</v>
      </c>
      <c r="H85">
        <v>2000</v>
      </c>
      <c r="I85" t="s">
        <v>1666</v>
      </c>
      <c r="J85" t="s">
        <v>1849</v>
      </c>
      <c r="K85" s="2"/>
      <c r="L85"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85"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LED-G24QCB840</v>
      </c>
    </row>
    <row r="86" spans="1:13" hidden="1" x14ac:dyDescent="0.25">
      <c r="A86" t="s">
        <v>1771</v>
      </c>
      <c r="B86" s="86" t="s">
        <v>50</v>
      </c>
      <c r="C86" s="3" t="s">
        <v>1759</v>
      </c>
      <c r="D86" s="3" t="s">
        <v>1673</v>
      </c>
      <c r="E86">
        <v>2</v>
      </c>
      <c r="F86" cm="1">
        <f t="array" ref="F86">_xlfn.IFS(Lutron_CFlex_Lookup[[#This Row],[Kit Lamp Qty]]=1,24,Lutron_CFlex_Lookup[[#This Row],[Kit Lamp Qty]]=2,12,Lutron_CFlex_Lookup[[#This Row],[Kit Lamp Qty]]=3,8)</f>
        <v>12</v>
      </c>
      <c r="G86" s="81">
        <v>3000</v>
      </c>
      <c r="H86">
        <v>1800</v>
      </c>
      <c r="I86" s="3" t="s">
        <v>150</v>
      </c>
      <c r="J86" t="s">
        <v>1894</v>
      </c>
      <c r="L86"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86"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LED-G24QCA830</v>
      </c>
    </row>
    <row r="87" spans="1:13" hidden="1" x14ac:dyDescent="0.25">
      <c r="A87" t="s">
        <v>1772</v>
      </c>
      <c r="B87" s="86" t="s">
        <v>50</v>
      </c>
      <c r="C87" s="3" t="s">
        <v>1759</v>
      </c>
      <c r="D87" s="3" t="s">
        <v>1673</v>
      </c>
      <c r="E87">
        <v>2</v>
      </c>
      <c r="F87" cm="1">
        <f t="array" ref="F87">_xlfn.IFS(Lutron_CFlex_Lookup[[#This Row],[Kit Lamp Qty]]=1,24,Lutron_CFlex_Lookup[[#This Row],[Kit Lamp Qty]]=2,12,Lutron_CFlex_Lookup[[#This Row],[Kit Lamp Qty]]=3,8)</f>
        <v>12</v>
      </c>
      <c r="G87" s="81">
        <v>3000</v>
      </c>
      <c r="H87">
        <v>1800</v>
      </c>
      <c r="I87" s="3" t="s">
        <v>1666</v>
      </c>
      <c r="J87" t="s">
        <v>1895</v>
      </c>
      <c r="L87"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87"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LED-G24QCA830</v>
      </c>
    </row>
    <row r="88" spans="1:13" hidden="1" x14ac:dyDescent="0.25">
      <c r="A88" t="s">
        <v>1677</v>
      </c>
      <c r="B88" s="86" t="s">
        <v>1405</v>
      </c>
      <c r="C88" t="s">
        <v>1759</v>
      </c>
      <c r="D88" t="s">
        <v>1673</v>
      </c>
      <c r="E88">
        <v>2</v>
      </c>
      <c r="F88" cm="1">
        <f t="array" ref="F88">_xlfn.IFS(Lutron_CFlex_Lookup[[#This Row],[Kit Lamp Qty]]=1,24,Lutron_CFlex_Lookup[[#This Row],[Kit Lamp Qty]]=2,12,Lutron_CFlex_Lookup[[#This Row],[Kit Lamp Qty]]=3,8)</f>
        <v>12</v>
      </c>
      <c r="G88" s="81">
        <v>3000</v>
      </c>
      <c r="H88">
        <v>1800</v>
      </c>
      <c r="I88" t="s">
        <v>150</v>
      </c>
      <c r="J88" t="s">
        <v>1850</v>
      </c>
      <c r="K88" s="2"/>
      <c r="L88"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88"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LED-G24QCA830</v>
      </c>
    </row>
    <row r="89" spans="1:13" hidden="1" x14ac:dyDescent="0.25">
      <c r="A89" t="s">
        <v>1678</v>
      </c>
      <c r="B89" s="86" t="s">
        <v>1405</v>
      </c>
      <c r="C89" t="s">
        <v>1759</v>
      </c>
      <c r="D89" t="s">
        <v>1673</v>
      </c>
      <c r="E89">
        <v>2</v>
      </c>
      <c r="F89" cm="1">
        <f t="array" ref="F89">_xlfn.IFS(Lutron_CFlex_Lookup[[#This Row],[Kit Lamp Qty]]=1,24,Lutron_CFlex_Lookup[[#This Row],[Kit Lamp Qty]]=2,12,Lutron_CFlex_Lookup[[#This Row],[Kit Lamp Qty]]=3,8)</f>
        <v>12</v>
      </c>
      <c r="G89" s="81">
        <v>3000</v>
      </c>
      <c r="H89">
        <v>1800</v>
      </c>
      <c r="I89" t="s">
        <v>1666</v>
      </c>
      <c r="J89" t="s">
        <v>1851</v>
      </c>
      <c r="K89" s="2"/>
      <c r="L89"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89"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LED-G24QCA830</v>
      </c>
    </row>
    <row r="90" spans="1:13" hidden="1" x14ac:dyDescent="0.25">
      <c r="A90" t="s">
        <v>1773</v>
      </c>
      <c r="B90" s="86" t="s">
        <v>50</v>
      </c>
      <c r="C90" s="3" t="s">
        <v>1759</v>
      </c>
      <c r="D90" s="3" t="s">
        <v>1673</v>
      </c>
      <c r="E90">
        <v>2</v>
      </c>
      <c r="F90" cm="1">
        <f t="array" ref="F90">_xlfn.IFS(Lutron_CFlex_Lookup[[#This Row],[Kit Lamp Qty]]=1,24,Lutron_CFlex_Lookup[[#This Row],[Kit Lamp Qty]]=2,12,Lutron_CFlex_Lookup[[#This Row],[Kit Lamp Qty]]=3,8)</f>
        <v>12</v>
      </c>
      <c r="G90" s="81">
        <v>3500</v>
      </c>
      <c r="H90">
        <v>1800</v>
      </c>
      <c r="I90" s="3" t="s">
        <v>150</v>
      </c>
      <c r="J90" t="s">
        <v>1896</v>
      </c>
      <c r="L90"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90"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LED-G24QCA835</v>
      </c>
    </row>
    <row r="91" spans="1:13" hidden="1" x14ac:dyDescent="0.25">
      <c r="A91" t="s">
        <v>1774</v>
      </c>
      <c r="B91" s="86" t="s">
        <v>50</v>
      </c>
      <c r="C91" s="3" t="s">
        <v>1759</v>
      </c>
      <c r="D91" s="3" t="s">
        <v>1673</v>
      </c>
      <c r="E91">
        <v>2</v>
      </c>
      <c r="F91" cm="1">
        <f t="array" ref="F91">_xlfn.IFS(Lutron_CFlex_Lookup[[#This Row],[Kit Lamp Qty]]=1,24,Lutron_CFlex_Lookup[[#This Row],[Kit Lamp Qty]]=2,12,Lutron_CFlex_Lookup[[#This Row],[Kit Lamp Qty]]=3,8)</f>
        <v>12</v>
      </c>
      <c r="G91" s="81">
        <v>3500</v>
      </c>
      <c r="H91">
        <v>1800</v>
      </c>
      <c r="I91" s="3" t="s">
        <v>1666</v>
      </c>
      <c r="J91" t="s">
        <v>1897</v>
      </c>
      <c r="L91"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91"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LED-G24QCA835</v>
      </c>
    </row>
    <row r="92" spans="1:13" hidden="1" x14ac:dyDescent="0.25">
      <c r="A92" t="s">
        <v>1679</v>
      </c>
      <c r="B92" s="86" t="s">
        <v>1405</v>
      </c>
      <c r="C92" t="s">
        <v>1759</v>
      </c>
      <c r="D92" t="s">
        <v>1673</v>
      </c>
      <c r="E92">
        <v>2</v>
      </c>
      <c r="F92" cm="1">
        <f t="array" ref="F92">_xlfn.IFS(Lutron_CFlex_Lookup[[#This Row],[Kit Lamp Qty]]=1,24,Lutron_CFlex_Lookup[[#This Row],[Kit Lamp Qty]]=2,12,Lutron_CFlex_Lookup[[#This Row],[Kit Lamp Qty]]=3,8)</f>
        <v>12</v>
      </c>
      <c r="G92" s="81">
        <v>3500</v>
      </c>
      <c r="H92">
        <v>1800</v>
      </c>
      <c r="I92" t="s">
        <v>150</v>
      </c>
      <c r="J92" t="s">
        <v>1852</v>
      </c>
      <c r="K92" s="2"/>
      <c r="L92"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92"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LED-G24QCA835</v>
      </c>
    </row>
    <row r="93" spans="1:13" hidden="1" x14ac:dyDescent="0.25">
      <c r="A93" t="s">
        <v>1680</v>
      </c>
      <c r="B93" s="86" t="s">
        <v>1405</v>
      </c>
      <c r="C93" t="s">
        <v>1759</v>
      </c>
      <c r="D93" t="s">
        <v>1673</v>
      </c>
      <c r="E93">
        <v>2</v>
      </c>
      <c r="F93" cm="1">
        <f t="array" ref="F93">_xlfn.IFS(Lutron_CFlex_Lookup[[#This Row],[Kit Lamp Qty]]=1,24,Lutron_CFlex_Lookup[[#This Row],[Kit Lamp Qty]]=2,12,Lutron_CFlex_Lookup[[#This Row],[Kit Lamp Qty]]=3,8)</f>
        <v>12</v>
      </c>
      <c r="G93" s="81">
        <v>3500</v>
      </c>
      <c r="H93">
        <v>1800</v>
      </c>
      <c r="I93" t="s">
        <v>1666</v>
      </c>
      <c r="J93" t="s">
        <v>1853</v>
      </c>
      <c r="K93" s="2"/>
      <c r="L93"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93"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LED-G24QCA835</v>
      </c>
    </row>
    <row r="94" spans="1:13" hidden="1" x14ac:dyDescent="0.25">
      <c r="A94" t="s">
        <v>1775</v>
      </c>
      <c r="B94" s="86" t="s">
        <v>50</v>
      </c>
      <c r="C94" s="3" t="s">
        <v>1759</v>
      </c>
      <c r="D94" s="3" t="s">
        <v>1673</v>
      </c>
      <c r="E94">
        <v>2</v>
      </c>
      <c r="F94" cm="1">
        <f t="array" ref="F94">_xlfn.IFS(Lutron_CFlex_Lookup[[#This Row],[Kit Lamp Qty]]=1,24,Lutron_CFlex_Lookup[[#This Row],[Kit Lamp Qty]]=2,12,Lutron_CFlex_Lookup[[#This Row],[Kit Lamp Qty]]=3,8)</f>
        <v>12</v>
      </c>
      <c r="G94" s="81">
        <v>4000</v>
      </c>
      <c r="H94">
        <v>1800</v>
      </c>
      <c r="I94" s="3" t="s">
        <v>150</v>
      </c>
      <c r="J94" t="s">
        <v>1898</v>
      </c>
      <c r="L94"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94"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LED-G24QCA840</v>
      </c>
    </row>
    <row r="95" spans="1:13" hidden="1" x14ac:dyDescent="0.25">
      <c r="A95" t="s">
        <v>1776</v>
      </c>
      <c r="B95" s="86" t="s">
        <v>50</v>
      </c>
      <c r="C95" s="3" t="s">
        <v>1759</v>
      </c>
      <c r="D95" s="3" t="s">
        <v>1673</v>
      </c>
      <c r="E95">
        <v>2</v>
      </c>
      <c r="F95" cm="1">
        <f t="array" ref="F95">_xlfn.IFS(Lutron_CFlex_Lookup[[#This Row],[Kit Lamp Qty]]=1,24,Lutron_CFlex_Lookup[[#This Row],[Kit Lamp Qty]]=2,12,Lutron_CFlex_Lookup[[#This Row],[Kit Lamp Qty]]=3,8)</f>
        <v>12</v>
      </c>
      <c r="G95" s="81">
        <v>4000</v>
      </c>
      <c r="H95">
        <v>1800</v>
      </c>
      <c r="I95" s="3" t="s">
        <v>1666</v>
      </c>
      <c r="J95" t="s">
        <v>1899</v>
      </c>
      <c r="L95"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95"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LED-G24QCA840</v>
      </c>
    </row>
    <row r="96" spans="1:13" hidden="1" x14ac:dyDescent="0.25">
      <c r="A96" t="s">
        <v>1681</v>
      </c>
      <c r="B96" s="86" t="s">
        <v>1405</v>
      </c>
      <c r="C96" t="s">
        <v>1759</v>
      </c>
      <c r="D96" t="s">
        <v>1673</v>
      </c>
      <c r="E96">
        <v>2</v>
      </c>
      <c r="F96" cm="1">
        <f t="array" ref="F96">_xlfn.IFS(Lutron_CFlex_Lookup[[#This Row],[Kit Lamp Qty]]=1,24,Lutron_CFlex_Lookup[[#This Row],[Kit Lamp Qty]]=2,12,Lutron_CFlex_Lookup[[#This Row],[Kit Lamp Qty]]=3,8)</f>
        <v>12</v>
      </c>
      <c r="G96" s="81">
        <v>4000</v>
      </c>
      <c r="H96">
        <v>1800</v>
      </c>
      <c r="I96" t="s">
        <v>150</v>
      </c>
      <c r="J96" t="s">
        <v>1854</v>
      </c>
      <c r="K96" s="2"/>
      <c r="L96"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96"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LED-G24QCA840</v>
      </c>
    </row>
    <row r="97" spans="1:14" hidden="1" x14ac:dyDescent="0.25">
      <c r="A97" t="s">
        <v>1682</v>
      </c>
      <c r="B97" s="86" t="s">
        <v>1405</v>
      </c>
      <c r="C97" t="s">
        <v>1759</v>
      </c>
      <c r="D97" t="s">
        <v>1673</v>
      </c>
      <c r="E97">
        <v>2</v>
      </c>
      <c r="F97" cm="1">
        <f t="array" ref="F97">_xlfn.IFS(Lutron_CFlex_Lookup[[#This Row],[Kit Lamp Qty]]=1,24,Lutron_CFlex_Lookup[[#This Row],[Kit Lamp Qty]]=2,12,Lutron_CFlex_Lookup[[#This Row],[Kit Lamp Qty]]=3,8)</f>
        <v>12</v>
      </c>
      <c r="G97" s="81">
        <v>4000</v>
      </c>
      <c r="H97">
        <v>1800</v>
      </c>
      <c r="I97" t="s">
        <v>1666</v>
      </c>
      <c r="J97" t="s">
        <v>1855</v>
      </c>
      <c r="K97" s="2"/>
      <c r="L97"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97"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LED-G24QCA840</v>
      </c>
    </row>
    <row r="98" spans="1:14" x14ac:dyDescent="0.25">
      <c r="A98" s="87" t="s">
        <v>2258</v>
      </c>
      <c r="B98" s="86" t="s">
        <v>50</v>
      </c>
      <c r="C98" s="3" t="s">
        <v>1759</v>
      </c>
      <c r="D98" t="s">
        <v>1690</v>
      </c>
      <c r="E98">
        <v>1</v>
      </c>
      <c r="F98" cm="1">
        <f t="array" ref="F98">_xlfn.IFS(Lutron_CFlex_Lookup[[#This Row],[Kit Lamp Qty]]=1,24,Lutron_CFlex_Lookup[[#This Row],[Kit Lamp Qty]]=2,12,Lutron_CFlex_Lookup[[#This Row],[Kit Lamp Qty]]=3,8)</f>
        <v>24</v>
      </c>
      <c r="G98" s="81">
        <v>3000</v>
      </c>
      <c r="H98">
        <v>2000</v>
      </c>
      <c r="I98" s="3" t="s">
        <v>150</v>
      </c>
      <c r="J98" s="87" t="s">
        <v>2017</v>
      </c>
      <c r="L98" t="str">
        <f>_xlfn.XLOOKUP(Lutron_CFlex_Lookup[[#This Row],[C-FLEX Individual Kit]],Grackle_LED_Map[LED EcoSystem SKU],Grackle_LED_Map[EcoSystem Drivers],"",0)&amp;_xlfn.XLOOKUP(Lutron_CFlex_Lookup[[#This Row],[C-FLEX Individual Kit]],Grackle_LED_Map[LED 3W SKU with and without BMF],Grackle_LED_Map[3W Drivers],"",0)</f>
        <v/>
      </c>
      <c r="M98" t="str">
        <f>_xlfn.XLOOKUP(Lutron_CFlex_Lookup[[#This Row],[C-FLEX Individual Kit]],Grackle_LED_Map[LED EcoSystem SKU],Grackle_LED_Map[Lutron Lamp SKU],"",0)&amp;_xlfn.XLOOKUP(Lutron_CFlex_Lookup[[#This Row],[C-FLEX Individual Kit]],Grackle_LED_Map[LED 3W SKU with and without BMF],Grackle_LED_Map[Lutron Lamp SKU],"",0)</f>
        <v/>
      </c>
      <c r="N98" t="s">
        <v>2269</v>
      </c>
    </row>
    <row r="99" spans="1:14" x14ac:dyDescent="0.25">
      <c r="A99" s="87" t="s">
        <v>2255</v>
      </c>
      <c r="B99" s="86" t="s">
        <v>50</v>
      </c>
      <c r="C99" s="3" t="s">
        <v>1759</v>
      </c>
      <c r="D99" t="s">
        <v>1690</v>
      </c>
      <c r="E99">
        <v>1</v>
      </c>
      <c r="F99" cm="1">
        <f t="array" ref="F99">_xlfn.IFS(Lutron_CFlex_Lookup[[#This Row],[Kit Lamp Qty]]=1,24,Lutron_CFlex_Lookup[[#This Row],[Kit Lamp Qty]]=2,12,Lutron_CFlex_Lookup[[#This Row],[Kit Lamp Qty]]=3,8)</f>
        <v>24</v>
      </c>
      <c r="G99" s="81">
        <v>3000</v>
      </c>
      <c r="H99">
        <v>2000</v>
      </c>
      <c r="I99" s="3" t="s">
        <v>1666</v>
      </c>
      <c r="J99" s="87" t="s">
        <v>2018</v>
      </c>
      <c r="L99" t="str">
        <f>_xlfn.XLOOKUP(Lutron_CFlex_Lookup[[#This Row],[C-FLEX Individual Kit]],Grackle_LED_Map[LED EcoSystem SKU],Grackle_LED_Map[EcoSystem Drivers],"",0)&amp;_xlfn.XLOOKUP(Lutron_CFlex_Lookup[[#This Row],[C-FLEX Individual Kit]],Grackle_LED_Map[LED 3W SKU with and without BMF],Grackle_LED_Map[3W Drivers],"",0)</f>
        <v/>
      </c>
      <c r="M99" t="str">
        <f>_xlfn.XLOOKUP(Lutron_CFlex_Lookup[[#This Row],[C-FLEX Individual Kit]],Grackle_LED_Map[LED EcoSystem SKU],Grackle_LED_Map[Lutron Lamp SKU],"",0)&amp;_xlfn.XLOOKUP(Lutron_CFlex_Lookup[[#This Row],[C-FLEX Individual Kit]],Grackle_LED_Map[LED 3W SKU with and without BMF],Grackle_LED_Map[Lutron Lamp SKU],"",0)</f>
        <v/>
      </c>
      <c r="N99" t="s">
        <v>2269</v>
      </c>
    </row>
    <row r="100" spans="1:14" x14ac:dyDescent="0.25">
      <c r="A100" s="87" t="s">
        <v>2261</v>
      </c>
      <c r="B100" s="86" t="s">
        <v>1405</v>
      </c>
      <c r="C100" s="3" t="s">
        <v>1759</v>
      </c>
      <c r="D100" t="s">
        <v>1690</v>
      </c>
      <c r="E100">
        <v>1</v>
      </c>
      <c r="F100" cm="1">
        <f t="array" ref="F100">_xlfn.IFS(Lutron_CFlex_Lookup[[#This Row],[Kit Lamp Qty]]=1,24,Lutron_CFlex_Lookup[[#This Row],[Kit Lamp Qty]]=2,12,Lutron_CFlex_Lookup[[#This Row],[Kit Lamp Qty]]=3,8)</f>
        <v>24</v>
      </c>
      <c r="G100" s="81">
        <v>3000</v>
      </c>
      <c r="H100">
        <v>2000</v>
      </c>
      <c r="I100" s="3" t="s">
        <v>150</v>
      </c>
      <c r="J100" s="87" t="s">
        <v>1947</v>
      </c>
      <c r="L100" t="str">
        <f>_xlfn.XLOOKUP(Lutron_CFlex_Lookup[[#This Row],[C-FLEX Individual Kit]],Grackle_LED_Map[LED EcoSystem SKU],Grackle_LED_Map[EcoSystem Drivers],"",0)&amp;_xlfn.XLOOKUP(Lutron_CFlex_Lookup[[#This Row],[C-FLEX Individual Kit]],Grackle_LED_Map[LED 3W SKU with and without BMF],Grackle_LED_Map[3W Drivers],"",0)</f>
        <v/>
      </c>
      <c r="M100" t="str">
        <f>_xlfn.XLOOKUP(Lutron_CFlex_Lookup[[#This Row],[C-FLEX Individual Kit]],Grackle_LED_Map[LED EcoSystem SKU],Grackle_LED_Map[Lutron Lamp SKU],"",0)&amp;_xlfn.XLOOKUP(Lutron_CFlex_Lookup[[#This Row],[C-FLEX Individual Kit]],Grackle_LED_Map[LED 3W SKU with and without BMF],Grackle_LED_Map[Lutron Lamp SKU],"",0)</f>
        <v/>
      </c>
      <c r="N100" t="s">
        <v>2269</v>
      </c>
    </row>
    <row r="101" spans="1:14" x14ac:dyDescent="0.25">
      <c r="A101" s="87" t="s">
        <v>2264</v>
      </c>
      <c r="B101" s="86" t="s">
        <v>1405</v>
      </c>
      <c r="C101" s="3" t="s">
        <v>1759</v>
      </c>
      <c r="D101" t="s">
        <v>1690</v>
      </c>
      <c r="E101">
        <v>1</v>
      </c>
      <c r="F101" cm="1">
        <f t="array" ref="F101">_xlfn.IFS(Lutron_CFlex_Lookup[[#This Row],[Kit Lamp Qty]]=1,24,Lutron_CFlex_Lookup[[#This Row],[Kit Lamp Qty]]=2,12,Lutron_CFlex_Lookup[[#This Row],[Kit Lamp Qty]]=3,8)</f>
        <v>24</v>
      </c>
      <c r="G101" s="81">
        <v>3000</v>
      </c>
      <c r="H101">
        <v>2000</v>
      </c>
      <c r="I101" s="3" t="s">
        <v>1666</v>
      </c>
      <c r="J101" s="87" t="s">
        <v>1948</v>
      </c>
      <c r="L101" t="str">
        <f>_xlfn.XLOOKUP(Lutron_CFlex_Lookup[[#This Row],[C-FLEX Individual Kit]],Grackle_LED_Map[LED EcoSystem SKU],Grackle_LED_Map[EcoSystem Drivers],"",0)&amp;_xlfn.XLOOKUP(Lutron_CFlex_Lookup[[#This Row],[C-FLEX Individual Kit]],Grackle_LED_Map[LED 3W SKU with and without BMF],Grackle_LED_Map[3W Drivers],"",0)</f>
        <v/>
      </c>
      <c r="M101" t="str">
        <f>_xlfn.XLOOKUP(Lutron_CFlex_Lookup[[#This Row],[C-FLEX Individual Kit]],Grackle_LED_Map[LED EcoSystem SKU],Grackle_LED_Map[Lutron Lamp SKU],"",0)&amp;_xlfn.XLOOKUP(Lutron_CFlex_Lookup[[#This Row],[C-FLEX Individual Kit]],Grackle_LED_Map[LED 3W SKU with and without BMF],Grackle_LED_Map[Lutron Lamp SKU],"",0)</f>
        <v/>
      </c>
      <c r="N101" t="s">
        <v>2269</v>
      </c>
    </row>
    <row r="102" spans="1:14" x14ac:dyDescent="0.25">
      <c r="A102" s="87" t="s">
        <v>2259</v>
      </c>
      <c r="B102" s="86" t="s">
        <v>50</v>
      </c>
      <c r="C102" s="3" t="s">
        <v>1759</v>
      </c>
      <c r="D102" t="s">
        <v>1690</v>
      </c>
      <c r="E102">
        <v>1</v>
      </c>
      <c r="F102" cm="1">
        <f t="array" ref="F102">_xlfn.IFS(Lutron_CFlex_Lookup[[#This Row],[Kit Lamp Qty]]=1,24,Lutron_CFlex_Lookup[[#This Row],[Kit Lamp Qty]]=2,12,Lutron_CFlex_Lookup[[#This Row],[Kit Lamp Qty]]=3,8)</f>
        <v>24</v>
      </c>
      <c r="G102" s="81">
        <v>3500</v>
      </c>
      <c r="H102">
        <v>2000</v>
      </c>
      <c r="I102" s="3" t="s">
        <v>150</v>
      </c>
      <c r="J102" s="87" t="s">
        <v>2021</v>
      </c>
      <c r="L102" t="str">
        <f>_xlfn.XLOOKUP(Lutron_CFlex_Lookup[[#This Row],[C-FLEX Individual Kit]],Grackle_LED_Map[LED EcoSystem SKU],Grackle_LED_Map[EcoSystem Drivers],"",0)&amp;_xlfn.XLOOKUP(Lutron_CFlex_Lookup[[#This Row],[C-FLEX Individual Kit]],Grackle_LED_Map[LED 3W SKU with and without BMF],Grackle_LED_Map[3W Drivers],"",0)</f>
        <v/>
      </c>
      <c r="M102" t="str">
        <f>_xlfn.XLOOKUP(Lutron_CFlex_Lookup[[#This Row],[C-FLEX Individual Kit]],Grackle_LED_Map[LED EcoSystem SKU],Grackle_LED_Map[Lutron Lamp SKU],"",0)&amp;_xlfn.XLOOKUP(Lutron_CFlex_Lookup[[#This Row],[C-FLEX Individual Kit]],Grackle_LED_Map[LED 3W SKU with and without BMF],Grackle_LED_Map[Lutron Lamp SKU],"",0)</f>
        <v/>
      </c>
      <c r="N102" t="s">
        <v>2269</v>
      </c>
    </row>
    <row r="103" spans="1:14" x14ac:dyDescent="0.25">
      <c r="A103" s="87" t="s">
        <v>2256</v>
      </c>
      <c r="B103" s="86" t="s">
        <v>50</v>
      </c>
      <c r="C103" s="3" t="s">
        <v>1759</v>
      </c>
      <c r="D103" t="s">
        <v>1690</v>
      </c>
      <c r="E103">
        <v>1</v>
      </c>
      <c r="F103" cm="1">
        <f t="array" ref="F103">_xlfn.IFS(Lutron_CFlex_Lookup[[#This Row],[Kit Lamp Qty]]=1,24,Lutron_CFlex_Lookup[[#This Row],[Kit Lamp Qty]]=2,12,Lutron_CFlex_Lookup[[#This Row],[Kit Lamp Qty]]=3,8)</f>
        <v>24</v>
      </c>
      <c r="G103" s="81">
        <v>3500</v>
      </c>
      <c r="H103">
        <v>2000</v>
      </c>
      <c r="I103" s="3" t="s">
        <v>1666</v>
      </c>
      <c r="J103" s="87" t="s">
        <v>2022</v>
      </c>
      <c r="L103" t="str">
        <f>_xlfn.XLOOKUP(Lutron_CFlex_Lookup[[#This Row],[C-FLEX Individual Kit]],Grackle_LED_Map[LED EcoSystem SKU],Grackle_LED_Map[EcoSystem Drivers],"",0)&amp;_xlfn.XLOOKUP(Lutron_CFlex_Lookup[[#This Row],[C-FLEX Individual Kit]],Grackle_LED_Map[LED 3W SKU with and without BMF],Grackle_LED_Map[3W Drivers],"",0)</f>
        <v/>
      </c>
      <c r="M103" t="str">
        <f>_xlfn.XLOOKUP(Lutron_CFlex_Lookup[[#This Row],[C-FLEX Individual Kit]],Grackle_LED_Map[LED EcoSystem SKU],Grackle_LED_Map[Lutron Lamp SKU],"",0)&amp;_xlfn.XLOOKUP(Lutron_CFlex_Lookup[[#This Row],[C-FLEX Individual Kit]],Grackle_LED_Map[LED 3W SKU with and without BMF],Grackle_LED_Map[Lutron Lamp SKU],"",0)</f>
        <v/>
      </c>
      <c r="N103" t="s">
        <v>2269</v>
      </c>
    </row>
    <row r="104" spans="1:14" x14ac:dyDescent="0.25">
      <c r="A104" s="87" t="s">
        <v>2262</v>
      </c>
      <c r="B104" s="86" t="s">
        <v>1405</v>
      </c>
      <c r="C104" s="3" t="s">
        <v>1759</v>
      </c>
      <c r="D104" t="s">
        <v>1690</v>
      </c>
      <c r="E104">
        <v>1</v>
      </c>
      <c r="F104" cm="1">
        <f t="array" ref="F104">_xlfn.IFS(Lutron_CFlex_Lookup[[#This Row],[Kit Lamp Qty]]=1,24,Lutron_CFlex_Lookup[[#This Row],[Kit Lamp Qty]]=2,12,Lutron_CFlex_Lookup[[#This Row],[Kit Lamp Qty]]=3,8)</f>
        <v>24</v>
      </c>
      <c r="G104" s="81">
        <v>3500</v>
      </c>
      <c r="H104">
        <v>2000</v>
      </c>
      <c r="I104" s="3" t="s">
        <v>150</v>
      </c>
      <c r="J104" s="87" t="s">
        <v>1951</v>
      </c>
      <c r="L104" t="str">
        <f>_xlfn.XLOOKUP(Lutron_CFlex_Lookup[[#This Row],[C-FLEX Individual Kit]],Grackle_LED_Map[LED EcoSystem SKU],Grackle_LED_Map[EcoSystem Drivers],"",0)&amp;_xlfn.XLOOKUP(Lutron_CFlex_Lookup[[#This Row],[C-FLEX Individual Kit]],Grackle_LED_Map[LED 3W SKU with and without BMF],Grackle_LED_Map[3W Drivers],"",0)</f>
        <v/>
      </c>
      <c r="M104" t="str">
        <f>_xlfn.XLOOKUP(Lutron_CFlex_Lookup[[#This Row],[C-FLEX Individual Kit]],Grackle_LED_Map[LED EcoSystem SKU],Grackle_LED_Map[Lutron Lamp SKU],"",0)&amp;_xlfn.XLOOKUP(Lutron_CFlex_Lookup[[#This Row],[C-FLEX Individual Kit]],Grackle_LED_Map[LED 3W SKU with and without BMF],Grackle_LED_Map[Lutron Lamp SKU],"",0)</f>
        <v/>
      </c>
      <c r="N104" t="s">
        <v>2269</v>
      </c>
    </row>
    <row r="105" spans="1:14" x14ac:dyDescent="0.25">
      <c r="A105" s="87" t="s">
        <v>2265</v>
      </c>
      <c r="B105" s="86" t="s">
        <v>1405</v>
      </c>
      <c r="C105" s="3" t="s">
        <v>1759</v>
      </c>
      <c r="D105" t="s">
        <v>1690</v>
      </c>
      <c r="E105">
        <v>1</v>
      </c>
      <c r="F105" cm="1">
        <f t="array" ref="F105">_xlfn.IFS(Lutron_CFlex_Lookup[[#This Row],[Kit Lamp Qty]]=1,24,Lutron_CFlex_Lookup[[#This Row],[Kit Lamp Qty]]=2,12,Lutron_CFlex_Lookup[[#This Row],[Kit Lamp Qty]]=3,8)</f>
        <v>24</v>
      </c>
      <c r="G105" s="81">
        <v>3500</v>
      </c>
      <c r="H105">
        <v>2000</v>
      </c>
      <c r="I105" s="3" t="s">
        <v>1666</v>
      </c>
      <c r="J105" s="87" t="s">
        <v>1952</v>
      </c>
      <c r="L105" t="str">
        <f>_xlfn.XLOOKUP(Lutron_CFlex_Lookup[[#This Row],[C-FLEX Individual Kit]],Grackle_LED_Map[LED EcoSystem SKU],Grackle_LED_Map[EcoSystem Drivers],"",0)&amp;_xlfn.XLOOKUP(Lutron_CFlex_Lookup[[#This Row],[C-FLEX Individual Kit]],Grackle_LED_Map[LED 3W SKU with and without BMF],Grackle_LED_Map[3W Drivers],"",0)</f>
        <v/>
      </c>
      <c r="M105" t="str">
        <f>_xlfn.XLOOKUP(Lutron_CFlex_Lookup[[#This Row],[C-FLEX Individual Kit]],Grackle_LED_Map[LED EcoSystem SKU],Grackle_LED_Map[Lutron Lamp SKU],"",0)&amp;_xlfn.XLOOKUP(Lutron_CFlex_Lookup[[#This Row],[C-FLEX Individual Kit]],Grackle_LED_Map[LED 3W SKU with and without BMF],Grackle_LED_Map[Lutron Lamp SKU],"",0)</f>
        <v/>
      </c>
      <c r="N105" t="s">
        <v>2269</v>
      </c>
    </row>
    <row r="106" spans="1:14" x14ac:dyDescent="0.25">
      <c r="A106" s="87" t="s">
        <v>2260</v>
      </c>
      <c r="B106" s="86" t="s">
        <v>50</v>
      </c>
      <c r="C106" s="3" t="s">
        <v>1759</v>
      </c>
      <c r="D106" t="s">
        <v>1690</v>
      </c>
      <c r="E106">
        <v>1</v>
      </c>
      <c r="F106" cm="1">
        <f t="array" ref="F106">_xlfn.IFS(Lutron_CFlex_Lookup[[#This Row],[Kit Lamp Qty]]=1,24,Lutron_CFlex_Lookup[[#This Row],[Kit Lamp Qty]]=2,12,Lutron_CFlex_Lookup[[#This Row],[Kit Lamp Qty]]=3,8)</f>
        <v>24</v>
      </c>
      <c r="G106" s="81">
        <v>4000</v>
      </c>
      <c r="H106">
        <v>2000</v>
      </c>
      <c r="I106" s="3" t="s">
        <v>150</v>
      </c>
      <c r="J106" s="87" t="s">
        <v>2025</v>
      </c>
      <c r="L106" t="str">
        <f>_xlfn.XLOOKUP(Lutron_CFlex_Lookup[[#This Row],[C-FLEX Individual Kit]],Grackle_LED_Map[LED EcoSystem SKU],Grackle_LED_Map[EcoSystem Drivers],"",0)&amp;_xlfn.XLOOKUP(Lutron_CFlex_Lookup[[#This Row],[C-FLEX Individual Kit]],Grackle_LED_Map[LED 3W SKU with and without BMF],Grackle_LED_Map[3W Drivers],"",0)</f>
        <v/>
      </c>
      <c r="M106" t="str">
        <f>_xlfn.XLOOKUP(Lutron_CFlex_Lookup[[#This Row],[C-FLEX Individual Kit]],Grackle_LED_Map[LED EcoSystem SKU],Grackle_LED_Map[Lutron Lamp SKU],"",0)&amp;_xlfn.XLOOKUP(Lutron_CFlex_Lookup[[#This Row],[C-FLEX Individual Kit]],Grackle_LED_Map[LED 3W SKU with and without BMF],Grackle_LED_Map[Lutron Lamp SKU],"",0)</f>
        <v/>
      </c>
      <c r="N106" t="s">
        <v>2269</v>
      </c>
    </row>
    <row r="107" spans="1:14" x14ac:dyDescent="0.25">
      <c r="A107" s="87" t="s">
        <v>2257</v>
      </c>
      <c r="B107" s="86" t="s">
        <v>50</v>
      </c>
      <c r="C107" s="3" t="s">
        <v>1759</v>
      </c>
      <c r="D107" t="s">
        <v>1690</v>
      </c>
      <c r="E107">
        <v>1</v>
      </c>
      <c r="F107" cm="1">
        <f t="array" ref="F107">_xlfn.IFS(Lutron_CFlex_Lookup[[#This Row],[Kit Lamp Qty]]=1,24,Lutron_CFlex_Lookup[[#This Row],[Kit Lamp Qty]]=2,12,Lutron_CFlex_Lookup[[#This Row],[Kit Lamp Qty]]=3,8)</f>
        <v>24</v>
      </c>
      <c r="G107" s="81">
        <v>4000</v>
      </c>
      <c r="H107">
        <v>2000</v>
      </c>
      <c r="I107" s="3" t="s">
        <v>1666</v>
      </c>
      <c r="J107" s="87" t="s">
        <v>2026</v>
      </c>
      <c r="L107" t="str">
        <f>_xlfn.XLOOKUP(Lutron_CFlex_Lookup[[#This Row],[C-FLEX Individual Kit]],Grackle_LED_Map[LED EcoSystem SKU],Grackle_LED_Map[EcoSystem Drivers],"",0)&amp;_xlfn.XLOOKUP(Lutron_CFlex_Lookup[[#This Row],[C-FLEX Individual Kit]],Grackle_LED_Map[LED 3W SKU with and without BMF],Grackle_LED_Map[3W Drivers],"",0)</f>
        <v/>
      </c>
      <c r="M107" t="str">
        <f>_xlfn.XLOOKUP(Lutron_CFlex_Lookup[[#This Row],[C-FLEX Individual Kit]],Grackle_LED_Map[LED EcoSystem SKU],Grackle_LED_Map[Lutron Lamp SKU],"",0)&amp;_xlfn.XLOOKUP(Lutron_CFlex_Lookup[[#This Row],[C-FLEX Individual Kit]],Grackle_LED_Map[LED 3W SKU with and without BMF],Grackle_LED_Map[Lutron Lamp SKU],"",0)</f>
        <v/>
      </c>
      <c r="N107" t="s">
        <v>2269</v>
      </c>
    </row>
    <row r="108" spans="1:14" x14ac:dyDescent="0.25">
      <c r="A108" s="87" t="s">
        <v>2263</v>
      </c>
      <c r="B108" s="86" t="s">
        <v>1405</v>
      </c>
      <c r="C108" s="3" t="s">
        <v>1759</v>
      </c>
      <c r="D108" t="s">
        <v>1690</v>
      </c>
      <c r="E108">
        <v>1</v>
      </c>
      <c r="F108" cm="1">
        <f t="array" ref="F108">_xlfn.IFS(Lutron_CFlex_Lookup[[#This Row],[Kit Lamp Qty]]=1,24,Lutron_CFlex_Lookup[[#This Row],[Kit Lamp Qty]]=2,12,Lutron_CFlex_Lookup[[#This Row],[Kit Lamp Qty]]=3,8)</f>
        <v>24</v>
      </c>
      <c r="G108" s="81">
        <v>4000</v>
      </c>
      <c r="H108">
        <v>2000</v>
      </c>
      <c r="I108" s="3" t="s">
        <v>150</v>
      </c>
      <c r="J108" s="87" t="s">
        <v>1955</v>
      </c>
      <c r="L108" t="str">
        <f>_xlfn.XLOOKUP(Lutron_CFlex_Lookup[[#This Row],[C-FLEX Individual Kit]],Grackle_LED_Map[LED EcoSystem SKU],Grackle_LED_Map[EcoSystem Drivers],"",0)&amp;_xlfn.XLOOKUP(Lutron_CFlex_Lookup[[#This Row],[C-FLEX Individual Kit]],Grackle_LED_Map[LED 3W SKU with and without BMF],Grackle_LED_Map[3W Drivers],"",0)</f>
        <v/>
      </c>
      <c r="M108" t="str">
        <f>_xlfn.XLOOKUP(Lutron_CFlex_Lookup[[#This Row],[C-FLEX Individual Kit]],Grackle_LED_Map[LED EcoSystem SKU],Grackle_LED_Map[Lutron Lamp SKU],"",0)&amp;_xlfn.XLOOKUP(Lutron_CFlex_Lookup[[#This Row],[C-FLEX Individual Kit]],Grackle_LED_Map[LED 3W SKU with and without BMF],Grackle_LED_Map[Lutron Lamp SKU],"",0)</f>
        <v/>
      </c>
      <c r="N108" t="s">
        <v>2269</v>
      </c>
    </row>
    <row r="109" spans="1:14" x14ac:dyDescent="0.25">
      <c r="A109" s="87" t="s">
        <v>2266</v>
      </c>
      <c r="B109" s="86" t="s">
        <v>1405</v>
      </c>
      <c r="C109" s="3" t="s">
        <v>1759</v>
      </c>
      <c r="D109" t="s">
        <v>1690</v>
      </c>
      <c r="E109">
        <v>1</v>
      </c>
      <c r="F109" cm="1">
        <f t="array" ref="F109">_xlfn.IFS(Lutron_CFlex_Lookup[[#This Row],[Kit Lamp Qty]]=1,24,Lutron_CFlex_Lookup[[#This Row],[Kit Lamp Qty]]=2,12,Lutron_CFlex_Lookup[[#This Row],[Kit Lamp Qty]]=3,8)</f>
        <v>24</v>
      </c>
      <c r="G109" s="81">
        <v>4000</v>
      </c>
      <c r="H109">
        <v>2000</v>
      </c>
      <c r="I109" s="3" t="s">
        <v>1666</v>
      </c>
      <c r="J109" s="87" t="s">
        <v>1956</v>
      </c>
      <c r="L109" t="str">
        <f>_xlfn.XLOOKUP(Lutron_CFlex_Lookup[[#This Row],[C-FLEX Individual Kit]],Grackle_LED_Map[LED EcoSystem SKU],Grackle_LED_Map[EcoSystem Drivers],"",0)&amp;_xlfn.XLOOKUP(Lutron_CFlex_Lookup[[#This Row],[C-FLEX Individual Kit]],Grackle_LED_Map[LED 3W SKU with and without BMF],Grackle_LED_Map[3W Drivers],"",0)</f>
        <v/>
      </c>
      <c r="M109" t="str">
        <f>_xlfn.XLOOKUP(Lutron_CFlex_Lookup[[#This Row],[C-FLEX Individual Kit]],Grackle_LED_Map[LED EcoSystem SKU],Grackle_LED_Map[Lutron Lamp SKU],"",0)&amp;_xlfn.XLOOKUP(Lutron_CFlex_Lookup[[#This Row],[C-FLEX Individual Kit]],Grackle_LED_Map[LED 3W SKU with and without BMF],Grackle_LED_Map[Lutron Lamp SKU],"",0)</f>
        <v/>
      </c>
      <c r="N109" t="s">
        <v>2269</v>
      </c>
    </row>
    <row r="110" spans="1:14" x14ac:dyDescent="0.25">
      <c r="A110" t="s">
        <v>1601</v>
      </c>
      <c r="B110" s="86" t="s">
        <v>50</v>
      </c>
      <c r="C110" s="3" t="s">
        <v>1759</v>
      </c>
      <c r="D110" s="3" t="s">
        <v>1690</v>
      </c>
      <c r="E110">
        <v>1</v>
      </c>
      <c r="F110" cm="1">
        <f t="array" ref="F110">_xlfn.IFS(Lutron_CFlex_Lookup[[#This Row],[Kit Lamp Qty]]=1,24,Lutron_CFlex_Lookup[[#This Row],[Kit Lamp Qty]]=2,12,Lutron_CFlex_Lookup[[#This Row],[Kit Lamp Qty]]=3,8)</f>
        <v>24</v>
      </c>
      <c r="G110" s="81">
        <v>3000</v>
      </c>
      <c r="H110">
        <v>2700</v>
      </c>
      <c r="I110" s="3" t="s">
        <v>150</v>
      </c>
      <c r="J110" t="s">
        <v>2019</v>
      </c>
      <c r="L110"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110"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111" spans="1:14" x14ac:dyDescent="0.25">
      <c r="A111" t="s">
        <v>1595</v>
      </c>
      <c r="B111" s="86" t="s">
        <v>50</v>
      </c>
      <c r="C111" s="3" t="s">
        <v>1759</v>
      </c>
      <c r="D111" s="3" t="s">
        <v>1690</v>
      </c>
      <c r="E111">
        <v>1</v>
      </c>
      <c r="F111" cm="1">
        <f t="array" ref="F111">_xlfn.IFS(Lutron_CFlex_Lookup[[#This Row],[Kit Lamp Qty]]=1,24,Lutron_CFlex_Lookup[[#This Row],[Kit Lamp Qty]]=2,12,Lutron_CFlex_Lookup[[#This Row],[Kit Lamp Qty]]=3,8)</f>
        <v>24</v>
      </c>
      <c r="G111" s="81">
        <v>3000</v>
      </c>
      <c r="H111">
        <v>2700</v>
      </c>
      <c r="I111" s="3" t="s">
        <v>1666</v>
      </c>
      <c r="J111" t="s">
        <v>2020</v>
      </c>
      <c r="L111"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111"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112" spans="1:14" x14ac:dyDescent="0.25">
      <c r="A112" t="s">
        <v>1598</v>
      </c>
      <c r="B112" s="86" t="s">
        <v>1405</v>
      </c>
      <c r="C112" t="s">
        <v>1759</v>
      </c>
      <c r="D112" t="s">
        <v>1690</v>
      </c>
      <c r="E112">
        <v>1</v>
      </c>
      <c r="F112" cm="1">
        <f t="array" ref="F112">_xlfn.IFS(Lutron_CFlex_Lookup[[#This Row],[Kit Lamp Qty]]=1,24,Lutron_CFlex_Lookup[[#This Row],[Kit Lamp Qty]]=2,12,Lutron_CFlex_Lookup[[#This Row],[Kit Lamp Qty]]=3,8)</f>
        <v>24</v>
      </c>
      <c r="G112" s="81">
        <v>3000</v>
      </c>
      <c r="H112">
        <v>2000</v>
      </c>
      <c r="I112" t="s">
        <v>150</v>
      </c>
      <c r="J112" t="s">
        <v>1949</v>
      </c>
      <c r="K112" s="2"/>
      <c r="L112"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112"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113" spans="1:13" x14ac:dyDescent="0.25">
      <c r="A113" t="s">
        <v>1592</v>
      </c>
      <c r="B113" s="86" t="s">
        <v>1405</v>
      </c>
      <c r="C113" t="s">
        <v>1759</v>
      </c>
      <c r="D113" t="s">
        <v>1690</v>
      </c>
      <c r="E113">
        <v>1</v>
      </c>
      <c r="F113" cm="1">
        <f t="array" ref="F113">_xlfn.IFS(Lutron_CFlex_Lookup[[#This Row],[Kit Lamp Qty]]=1,24,Lutron_CFlex_Lookup[[#This Row],[Kit Lamp Qty]]=2,12,Lutron_CFlex_Lookup[[#This Row],[Kit Lamp Qty]]=3,8)</f>
        <v>24</v>
      </c>
      <c r="G113" s="81">
        <v>3000</v>
      </c>
      <c r="H113">
        <v>2700</v>
      </c>
      <c r="I113" t="s">
        <v>1666</v>
      </c>
      <c r="J113" t="s">
        <v>1950</v>
      </c>
      <c r="K113" s="2"/>
      <c r="L113"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113"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LED-G24QCE-830</v>
      </c>
    </row>
    <row r="114" spans="1:13" x14ac:dyDescent="0.25">
      <c r="A114" t="s">
        <v>1602</v>
      </c>
      <c r="B114" s="86" t="s">
        <v>50</v>
      </c>
      <c r="C114" s="3" t="s">
        <v>1759</v>
      </c>
      <c r="D114" s="3" t="s">
        <v>1690</v>
      </c>
      <c r="E114">
        <v>1</v>
      </c>
      <c r="F114" cm="1">
        <f t="array" ref="F114">_xlfn.IFS(Lutron_CFlex_Lookup[[#This Row],[Kit Lamp Qty]]=1,24,Lutron_CFlex_Lookup[[#This Row],[Kit Lamp Qty]]=2,12,Lutron_CFlex_Lookup[[#This Row],[Kit Lamp Qty]]=3,8)</f>
        <v>24</v>
      </c>
      <c r="G114" s="81">
        <v>3500</v>
      </c>
      <c r="H114">
        <v>2700</v>
      </c>
      <c r="I114" s="3" t="s">
        <v>150</v>
      </c>
      <c r="J114" t="s">
        <v>2023</v>
      </c>
      <c r="L114"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114"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115" spans="1:13" x14ac:dyDescent="0.25">
      <c r="A115" t="s">
        <v>1596</v>
      </c>
      <c r="B115" s="86" t="s">
        <v>50</v>
      </c>
      <c r="C115" s="3" t="s">
        <v>1759</v>
      </c>
      <c r="D115" s="3" t="s">
        <v>1690</v>
      </c>
      <c r="E115">
        <v>1</v>
      </c>
      <c r="F115" cm="1">
        <f t="array" ref="F115">_xlfn.IFS(Lutron_CFlex_Lookup[[#This Row],[Kit Lamp Qty]]=1,24,Lutron_CFlex_Lookup[[#This Row],[Kit Lamp Qty]]=2,12,Lutron_CFlex_Lookup[[#This Row],[Kit Lamp Qty]]=3,8)</f>
        <v>24</v>
      </c>
      <c r="G115" s="81">
        <v>3500</v>
      </c>
      <c r="H115">
        <v>2700</v>
      </c>
      <c r="I115" s="3" t="s">
        <v>1666</v>
      </c>
      <c r="J115" t="s">
        <v>2024</v>
      </c>
      <c r="L115"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115"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116" spans="1:13" x14ac:dyDescent="0.25">
      <c r="A116" t="s">
        <v>1599</v>
      </c>
      <c r="B116" s="86" t="s">
        <v>1405</v>
      </c>
      <c r="C116" t="s">
        <v>1759</v>
      </c>
      <c r="D116" t="s">
        <v>1690</v>
      </c>
      <c r="E116">
        <v>1</v>
      </c>
      <c r="F116" cm="1">
        <f t="array" ref="F116">_xlfn.IFS(Lutron_CFlex_Lookup[[#This Row],[Kit Lamp Qty]]=1,24,Lutron_CFlex_Lookup[[#This Row],[Kit Lamp Qty]]=2,12,Lutron_CFlex_Lookup[[#This Row],[Kit Lamp Qty]]=3,8)</f>
        <v>24</v>
      </c>
      <c r="G116" s="81">
        <v>3500</v>
      </c>
      <c r="H116">
        <v>2700</v>
      </c>
      <c r="I116" t="s">
        <v>150</v>
      </c>
      <c r="J116" t="s">
        <v>1953</v>
      </c>
      <c r="K116" s="2"/>
      <c r="L116"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116"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117" spans="1:13" x14ac:dyDescent="0.25">
      <c r="A117" t="s">
        <v>1593</v>
      </c>
      <c r="B117" s="86" t="s">
        <v>1405</v>
      </c>
      <c r="C117" t="s">
        <v>1759</v>
      </c>
      <c r="D117" t="s">
        <v>1690</v>
      </c>
      <c r="E117">
        <v>1</v>
      </c>
      <c r="F117" cm="1">
        <f t="array" ref="F117">_xlfn.IFS(Lutron_CFlex_Lookup[[#This Row],[Kit Lamp Qty]]=1,24,Lutron_CFlex_Lookup[[#This Row],[Kit Lamp Qty]]=2,12,Lutron_CFlex_Lookup[[#This Row],[Kit Lamp Qty]]=3,8)</f>
        <v>24</v>
      </c>
      <c r="G117" s="81">
        <v>3500</v>
      </c>
      <c r="H117">
        <v>2700</v>
      </c>
      <c r="I117" t="s">
        <v>1666</v>
      </c>
      <c r="J117" t="s">
        <v>1954</v>
      </c>
      <c r="K117" s="2"/>
      <c r="L117"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117"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LED-G24QCE-835</v>
      </c>
    </row>
    <row r="118" spans="1:13" x14ac:dyDescent="0.25">
      <c r="A118" t="s">
        <v>1603</v>
      </c>
      <c r="B118" s="86" t="s">
        <v>50</v>
      </c>
      <c r="C118" s="3" t="s">
        <v>1759</v>
      </c>
      <c r="D118" s="3" t="s">
        <v>1690</v>
      </c>
      <c r="E118">
        <v>1</v>
      </c>
      <c r="F118" cm="1">
        <f t="array" ref="F118">_xlfn.IFS(Lutron_CFlex_Lookup[[#This Row],[Kit Lamp Qty]]=1,24,Lutron_CFlex_Lookup[[#This Row],[Kit Lamp Qty]]=2,12,Lutron_CFlex_Lookup[[#This Row],[Kit Lamp Qty]]=3,8)</f>
        <v>24</v>
      </c>
      <c r="G118" s="81">
        <v>4000</v>
      </c>
      <c r="H118">
        <v>2700</v>
      </c>
      <c r="I118" s="3" t="s">
        <v>150</v>
      </c>
      <c r="J118" t="s">
        <v>2027</v>
      </c>
      <c r="L118" t="str">
        <f>_xlfn.XLOOKUP(Lutron_CFlex_Lookup[[#This Row],[C-FLEX Individual Kit]],Grackle_LED_Map[LED EcoSystem SKU],Grackle_LED_Map[EcoSystem Drivers],"",0)&amp;_xlfn.XLOOKUP(Lutron_CFlex_Lookup[[#This Row],[C-FLEX Individual Kit]],Grackle_LED_Map[LED 3W SKU with and without BMF],Grackle_LED_Map[3W Drivers],"",0)</f>
        <v>L3DA4KS3A-1</v>
      </c>
      <c r="M118"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119" spans="1:13" x14ac:dyDescent="0.25">
      <c r="A119" t="s">
        <v>1597</v>
      </c>
      <c r="B119" s="86" t="s">
        <v>50</v>
      </c>
      <c r="C119" s="3" t="s">
        <v>1759</v>
      </c>
      <c r="D119" s="3" t="s">
        <v>1690</v>
      </c>
      <c r="E119">
        <v>1</v>
      </c>
      <c r="F119" cm="1">
        <f t="array" ref="F119">_xlfn.IFS(Lutron_CFlex_Lookup[[#This Row],[Kit Lamp Qty]]=1,24,Lutron_CFlex_Lookup[[#This Row],[Kit Lamp Qty]]=2,12,Lutron_CFlex_Lookup[[#This Row],[Kit Lamp Qty]]=3,8)</f>
        <v>24</v>
      </c>
      <c r="G119" s="81">
        <v>4000</v>
      </c>
      <c r="H119">
        <v>2700</v>
      </c>
      <c r="I119" s="3" t="s">
        <v>1666</v>
      </c>
      <c r="J119" t="s">
        <v>2028</v>
      </c>
      <c r="L119" t="str">
        <f>_xlfn.XLOOKUP(Lutron_CFlex_Lookup[[#This Row],[C-FLEX Individual Kit]],Grackle_LED_Map[LED EcoSystem SKU],Grackle_LED_Map[EcoSystem Drivers],"",0)&amp;_xlfn.XLOOKUP(Lutron_CFlex_Lookup[[#This Row],[C-FLEX Individual Kit]],Grackle_LED_Map[LED 3W SKU with and without BMF],Grackle_LED_Map[3W Drivers],"",0)</f>
        <v>L3DA4KN3A-1</v>
      </c>
      <c r="M119"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120" spans="1:13" x14ac:dyDescent="0.25">
      <c r="A120" t="s">
        <v>1600</v>
      </c>
      <c r="B120" s="86" t="s">
        <v>1405</v>
      </c>
      <c r="C120" t="s">
        <v>1759</v>
      </c>
      <c r="D120" t="s">
        <v>1690</v>
      </c>
      <c r="E120">
        <v>1</v>
      </c>
      <c r="F120" cm="1">
        <f t="array" ref="F120">_xlfn.IFS(Lutron_CFlex_Lookup[[#This Row],[Kit Lamp Qty]]=1,24,Lutron_CFlex_Lookup[[#This Row],[Kit Lamp Qty]]=2,12,Lutron_CFlex_Lookup[[#This Row],[Kit Lamp Qty]]=3,8)</f>
        <v>24</v>
      </c>
      <c r="G120" s="81">
        <v>4000</v>
      </c>
      <c r="H120">
        <v>2700</v>
      </c>
      <c r="I120" t="s">
        <v>150</v>
      </c>
      <c r="J120" t="s">
        <v>1957</v>
      </c>
      <c r="K120" s="2"/>
      <c r="L120" s="2" t="str">
        <f>_xlfn.XLOOKUP(Lutron_CFlex_Lookup[[#This Row],[C-FLEX Individual Kit]],Grackle_LED_Map[LED EcoSystem SKU],Grackle_LED_Map[EcoSystem Drivers],"",0)&amp;_xlfn.XLOOKUP(Lutron_CFlex_Lookup[[#This Row],[C-FLEX Individual Kit]],Grackle_LED_Map[LED 3W SKU with and without BMF],Grackle_LED_Map[3W Drivers],"",0)</f>
        <v>LDE4KSBA-1</v>
      </c>
      <c r="M120"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121" spans="1:13" x14ac:dyDescent="0.25">
      <c r="A121" t="s">
        <v>1594</v>
      </c>
      <c r="B121" s="86" t="s">
        <v>1405</v>
      </c>
      <c r="C121" t="s">
        <v>1759</v>
      </c>
      <c r="D121" t="s">
        <v>1690</v>
      </c>
      <c r="E121">
        <v>1</v>
      </c>
      <c r="F121" cm="1">
        <f t="array" ref="F121">_xlfn.IFS(Lutron_CFlex_Lookup[[#This Row],[Kit Lamp Qty]]=1,24,Lutron_CFlex_Lookup[[#This Row],[Kit Lamp Qty]]=2,12,Lutron_CFlex_Lookup[[#This Row],[Kit Lamp Qty]]=3,8)</f>
        <v>24</v>
      </c>
      <c r="G121" s="81">
        <v>4000</v>
      </c>
      <c r="H121">
        <v>2700</v>
      </c>
      <c r="I121" t="s">
        <v>1666</v>
      </c>
      <c r="J121" t="s">
        <v>1958</v>
      </c>
      <c r="K121" s="2"/>
      <c r="L121" s="2" t="str">
        <f>_xlfn.XLOOKUP(Lutron_CFlex_Lookup[[#This Row],[C-FLEX Individual Kit]],Grackle_LED_Map[LED EcoSystem SKU],Grackle_LED_Map[EcoSystem Drivers],"",0)&amp;_xlfn.XLOOKUP(Lutron_CFlex_Lookup[[#This Row],[C-FLEX Individual Kit]],Grackle_LED_Map[LED 3W SKU with and without BMF],Grackle_LED_Map[3W Drivers],"",0)</f>
        <v>LDE4KNBA-1</v>
      </c>
      <c r="M121" s="2" t="str">
        <f>_xlfn.XLOOKUP(Lutron_CFlex_Lookup[[#This Row],[C-FLEX Individual Kit]],Grackle_LED_Map[LED EcoSystem SKU],Grackle_LED_Map[Lutron Lamp SKU],"",0)&amp;_xlfn.XLOOKUP(Lutron_CFlex_Lookup[[#This Row],[C-FLEX Individual Kit]],Grackle_LED_Map[LED 3W SKU with and without BMF],Grackle_LED_Map[Lutron Lamp SKU],"",0)</f>
        <v>LED-G24QCE-840</v>
      </c>
    </row>
    <row r="122" spans="1:13" hidden="1" x14ac:dyDescent="0.25">
      <c r="A122" t="s">
        <v>229</v>
      </c>
      <c r="B122" s="79" t="s">
        <v>50</v>
      </c>
      <c r="C122" s="3" t="s">
        <v>1760</v>
      </c>
      <c r="D122" s="3" t="s">
        <v>1711</v>
      </c>
      <c r="E122">
        <v>1</v>
      </c>
      <c r="F122" cm="1">
        <f t="array" ref="F122">_xlfn.IFS(Lutron_CFlex_Lookup[[#This Row],[Kit Lamp Qty]]=1,24,Lutron_CFlex_Lookup[[#This Row],[Kit Lamp Qty]]=2,12,Lutron_CFlex_Lookup[[#This Row],[Kit Lamp Qty]]=3,8)</f>
        <v>24</v>
      </c>
      <c r="G122" s="81">
        <v>3000</v>
      </c>
      <c r="H122">
        <v>2500</v>
      </c>
      <c r="I122" s="3" t="s">
        <v>632</v>
      </c>
      <c r="J122" t="s">
        <v>2041</v>
      </c>
      <c r="L12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2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LED-PLL22IN835</v>
      </c>
    </row>
    <row r="123" spans="1:13" hidden="1" x14ac:dyDescent="0.25">
      <c r="A123" t="s">
        <v>226</v>
      </c>
      <c r="B123" s="79" t="s">
        <v>1405</v>
      </c>
      <c r="C123" t="s">
        <v>1760</v>
      </c>
      <c r="D123" t="s">
        <v>1711</v>
      </c>
      <c r="E123">
        <v>1</v>
      </c>
      <c r="F123" cm="1">
        <f t="array" ref="F123">_xlfn.IFS(Lutron_CFlex_Lookup[[#This Row],[Kit Lamp Qty]]=1,24,Lutron_CFlex_Lookup[[#This Row],[Kit Lamp Qty]]=2,12,Lutron_CFlex_Lookup[[#This Row],[Kit Lamp Qty]]=3,8)</f>
        <v>24</v>
      </c>
      <c r="G123" s="81">
        <v>3000</v>
      </c>
      <c r="H123">
        <v>2500</v>
      </c>
      <c r="I123" t="s">
        <v>632</v>
      </c>
      <c r="J123" t="s">
        <v>1971</v>
      </c>
      <c r="K123" s="2" t="s">
        <v>2195</v>
      </c>
      <c r="L123"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23"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LED-PLL22IN835</v>
      </c>
    </row>
    <row r="124" spans="1:13" hidden="1" x14ac:dyDescent="0.25">
      <c r="A124" t="s">
        <v>230</v>
      </c>
      <c r="B124" s="79" t="s">
        <v>50</v>
      </c>
      <c r="C124" s="3" t="s">
        <v>1760</v>
      </c>
      <c r="D124" s="3" t="s">
        <v>1711</v>
      </c>
      <c r="E124">
        <v>1</v>
      </c>
      <c r="F124" cm="1">
        <f t="array" ref="F124">_xlfn.IFS(Lutron_CFlex_Lookup[[#This Row],[Kit Lamp Qty]]=1,24,Lutron_CFlex_Lookup[[#This Row],[Kit Lamp Qty]]=2,12,Lutron_CFlex_Lookup[[#This Row],[Kit Lamp Qty]]=3,8)</f>
        <v>24</v>
      </c>
      <c r="G124" s="81">
        <v>3500</v>
      </c>
      <c r="H124">
        <v>2500</v>
      </c>
      <c r="I124" s="3" t="s">
        <v>632</v>
      </c>
      <c r="J124" t="s">
        <v>2042</v>
      </c>
      <c r="L12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24"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LED-PLL22IN830</v>
      </c>
    </row>
    <row r="125" spans="1:13" hidden="1" x14ac:dyDescent="0.25">
      <c r="A125" t="s">
        <v>227</v>
      </c>
      <c r="B125" s="79" t="s">
        <v>1405</v>
      </c>
      <c r="C125" t="s">
        <v>1760</v>
      </c>
      <c r="D125" t="s">
        <v>1711</v>
      </c>
      <c r="E125">
        <v>1</v>
      </c>
      <c r="F125" cm="1">
        <f t="array" ref="F125">_xlfn.IFS(Lutron_CFlex_Lookup[[#This Row],[Kit Lamp Qty]]=1,24,Lutron_CFlex_Lookup[[#This Row],[Kit Lamp Qty]]=2,12,Lutron_CFlex_Lookup[[#This Row],[Kit Lamp Qty]]=3,8)</f>
        <v>24</v>
      </c>
      <c r="G125" s="81">
        <v>3500</v>
      </c>
      <c r="H125">
        <v>2500</v>
      </c>
      <c r="I125" t="s">
        <v>632</v>
      </c>
      <c r="J125" t="s">
        <v>1972</v>
      </c>
      <c r="K125" s="2" t="s">
        <v>2196</v>
      </c>
      <c r="L125"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25"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LED-PLL22IN830</v>
      </c>
    </row>
    <row r="126" spans="1:13" hidden="1" x14ac:dyDescent="0.25">
      <c r="A126" t="s">
        <v>231</v>
      </c>
      <c r="B126" s="79" t="s">
        <v>50</v>
      </c>
      <c r="C126" s="3" t="s">
        <v>1760</v>
      </c>
      <c r="D126" s="3" t="s">
        <v>1711</v>
      </c>
      <c r="E126">
        <v>1</v>
      </c>
      <c r="F126" cm="1">
        <f t="array" ref="F126">_xlfn.IFS(Lutron_CFlex_Lookup[[#This Row],[Kit Lamp Qty]]=1,24,Lutron_CFlex_Lookup[[#This Row],[Kit Lamp Qty]]=2,12,Lutron_CFlex_Lookup[[#This Row],[Kit Lamp Qty]]=3,8)</f>
        <v>24</v>
      </c>
      <c r="G126" s="81">
        <v>4000</v>
      </c>
      <c r="H126">
        <v>2500</v>
      </c>
      <c r="I126" s="3" t="s">
        <v>632</v>
      </c>
      <c r="J126" t="s">
        <v>2043</v>
      </c>
      <c r="L12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26"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LED-PLL22IN840</v>
      </c>
    </row>
    <row r="127" spans="1:13" hidden="1" x14ac:dyDescent="0.25">
      <c r="A127" t="s">
        <v>228</v>
      </c>
      <c r="B127" s="79" t="s">
        <v>1405</v>
      </c>
      <c r="C127" t="s">
        <v>1760</v>
      </c>
      <c r="D127" t="s">
        <v>1711</v>
      </c>
      <c r="E127">
        <v>1</v>
      </c>
      <c r="F127" cm="1">
        <f t="array" ref="F127">_xlfn.IFS(Lutron_CFlex_Lookup[[#This Row],[Kit Lamp Qty]]=1,24,Lutron_CFlex_Lookup[[#This Row],[Kit Lamp Qty]]=2,12,Lutron_CFlex_Lookup[[#This Row],[Kit Lamp Qty]]=3,8)</f>
        <v>24</v>
      </c>
      <c r="G127" s="81">
        <v>4000</v>
      </c>
      <c r="H127">
        <v>2500</v>
      </c>
      <c r="I127" t="s">
        <v>632</v>
      </c>
      <c r="J127" t="s">
        <v>1973</v>
      </c>
      <c r="K127" s="2" t="s">
        <v>2197</v>
      </c>
      <c r="L127"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27"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LED-PLL22IN840</v>
      </c>
    </row>
    <row r="128" spans="1:13" hidden="1" x14ac:dyDescent="0.25">
      <c r="A128" t="s">
        <v>1801</v>
      </c>
      <c r="B128" s="79" t="s">
        <v>50</v>
      </c>
      <c r="C128" s="3" t="s">
        <v>1760</v>
      </c>
      <c r="D128" s="3" t="s">
        <v>1711</v>
      </c>
      <c r="E128">
        <v>1</v>
      </c>
      <c r="F128" cm="1">
        <f t="array" ref="F128">_xlfn.IFS(Lutron_CFlex_Lookup[[#This Row],[Kit Lamp Qty]]=1,24,Lutron_CFlex_Lookup[[#This Row],[Kit Lamp Qty]]=2,12,Lutron_CFlex_Lookup[[#This Row],[Kit Lamp Qty]]=3,8)</f>
        <v>24</v>
      </c>
      <c r="G128" s="81">
        <v>5000</v>
      </c>
      <c r="H128">
        <v>2500</v>
      </c>
      <c r="I128" s="3" t="s">
        <v>632</v>
      </c>
      <c r="J128" t="s">
        <v>2044</v>
      </c>
      <c r="L12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28"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LED-PLL22IN850</v>
      </c>
    </row>
    <row r="129" spans="1:13" hidden="1" x14ac:dyDescent="0.25">
      <c r="A129" t="s">
        <v>1712</v>
      </c>
      <c r="B129" s="79" t="s">
        <v>1405</v>
      </c>
      <c r="C129" t="s">
        <v>1760</v>
      </c>
      <c r="D129" t="s">
        <v>1711</v>
      </c>
      <c r="E129">
        <v>1</v>
      </c>
      <c r="F129" cm="1">
        <f t="array" ref="F129">_xlfn.IFS(Lutron_CFlex_Lookup[[#This Row],[Kit Lamp Qty]]=1,24,Lutron_CFlex_Lookup[[#This Row],[Kit Lamp Qty]]=2,12,Lutron_CFlex_Lookup[[#This Row],[Kit Lamp Qty]]=3,8)</f>
        <v>24</v>
      </c>
      <c r="G129" s="81">
        <v>5000</v>
      </c>
      <c r="H129">
        <v>2500</v>
      </c>
      <c r="I129" t="s">
        <v>632</v>
      </c>
      <c r="J129" t="s">
        <v>1974</v>
      </c>
      <c r="K129" s="2" t="s">
        <v>2198</v>
      </c>
      <c r="L129"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29"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LED-PLL22IN850</v>
      </c>
    </row>
    <row r="130" spans="1:13" hidden="1" x14ac:dyDescent="0.25">
      <c r="A130" t="s">
        <v>236</v>
      </c>
      <c r="B130" s="79" t="s">
        <v>50</v>
      </c>
      <c r="C130" s="3" t="s">
        <v>1760</v>
      </c>
      <c r="D130" s="3" t="s">
        <v>1711</v>
      </c>
      <c r="E130">
        <v>2</v>
      </c>
      <c r="F130" cm="1">
        <f t="array" ref="F130">_xlfn.IFS(Lutron_CFlex_Lookup[[#This Row],[Kit Lamp Qty]]=1,24,Lutron_CFlex_Lookup[[#This Row],[Kit Lamp Qty]]=2,12,Lutron_CFlex_Lookup[[#This Row],[Kit Lamp Qty]]=3,8)</f>
        <v>12</v>
      </c>
      <c r="G130" s="81">
        <v>3000</v>
      </c>
      <c r="H130">
        <v>5000</v>
      </c>
      <c r="I130" s="3" t="s">
        <v>632</v>
      </c>
      <c r="J130" t="s">
        <v>1900</v>
      </c>
      <c r="L13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30"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LED-PLL22IN835</v>
      </c>
    </row>
    <row r="131" spans="1:13" hidden="1" x14ac:dyDescent="0.25">
      <c r="A131" t="s">
        <v>233</v>
      </c>
      <c r="B131" s="79" t="s">
        <v>1405</v>
      </c>
      <c r="C131" t="s">
        <v>1760</v>
      </c>
      <c r="D131" t="s">
        <v>1711</v>
      </c>
      <c r="E131">
        <v>2</v>
      </c>
      <c r="F131" cm="1">
        <f t="array" ref="F131">_xlfn.IFS(Lutron_CFlex_Lookup[[#This Row],[Kit Lamp Qty]]=1,24,Lutron_CFlex_Lookup[[#This Row],[Kit Lamp Qty]]=2,12,Lutron_CFlex_Lookup[[#This Row],[Kit Lamp Qty]]=3,8)</f>
        <v>12</v>
      </c>
      <c r="G131" s="81">
        <v>3000</v>
      </c>
      <c r="H131">
        <v>5000</v>
      </c>
      <c r="I131" t="s">
        <v>632</v>
      </c>
      <c r="J131" t="s">
        <v>1856</v>
      </c>
      <c r="K131" s="2" t="s">
        <v>2160</v>
      </c>
      <c r="L131"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131"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LED-PLL22IN835</v>
      </c>
    </row>
    <row r="132" spans="1:13" hidden="1" x14ac:dyDescent="0.25">
      <c r="A132" t="s">
        <v>237</v>
      </c>
      <c r="B132" s="79" t="s">
        <v>50</v>
      </c>
      <c r="C132" s="3" t="s">
        <v>1760</v>
      </c>
      <c r="D132" s="3" t="s">
        <v>1711</v>
      </c>
      <c r="E132">
        <v>2</v>
      </c>
      <c r="F132" cm="1">
        <f t="array" ref="F132">_xlfn.IFS(Lutron_CFlex_Lookup[[#This Row],[Kit Lamp Qty]]=1,24,Lutron_CFlex_Lookup[[#This Row],[Kit Lamp Qty]]=2,12,Lutron_CFlex_Lookup[[#This Row],[Kit Lamp Qty]]=3,8)</f>
        <v>12</v>
      </c>
      <c r="G132" s="81">
        <v>3500</v>
      </c>
      <c r="H132">
        <v>5000</v>
      </c>
      <c r="I132" s="3" t="s">
        <v>632</v>
      </c>
      <c r="J132" t="s">
        <v>1901</v>
      </c>
      <c r="L13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3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LED-PLL22IN830</v>
      </c>
    </row>
    <row r="133" spans="1:13" hidden="1" x14ac:dyDescent="0.25">
      <c r="A133" t="s">
        <v>234</v>
      </c>
      <c r="B133" s="79" t="s">
        <v>1405</v>
      </c>
      <c r="C133" t="s">
        <v>1760</v>
      </c>
      <c r="D133" t="s">
        <v>1711</v>
      </c>
      <c r="E133">
        <v>2</v>
      </c>
      <c r="F133" cm="1">
        <f t="array" ref="F133">_xlfn.IFS(Lutron_CFlex_Lookup[[#This Row],[Kit Lamp Qty]]=1,24,Lutron_CFlex_Lookup[[#This Row],[Kit Lamp Qty]]=2,12,Lutron_CFlex_Lookup[[#This Row],[Kit Lamp Qty]]=3,8)</f>
        <v>12</v>
      </c>
      <c r="G133" s="81">
        <v>3500</v>
      </c>
      <c r="H133">
        <v>5000</v>
      </c>
      <c r="I133" t="s">
        <v>632</v>
      </c>
      <c r="J133" t="s">
        <v>1857</v>
      </c>
      <c r="K133" s="2" t="s">
        <v>2161</v>
      </c>
      <c r="L133"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133"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LED-PLL22IN830</v>
      </c>
    </row>
    <row r="134" spans="1:13" hidden="1" x14ac:dyDescent="0.25">
      <c r="A134" t="s">
        <v>238</v>
      </c>
      <c r="B134" s="79" t="s">
        <v>50</v>
      </c>
      <c r="C134" s="3" t="s">
        <v>1760</v>
      </c>
      <c r="D134" s="3" t="s">
        <v>1711</v>
      </c>
      <c r="E134">
        <v>2</v>
      </c>
      <c r="F134" cm="1">
        <f t="array" ref="F134">_xlfn.IFS(Lutron_CFlex_Lookup[[#This Row],[Kit Lamp Qty]]=1,24,Lutron_CFlex_Lookup[[#This Row],[Kit Lamp Qty]]=2,12,Lutron_CFlex_Lookup[[#This Row],[Kit Lamp Qty]]=3,8)</f>
        <v>12</v>
      </c>
      <c r="G134" s="81">
        <v>4000</v>
      </c>
      <c r="H134">
        <v>5000</v>
      </c>
      <c r="I134" s="3" t="s">
        <v>632</v>
      </c>
      <c r="J134" t="s">
        <v>1902</v>
      </c>
      <c r="L13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34"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LED-PLL22IN840</v>
      </c>
    </row>
    <row r="135" spans="1:13" hidden="1" x14ac:dyDescent="0.25">
      <c r="A135" t="s">
        <v>235</v>
      </c>
      <c r="B135" s="79" t="s">
        <v>1405</v>
      </c>
      <c r="C135" t="s">
        <v>1760</v>
      </c>
      <c r="D135" t="s">
        <v>1711</v>
      </c>
      <c r="E135">
        <v>2</v>
      </c>
      <c r="F135" cm="1">
        <f t="array" ref="F135">_xlfn.IFS(Lutron_CFlex_Lookup[[#This Row],[Kit Lamp Qty]]=1,24,Lutron_CFlex_Lookup[[#This Row],[Kit Lamp Qty]]=2,12,Lutron_CFlex_Lookup[[#This Row],[Kit Lamp Qty]]=3,8)</f>
        <v>12</v>
      </c>
      <c r="G135" s="81">
        <v>4000</v>
      </c>
      <c r="H135">
        <v>5000</v>
      </c>
      <c r="I135" t="s">
        <v>632</v>
      </c>
      <c r="J135" t="s">
        <v>1858</v>
      </c>
      <c r="K135" s="2" t="s">
        <v>2162</v>
      </c>
      <c r="L135"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135"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LED-PLL22IN840</v>
      </c>
    </row>
    <row r="136" spans="1:13" hidden="1" x14ac:dyDescent="0.25">
      <c r="A136" t="s">
        <v>1802</v>
      </c>
      <c r="B136" s="79" t="s">
        <v>50</v>
      </c>
      <c r="C136" s="3" t="s">
        <v>1760</v>
      </c>
      <c r="D136" s="3" t="s">
        <v>1711</v>
      </c>
      <c r="E136">
        <v>2</v>
      </c>
      <c r="F136" cm="1">
        <f t="array" ref="F136">_xlfn.IFS(Lutron_CFlex_Lookup[[#This Row],[Kit Lamp Qty]]=1,24,Lutron_CFlex_Lookup[[#This Row],[Kit Lamp Qty]]=2,12,Lutron_CFlex_Lookup[[#This Row],[Kit Lamp Qty]]=3,8)</f>
        <v>12</v>
      </c>
      <c r="G136" s="81">
        <v>5000</v>
      </c>
      <c r="H136">
        <v>5000</v>
      </c>
      <c r="I136" s="3" t="s">
        <v>632</v>
      </c>
      <c r="J136" t="s">
        <v>1903</v>
      </c>
      <c r="L13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36"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LED-PLL22IN850</v>
      </c>
    </row>
    <row r="137" spans="1:13" hidden="1" x14ac:dyDescent="0.25">
      <c r="A137" t="s">
        <v>1713</v>
      </c>
      <c r="B137" s="79" t="s">
        <v>1405</v>
      </c>
      <c r="C137" t="s">
        <v>1760</v>
      </c>
      <c r="D137" t="s">
        <v>1711</v>
      </c>
      <c r="E137">
        <v>2</v>
      </c>
      <c r="F137" cm="1">
        <f t="array" ref="F137">_xlfn.IFS(Lutron_CFlex_Lookup[[#This Row],[Kit Lamp Qty]]=1,24,Lutron_CFlex_Lookup[[#This Row],[Kit Lamp Qty]]=2,12,Lutron_CFlex_Lookup[[#This Row],[Kit Lamp Qty]]=3,8)</f>
        <v>12</v>
      </c>
      <c r="G137" s="81">
        <v>5000</v>
      </c>
      <c r="H137">
        <v>5000</v>
      </c>
      <c r="I137" t="s">
        <v>632</v>
      </c>
      <c r="J137" t="s">
        <v>1859</v>
      </c>
      <c r="K137" s="2" t="s">
        <v>2163</v>
      </c>
      <c r="L137"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137"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LED-PLL22IN850</v>
      </c>
    </row>
    <row r="138" spans="1:13" hidden="1" x14ac:dyDescent="0.25">
      <c r="A138" t="s">
        <v>424</v>
      </c>
      <c r="B138" s="79" t="s">
        <v>1405</v>
      </c>
      <c r="C138" t="s">
        <v>1760</v>
      </c>
      <c r="D138" t="s">
        <v>1711</v>
      </c>
      <c r="E138">
        <v>3</v>
      </c>
      <c r="F138" cm="1">
        <f t="array" ref="F138">_xlfn.IFS(Lutron_CFlex_Lookup[[#This Row],[Kit Lamp Qty]]=1,24,Lutron_CFlex_Lookup[[#This Row],[Kit Lamp Qty]]=2,12,Lutron_CFlex_Lookup[[#This Row],[Kit Lamp Qty]]=3,8)</f>
        <v>8</v>
      </c>
      <c r="G138" s="81">
        <v>3000</v>
      </c>
      <c r="H138">
        <v>7500</v>
      </c>
      <c r="I138" t="s">
        <v>632</v>
      </c>
      <c r="J138" t="s">
        <v>2075</v>
      </c>
      <c r="K138" s="2"/>
      <c r="L138" s="2" t="str">
        <f>_xlfn.XLOOKUP(Lutron_CFlex_Lookup[[#This Row],[C-FLEX Individual Kit]],Grackle_LED_Map[LED EcoSystem SKU],Grackle_LED_Map[EcoSystem Drivers],"",0)&amp;_xlfn.XLOOKUP(Lutron_CFlex_Lookup[[#This Row],[C-FLEX Individual Kit]],Grackle_LED_Map[LED 3W SKU with and without BMF],Grackle_LED_Map[3W Drivers],"",0)</f>
        <v>LDE7MNVA-1</v>
      </c>
      <c r="M138"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LED-PLL22IN835</v>
      </c>
    </row>
    <row r="139" spans="1:13" hidden="1" x14ac:dyDescent="0.25">
      <c r="A139" t="s">
        <v>425</v>
      </c>
      <c r="B139" s="79" t="s">
        <v>1405</v>
      </c>
      <c r="C139" t="s">
        <v>1760</v>
      </c>
      <c r="D139" t="s">
        <v>1711</v>
      </c>
      <c r="E139">
        <v>3</v>
      </c>
      <c r="F139" cm="1">
        <f t="array" ref="F139">_xlfn.IFS(Lutron_CFlex_Lookup[[#This Row],[Kit Lamp Qty]]=1,24,Lutron_CFlex_Lookup[[#This Row],[Kit Lamp Qty]]=2,12,Lutron_CFlex_Lookup[[#This Row],[Kit Lamp Qty]]=3,8)</f>
        <v>8</v>
      </c>
      <c r="G139" s="81">
        <v>3500</v>
      </c>
      <c r="H139">
        <v>7500</v>
      </c>
      <c r="I139" t="s">
        <v>632</v>
      </c>
      <c r="J139" t="s">
        <v>2076</v>
      </c>
      <c r="K139" s="2"/>
      <c r="L139" s="2" t="str">
        <f>_xlfn.XLOOKUP(Lutron_CFlex_Lookup[[#This Row],[C-FLEX Individual Kit]],Grackle_LED_Map[LED EcoSystem SKU],Grackle_LED_Map[EcoSystem Drivers],"",0)&amp;_xlfn.XLOOKUP(Lutron_CFlex_Lookup[[#This Row],[C-FLEX Individual Kit]],Grackle_LED_Map[LED 3W SKU with and without BMF],Grackle_LED_Map[3W Drivers],"",0)</f>
        <v>LDE7MNVA-1</v>
      </c>
      <c r="M139"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LED-PLL22IN830</v>
      </c>
    </row>
    <row r="140" spans="1:13" hidden="1" x14ac:dyDescent="0.25">
      <c r="A140" t="s">
        <v>426</v>
      </c>
      <c r="B140" s="79" t="s">
        <v>1405</v>
      </c>
      <c r="C140" t="s">
        <v>1760</v>
      </c>
      <c r="D140" t="s">
        <v>1711</v>
      </c>
      <c r="E140">
        <v>3</v>
      </c>
      <c r="F140" cm="1">
        <f t="array" ref="F140">_xlfn.IFS(Lutron_CFlex_Lookup[[#This Row],[Kit Lamp Qty]]=1,24,Lutron_CFlex_Lookup[[#This Row],[Kit Lamp Qty]]=2,12,Lutron_CFlex_Lookup[[#This Row],[Kit Lamp Qty]]=3,8)</f>
        <v>8</v>
      </c>
      <c r="G140" s="81">
        <v>4000</v>
      </c>
      <c r="H140">
        <v>7500</v>
      </c>
      <c r="I140" t="s">
        <v>632</v>
      </c>
      <c r="J140" t="s">
        <v>2077</v>
      </c>
      <c r="K140" s="2"/>
      <c r="L140" s="2" t="str">
        <f>_xlfn.XLOOKUP(Lutron_CFlex_Lookup[[#This Row],[C-FLEX Individual Kit]],Grackle_LED_Map[LED EcoSystem SKU],Grackle_LED_Map[EcoSystem Drivers],"",0)&amp;_xlfn.XLOOKUP(Lutron_CFlex_Lookup[[#This Row],[C-FLEX Individual Kit]],Grackle_LED_Map[LED 3W SKU with and without BMF],Grackle_LED_Map[3W Drivers],"",0)</f>
        <v>LDE7MNVA-1</v>
      </c>
      <c r="M140"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LED-PLL22IN840</v>
      </c>
    </row>
    <row r="141" spans="1:13" hidden="1" x14ac:dyDescent="0.25">
      <c r="A141" t="s">
        <v>1714</v>
      </c>
      <c r="B141" s="79" t="s">
        <v>1405</v>
      </c>
      <c r="C141" t="s">
        <v>1760</v>
      </c>
      <c r="D141" t="s">
        <v>1711</v>
      </c>
      <c r="E141">
        <v>3</v>
      </c>
      <c r="F141" cm="1">
        <f t="array" ref="F141">_xlfn.IFS(Lutron_CFlex_Lookup[[#This Row],[Kit Lamp Qty]]=1,24,Lutron_CFlex_Lookup[[#This Row],[Kit Lamp Qty]]=2,12,Lutron_CFlex_Lookup[[#This Row],[Kit Lamp Qty]]=3,8)</f>
        <v>8</v>
      </c>
      <c r="G141" s="81">
        <v>5000</v>
      </c>
      <c r="H141">
        <v>7500</v>
      </c>
      <c r="I141" t="s">
        <v>632</v>
      </c>
      <c r="J141" t="s">
        <v>2078</v>
      </c>
      <c r="K141" s="2"/>
      <c r="L141" s="2" t="str">
        <f>_xlfn.XLOOKUP(Lutron_CFlex_Lookup[[#This Row],[C-FLEX Individual Kit]],Grackle_LED_Map[LED EcoSystem SKU],Grackle_LED_Map[EcoSystem Drivers],"",0)&amp;_xlfn.XLOOKUP(Lutron_CFlex_Lookup[[#This Row],[C-FLEX Individual Kit]],Grackle_LED_Map[LED 3W SKU with and without BMF],Grackle_LED_Map[3W Drivers],"",0)</f>
        <v>LDE7MNVA-1</v>
      </c>
      <c r="M141" s="2" t="str">
        <f>_xlfn.XLOOKUP(Lutron_CFlex_Lookup[[#This Row],[C-FLEX Individual Kit]],Grackle_LED_Map[LED EcoSystem SKU],Grackle_LED_Map[Lutron Lamp SKU],"",0)&amp;_xlfn.XLOOKUP(Lutron_CFlex_Lookup[[#This Row],[C-FLEX Individual Kit]],Grackle_LED_Map[LED 3W SKU with and without BMF],Grackle_LED_Map[Lutron Lamp SKU],"",0)</f>
        <v>LED-PLL22IN850</v>
      </c>
    </row>
    <row r="142" spans="1:13" hidden="1" x14ac:dyDescent="0.25">
      <c r="A142" t="s">
        <v>124</v>
      </c>
      <c r="B142" s="79" t="s">
        <v>50</v>
      </c>
      <c r="C142" s="3" t="s">
        <v>123</v>
      </c>
      <c r="D142" s="3">
        <v>2</v>
      </c>
      <c r="E142">
        <v>1</v>
      </c>
      <c r="F142" cm="1">
        <f t="array" ref="F142">_xlfn.IFS(Lutron_CFlex_Lookup[[#This Row],[Kit Lamp Qty]]=1,24,Lutron_CFlex_Lookup[[#This Row],[Kit Lamp Qty]]=2,12,Lutron_CFlex_Lookup[[#This Row],[Kit Lamp Qty]]=3,8)</f>
        <v>24</v>
      </c>
      <c r="G142" s="81">
        <v>3000</v>
      </c>
      <c r="H142">
        <v>1544</v>
      </c>
      <c r="I142" s="3" t="s">
        <v>632</v>
      </c>
      <c r="J142" t="s">
        <v>2045</v>
      </c>
      <c r="L14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4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LED-T5C2FT830</v>
      </c>
    </row>
    <row r="143" spans="1:13" hidden="1" x14ac:dyDescent="0.25">
      <c r="A143" t="s">
        <v>321</v>
      </c>
      <c r="B143" s="79" t="s">
        <v>1405</v>
      </c>
      <c r="C143" t="s">
        <v>123</v>
      </c>
      <c r="D143">
        <v>2</v>
      </c>
      <c r="E143">
        <v>1</v>
      </c>
      <c r="F143" cm="1">
        <f t="array" ref="F143">_xlfn.IFS(Lutron_CFlex_Lookup[[#This Row],[Kit Lamp Qty]]=1,24,Lutron_CFlex_Lookup[[#This Row],[Kit Lamp Qty]]=2,12,Lutron_CFlex_Lookup[[#This Row],[Kit Lamp Qty]]=3,8)</f>
        <v>24</v>
      </c>
      <c r="G143" s="81">
        <v>3000</v>
      </c>
      <c r="H143">
        <v>1544</v>
      </c>
      <c r="I143" t="s">
        <v>632</v>
      </c>
      <c r="J143" t="s">
        <v>1975</v>
      </c>
      <c r="K143" s="2" t="s">
        <v>2199</v>
      </c>
      <c r="L143"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43"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LED-T5C2FT830</v>
      </c>
    </row>
    <row r="144" spans="1:13" hidden="1" x14ac:dyDescent="0.25">
      <c r="A144" t="s">
        <v>125</v>
      </c>
      <c r="B144" s="79" t="s">
        <v>50</v>
      </c>
      <c r="C144" s="3" t="s">
        <v>123</v>
      </c>
      <c r="D144" s="3">
        <v>2</v>
      </c>
      <c r="E144">
        <v>1</v>
      </c>
      <c r="F144" cm="1">
        <f t="array" ref="F144">_xlfn.IFS(Lutron_CFlex_Lookup[[#This Row],[Kit Lamp Qty]]=1,24,Lutron_CFlex_Lookup[[#This Row],[Kit Lamp Qty]]=2,12,Lutron_CFlex_Lookup[[#This Row],[Kit Lamp Qty]]=3,8)</f>
        <v>24</v>
      </c>
      <c r="G144" s="81">
        <v>3500</v>
      </c>
      <c r="H144">
        <v>1544</v>
      </c>
      <c r="I144" s="3" t="s">
        <v>632</v>
      </c>
      <c r="J144" t="s">
        <v>2046</v>
      </c>
      <c r="L14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44"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LED-T5C2FT835</v>
      </c>
    </row>
    <row r="145" spans="1:13" hidden="1" x14ac:dyDescent="0.25">
      <c r="A145" t="s">
        <v>322</v>
      </c>
      <c r="B145" s="79" t="s">
        <v>1405</v>
      </c>
      <c r="C145" t="s">
        <v>123</v>
      </c>
      <c r="D145">
        <v>2</v>
      </c>
      <c r="E145">
        <v>1</v>
      </c>
      <c r="F145" cm="1">
        <f t="array" ref="F145">_xlfn.IFS(Lutron_CFlex_Lookup[[#This Row],[Kit Lamp Qty]]=1,24,Lutron_CFlex_Lookup[[#This Row],[Kit Lamp Qty]]=2,12,Lutron_CFlex_Lookup[[#This Row],[Kit Lamp Qty]]=3,8)</f>
        <v>24</v>
      </c>
      <c r="G145" s="81">
        <v>3500</v>
      </c>
      <c r="H145">
        <v>1544</v>
      </c>
      <c r="I145" t="s">
        <v>632</v>
      </c>
      <c r="J145" t="s">
        <v>1976</v>
      </c>
      <c r="K145" s="2" t="s">
        <v>2200</v>
      </c>
      <c r="L145"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45"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LED-T5C2FT835</v>
      </c>
    </row>
    <row r="146" spans="1:13" hidden="1" x14ac:dyDescent="0.25">
      <c r="A146" t="s">
        <v>126</v>
      </c>
      <c r="B146" s="79" t="s">
        <v>50</v>
      </c>
      <c r="C146" s="3" t="s">
        <v>123</v>
      </c>
      <c r="D146" s="3">
        <v>2</v>
      </c>
      <c r="E146">
        <v>1</v>
      </c>
      <c r="F146" cm="1">
        <f t="array" ref="F146">_xlfn.IFS(Lutron_CFlex_Lookup[[#This Row],[Kit Lamp Qty]]=1,24,Lutron_CFlex_Lookup[[#This Row],[Kit Lamp Qty]]=2,12,Lutron_CFlex_Lookup[[#This Row],[Kit Lamp Qty]]=3,8)</f>
        <v>24</v>
      </c>
      <c r="G146" s="81">
        <v>4000</v>
      </c>
      <c r="H146">
        <v>1544</v>
      </c>
      <c r="I146" s="3" t="s">
        <v>632</v>
      </c>
      <c r="J146" t="s">
        <v>2047</v>
      </c>
      <c r="L14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46"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LED-T5C2FT840</v>
      </c>
    </row>
    <row r="147" spans="1:13" hidden="1" x14ac:dyDescent="0.25">
      <c r="A147" t="s">
        <v>323</v>
      </c>
      <c r="B147" s="79" t="s">
        <v>1405</v>
      </c>
      <c r="C147" t="s">
        <v>123</v>
      </c>
      <c r="D147">
        <v>2</v>
      </c>
      <c r="E147">
        <v>1</v>
      </c>
      <c r="F147" cm="1">
        <f t="array" ref="F147">_xlfn.IFS(Lutron_CFlex_Lookup[[#This Row],[Kit Lamp Qty]]=1,24,Lutron_CFlex_Lookup[[#This Row],[Kit Lamp Qty]]=2,12,Lutron_CFlex_Lookup[[#This Row],[Kit Lamp Qty]]=3,8)</f>
        <v>24</v>
      </c>
      <c r="G147" s="81">
        <v>4000</v>
      </c>
      <c r="H147">
        <v>1544</v>
      </c>
      <c r="I147" t="s">
        <v>632</v>
      </c>
      <c r="J147" t="s">
        <v>1977</v>
      </c>
      <c r="K147" s="2" t="s">
        <v>2201</v>
      </c>
      <c r="L147"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47"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LED-T5C2FT840</v>
      </c>
    </row>
    <row r="148" spans="1:13" hidden="1" x14ac:dyDescent="0.25">
      <c r="A148" t="s">
        <v>1803</v>
      </c>
      <c r="B148" s="79" t="s">
        <v>50</v>
      </c>
      <c r="C148" s="3" t="s">
        <v>123</v>
      </c>
      <c r="D148" s="3">
        <v>2</v>
      </c>
      <c r="E148">
        <v>1</v>
      </c>
      <c r="F148" cm="1">
        <f t="array" ref="F148">_xlfn.IFS(Lutron_CFlex_Lookup[[#This Row],[Kit Lamp Qty]]=1,24,Lutron_CFlex_Lookup[[#This Row],[Kit Lamp Qty]]=2,12,Lutron_CFlex_Lookup[[#This Row],[Kit Lamp Qty]]=3,8)</f>
        <v>24</v>
      </c>
      <c r="G148" s="81">
        <v>5000</v>
      </c>
      <c r="H148">
        <v>1544</v>
      </c>
      <c r="I148" s="3" t="s">
        <v>632</v>
      </c>
      <c r="J148" t="s">
        <v>2048</v>
      </c>
      <c r="L14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48"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LED-T5C2FT850</v>
      </c>
    </row>
    <row r="149" spans="1:13" hidden="1" x14ac:dyDescent="0.25">
      <c r="A149" t="s">
        <v>1715</v>
      </c>
      <c r="B149" s="79" t="s">
        <v>1405</v>
      </c>
      <c r="C149" t="s">
        <v>123</v>
      </c>
      <c r="D149">
        <v>2</v>
      </c>
      <c r="E149">
        <v>1</v>
      </c>
      <c r="F149" cm="1">
        <f t="array" ref="F149">_xlfn.IFS(Lutron_CFlex_Lookup[[#This Row],[Kit Lamp Qty]]=1,24,Lutron_CFlex_Lookup[[#This Row],[Kit Lamp Qty]]=2,12,Lutron_CFlex_Lookup[[#This Row],[Kit Lamp Qty]]=3,8)</f>
        <v>24</v>
      </c>
      <c r="G149" s="81">
        <v>5000</v>
      </c>
      <c r="H149">
        <v>1544</v>
      </c>
      <c r="I149" t="s">
        <v>632</v>
      </c>
      <c r="J149" t="s">
        <v>1978</v>
      </c>
      <c r="K149" s="2" t="s">
        <v>2202</v>
      </c>
      <c r="L149"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49"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LED-T5C2FT850</v>
      </c>
    </row>
    <row r="150" spans="1:13" hidden="1" x14ac:dyDescent="0.25">
      <c r="A150" t="s">
        <v>128</v>
      </c>
      <c r="B150" s="79" t="s">
        <v>50</v>
      </c>
      <c r="C150" s="3" t="s">
        <v>123</v>
      </c>
      <c r="D150" s="3">
        <v>2</v>
      </c>
      <c r="E150">
        <v>2</v>
      </c>
      <c r="F150" cm="1">
        <f t="array" ref="F150">_xlfn.IFS(Lutron_CFlex_Lookup[[#This Row],[Kit Lamp Qty]]=1,24,Lutron_CFlex_Lookup[[#This Row],[Kit Lamp Qty]]=2,12,Lutron_CFlex_Lookup[[#This Row],[Kit Lamp Qty]]=3,8)</f>
        <v>12</v>
      </c>
      <c r="G150" s="81">
        <v>3000</v>
      </c>
      <c r="H150">
        <v>2252</v>
      </c>
      <c r="I150" s="3" t="s">
        <v>632</v>
      </c>
      <c r="J150" t="s">
        <v>1904</v>
      </c>
      <c r="L15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50"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LED-T5C2FT830</v>
      </c>
    </row>
    <row r="151" spans="1:13" hidden="1" x14ac:dyDescent="0.25">
      <c r="A151" t="s">
        <v>325</v>
      </c>
      <c r="B151" s="79" t="s">
        <v>1405</v>
      </c>
      <c r="C151" t="s">
        <v>123</v>
      </c>
      <c r="D151">
        <v>2</v>
      </c>
      <c r="E151">
        <v>2</v>
      </c>
      <c r="F151" cm="1">
        <f t="array" ref="F151">_xlfn.IFS(Lutron_CFlex_Lookup[[#This Row],[Kit Lamp Qty]]=1,24,Lutron_CFlex_Lookup[[#This Row],[Kit Lamp Qty]]=2,12,Lutron_CFlex_Lookup[[#This Row],[Kit Lamp Qty]]=3,8)</f>
        <v>12</v>
      </c>
      <c r="G151" s="81">
        <v>3000</v>
      </c>
      <c r="H151">
        <v>2252</v>
      </c>
      <c r="I151" t="s">
        <v>632</v>
      </c>
      <c r="J151" t="s">
        <v>1860</v>
      </c>
      <c r="K151" s="2" t="s">
        <v>2164</v>
      </c>
      <c r="L151"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51"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LED-T5C2FT830</v>
      </c>
    </row>
    <row r="152" spans="1:13" hidden="1" x14ac:dyDescent="0.25">
      <c r="A152" t="s">
        <v>129</v>
      </c>
      <c r="B152" s="79" t="s">
        <v>50</v>
      </c>
      <c r="C152" s="3" t="s">
        <v>123</v>
      </c>
      <c r="D152" s="3">
        <v>2</v>
      </c>
      <c r="E152">
        <v>2</v>
      </c>
      <c r="F152" cm="1">
        <f t="array" ref="F152">_xlfn.IFS(Lutron_CFlex_Lookup[[#This Row],[Kit Lamp Qty]]=1,24,Lutron_CFlex_Lookup[[#This Row],[Kit Lamp Qty]]=2,12,Lutron_CFlex_Lookup[[#This Row],[Kit Lamp Qty]]=3,8)</f>
        <v>12</v>
      </c>
      <c r="G152" s="81">
        <v>3500</v>
      </c>
      <c r="H152">
        <v>2252</v>
      </c>
      <c r="I152" s="3" t="s">
        <v>632</v>
      </c>
      <c r="J152" t="s">
        <v>1905</v>
      </c>
      <c r="L15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5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LED-T5C2FT835</v>
      </c>
    </row>
    <row r="153" spans="1:13" hidden="1" x14ac:dyDescent="0.25">
      <c r="A153" t="s">
        <v>326</v>
      </c>
      <c r="B153" s="79" t="s">
        <v>1405</v>
      </c>
      <c r="C153" t="s">
        <v>123</v>
      </c>
      <c r="D153">
        <v>2</v>
      </c>
      <c r="E153">
        <v>2</v>
      </c>
      <c r="F153" cm="1">
        <f t="array" ref="F153">_xlfn.IFS(Lutron_CFlex_Lookup[[#This Row],[Kit Lamp Qty]]=1,24,Lutron_CFlex_Lookup[[#This Row],[Kit Lamp Qty]]=2,12,Lutron_CFlex_Lookup[[#This Row],[Kit Lamp Qty]]=3,8)</f>
        <v>12</v>
      </c>
      <c r="G153" s="81">
        <v>3500</v>
      </c>
      <c r="H153">
        <v>2252</v>
      </c>
      <c r="I153" t="s">
        <v>632</v>
      </c>
      <c r="J153" t="s">
        <v>1861</v>
      </c>
      <c r="K153" s="2" t="s">
        <v>2165</v>
      </c>
      <c r="L153"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53"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LED-T5C2FT835</v>
      </c>
    </row>
    <row r="154" spans="1:13" hidden="1" x14ac:dyDescent="0.25">
      <c r="A154" t="s">
        <v>130</v>
      </c>
      <c r="B154" s="79" t="s">
        <v>50</v>
      </c>
      <c r="C154" s="3" t="s">
        <v>123</v>
      </c>
      <c r="D154" s="3">
        <v>2</v>
      </c>
      <c r="E154">
        <v>2</v>
      </c>
      <c r="F154" cm="1">
        <f t="array" ref="F154">_xlfn.IFS(Lutron_CFlex_Lookup[[#This Row],[Kit Lamp Qty]]=1,24,Lutron_CFlex_Lookup[[#This Row],[Kit Lamp Qty]]=2,12,Lutron_CFlex_Lookup[[#This Row],[Kit Lamp Qty]]=3,8)</f>
        <v>12</v>
      </c>
      <c r="G154" s="81">
        <v>4000</v>
      </c>
      <c r="H154">
        <v>2252</v>
      </c>
      <c r="I154" s="3" t="s">
        <v>632</v>
      </c>
      <c r="J154" t="s">
        <v>1906</v>
      </c>
      <c r="L15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54"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LED-T5C2FT840</v>
      </c>
    </row>
    <row r="155" spans="1:13" hidden="1" x14ac:dyDescent="0.25">
      <c r="A155" t="s">
        <v>327</v>
      </c>
      <c r="B155" s="79" t="s">
        <v>1405</v>
      </c>
      <c r="C155" t="s">
        <v>123</v>
      </c>
      <c r="D155">
        <v>2</v>
      </c>
      <c r="E155">
        <v>2</v>
      </c>
      <c r="F155" cm="1">
        <f t="array" ref="F155">_xlfn.IFS(Lutron_CFlex_Lookup[[#This Row],[Kit Lamp Qty]]=1,24,Lutron_CFlex_Lookup[[#This Row],[Kit Lamp Qty]]=2,12,Lutron_CFlex_Lookup[[#This Row],[Kit Lamp Qty]]=3,8)</f>
        <v>12</v>
      </c>
      <c r="G155" s="81">
        <v>4000</v>
      </c>
      <c r="H155">
        <v>2252</v>
      </c>
      <c r="I155" t="s">
        <v>632</v>
      </c>
      <c r="J155" t="s">
        <v>1862</v>
      </c>
      <c r="K155" s="2" t="s">
        <v>2166</v>
      </c>
      <c r="L155"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55"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LED-T5C2FT840</v>
      </c>
    </row>
    <row r="156" spans="1:13" hidden="1" x14ac:dyDescent="0.25">
      <c r="A156" t="s">
        <v>1804</v>
      </c>
      <c r="B156" s="79" t="s">
        <v>50</v>
      </c>
      <c r="C156" s="3" t="s">
        <v>123</v>
      </c>
      <c r="D156" s="3">
        <v>2</v>
      </c>
      <c r="E156">
        <v>2</v>
      </c>
      <c r="F156" cm="1">
        <f t="array" ref="F156">_xlfn.IFS(Lutron_CFlex_Lookup[[#This Row],[Kit Lamp Qty]]=1,24,Lutron_CFlex_Lookup[[#This Row],[Kit Lamp Qty]]=2,12,Lutron_CFlex_Lookup[[#This Row],[Kit Lamp Qty]]=3,8)</f>
        <v>12</v>
      </c>
      <c r="G156" s="81">
        <v>5000</v>
      </c>
      <c r="H156">
        <v>2252</v>
      </c>
      <c r="I156" s="3" t="s">
        <v>632</v>
      </c>
      <c r="J156" t="s">
        <v>1907</v>
      </c>
      <c r="L15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56"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LED-T5C2FT850</v>
      </c>
    </row>
    <row r="157" spans="1:13" hidden="1" x14ac:dyDescent="0.25">
      <c r="A157" t="s">
        <v>1716</v>
      </c>
      <c r="B157" s="79" t="s">
        <v>1405</v>
      </c>
      <c r="C157" t="s">
        <v>123</v>
      </c>
      <c r="D157">
        <v>2</v>
      </c>
      <c r="E157">
        <v>2</v>
      </c>
      <c r="F157" cm="1">
        <f t="array" ref="F157">_xlfn.IFS(Lutron_CFlex_Lookup[[#This Row],[Kit Lamp Qty]]=1,24,Lutron_CFlex_Lookup[[#This Row],[Kit Lamp Qty]]=2,12,Lutron_CFlex_Lookup[[#This Row],[Kit Lamp Qty]]=3,8)</f>
        <v>12</v>
      </c>
      <c r="G157" s="81">
        <v>5000</v>
      </c>
      <c r="H157">
        <v>2252</v>
      </c>
      <c r="I157" t="s">
        <v>632</v>
      </c>
      <c r="J157" t="s">
        <v>1863</v>
      </c>
      <c r="K157" s="2" t="s">
        <v>2167</v>
      </c>
      <c r="L157"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57"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LED-T5C2FT850</v>
      </c>
    </row>
    <row r="158" spans="1:13" hidden="1" x14ac:dyDescent="0.25">
      <c r="A158" t="s">
        <v>134</v>
      </c>
      <c r="B158" s="79" t="s">
        <v>50</v>
      </c>
      <c r="C158" s="3" t="s">
        <v>123</v>
      </c>
      <c r="D158" s="3">
        <v>3</v>
      </c>
      <c r="E158">
        <v>1</v>
      </c>
      <c r="F158" cm="1">
        <f t="array" ref="F158">_xlfn.IFS(Lutron_CFlex_Lookup[[#This Row],[Kit Lamp Qty]]=1,24,Lutron_CFlex_Lookup[[#This Row],[Kit Lamp Qty]]=2,12,Lutron_CFlex_Lookup[[#This Row],[Kit Lamp Qty]]=3,8)</f>
        <v>24</v>
      </c>
      <c r="G158" s="81">
        <v>3000</v>
      </c>
      <c r="I158" s="3" t="s">
        <v>632</v>
      </c>
      <c r="J158" t="s">
        <v>2049</v>
      </c>
      <c r="L15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58"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LED-T5C3FT830</v>
      </c>
    </row>
    <row r="159" spans="1:13" hidden="1" x14ac:dyDescent="0.25">
      <c r="A159" t="s">
        <v>337</v>
      </c>
      <c r="B159" s="79" t="s">
        <v>1405</v>
      </c>
      <c r="C159" t="s">
        <v>123</v>
      </c>
      <c r="D159">
        <v>3</v>
      </c>
      <c r="E159">
        <v>1</v>
      </c>
      <c r="F159" cm="1">
        <f t="array" ref="F159">_xlfn.IFS(Lutron_CFlex_Lookup[[#This Row],[Kit Lamp Qty]]=1,24,Lutron_CFlex_Lookup[[#This Row],[Kit Lamp Qty]]=2,12,Lutron_CFlex_Lookup[[#This Row],[Kit Lamp Qty]]=3,8)</f>
        <v>24</v>
      </c>
      <c r="G159" s="81">
        <v>3000</v>
      </c>
      <c r="I159" t="s">
        <v>632</v>
      </c>
      <c r="J159" t="s">
        <v>1979</v>
      </c>
      <c r="K159" s="2" t="s">
        <v>2203</v>
      </c>
      <c r="L159"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59"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LED-T5C3FT830</v>
      </c>
    </row>
    <row r="160" spans="1:13" hidden="1" x14ac:dyDescent="0.25">
      <c r="A160" t="s">
        <v>135</v>
      </c>
      <c r="B160" s="79" t="s">
        <v>50</v>
      </c>
      <c r="C160" s="3" t="s">
        <v>123</v>
      </c>
      <c r="D160" s="3">
        <v>3</v>
      </c>
      <c r="E160">
        <v>1</v>
      </c>
      <c r="F160" cm="1">
        <f t="array" ref="F160">_xlfn.IFS(Lutron_CFlex_Lookup[[#This Row],[Kit Lamp Qty]]=1,24,Lutron_CFlex_Lookup[[#This Row],[Kit Lamp Qty]]=2,12,Lutron_CFlex_Lookup[[#This Row],[Kit Lamp Qty]]=3,8)</f>
        <v>24</v>
      </c>
      <c r="G160" s="81">
        <v>3500</v>
      </c>
      <c r="I160" s="3" t="s">
        <v>632</v>
      </c>
      <c r="J160" t="s">
        <v>2050</v>
      </c>
      <c r="L16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60"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LED-T5C3FT835</v>
      </c>
    </row>
    <row r="161" spans="1:13" hidden="1" x14ac:dyDescent="0.25">
      <c r="A161" t="s">
        <v>338</v>
      </c>
      <c r="B161" s="79" t="s">
        <v>1405</v>
      </c>
      <c r="C161" t="s">
        <v>123</v>
      </c>
      <c r="D161">
        <v>3</v>
      </c>
      <c r="E161">
        <v>1</v>
      </c>
      <c r="F161" cm="1">
        <f t="array" ref="F161">_xlfn.IFS(Lutron_CFlex_Lookup[[#This Row],[Kit Lamp Qty]]=1,24,Lutron_CFlex_Lookup[[#This Row],[Kit Lamp Qty]]=2,12,Lutron_CFlex_Lookup[[#This Row],[Kit Lamp Qty]]=3,8)</f>
        <v>24</v>
      </c>
      <c r="G161" s="81">
        <v>3500</v>
      </c>
      <c r="I161" t="s">
        <v>632</v>
      </c>
      <c r="J161" t="s">
        <v>1980</v>
      </c>
      <c r="K161" s="2" t="s">
        <v>2204</v>
      </c>
      <c r="L161"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61"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LED-T5C3FT835</v>
      </c>
    </row>
    <row r="162" spans="1:13" hidden="1" x14ac:dyDescent="0.25">
      <c r="A162" t="s">
        <v>136</v>
      </c>
      <c r="B162" s="79" t="s">
        <v>50</v>
      </c>
      <c r="C162" s="3" t="s">
        <v>123</v>
      </c>
      <c r="D162" s="3">
        <v>3</v>
      </c>
      <c r="E162">
        <v>1</v>
      </c>
      <c r="F162" cm="1">
        <f t="array" ref="F162">_xlfn.IFS(Lutron_CFlex_Lookup[[#This Row],[Kit Lamp Qty]]=1,24,Lutron_CFlex_Lookup[[#This Row],[Kit Lamp Qty]]=2,12,Lutron_CFlex_Lookup[[#This Row],[Kit Lamp Qty]]=3,8)</f>
        <v>24</v>
      </c>
      <c r="G162" s="81">
        <v>4000</v>
      </c>
      <c r="I162" s="3" t="s">
        <v>632</v>
      </c>
      <c r="J162" t="s">
        <v>2051</v>
      </c>
      <c r="L16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6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LED-T5C3FT840</v>
      </c>
    </row>
    <row r="163" spans="1:13" hidden="1" x14ac:dyDescent="0.25">
      <c r="A163" t="s">
        <v>339</v>
      </c>
      <c r="B163" s="79" t="s">
        <v>1405</v>
      </c>
      <c r="C163" t="s">
        <v>123</v>
      </c>
      <c r="D163">
        <v>3</v>
      </c>
      <c r="E163">
        <v>1</v>
      </c>
      <c r="F163" cm="1">
        <f t="array" ref="F163">_xlfn.IFS(Lutron_CFlex_Lookup[[#This Row],[Kit Lamp Qty]]=1,24,Lutron_CFlex_Lookup[[#This Row],[Kit Lamp Qty]]=2,12,Lutron_CFlex_Lookup[[#This Row],[Kit Lamp Qty]]=3,8)</f>
        <v>24</v>
      </c>
      <c r="G163" s="81">
        <v>4000</v>
      </c>
      <c r="I163" t="s">
        <v>632</v>
      </c>
      <c r="J163" t="s">
        <v>1981</v>
      </c>
      <c r="K163" s="2" t="s">
        <v>2205</v>
      </c>
      <c r="L163"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63"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LED-T5C3FT840</v>
      </c>
    </row>
    <row r="164" spans="1:13" hidden="1" x14ac:dyDescent="0.25">
      <c r="A164" t="s">
        <v>1805</v>
      </c>
      <c r="B164" s="79" t="s">
        <v>50</v>
      </c>
      <c r="C164" s="3" t="s">
        <v>123</v>
      </c>
      <c r="D164" s="3">
        <v>3</v>
      </c>
      <c r="E164">
        <v>1</v>
      </c>
      <c r="F164" cm="1">
        <f t="array" ref="F164">_xlfn.IFS(Lutron_CFlex_Lookup[[#This Row],[Kit Lamp Qty]]=1,24,Lutron_CFlex_Lookup[[#This Row],[Kit Lamp Qty]]=2,12,Lutron_CFlex_Lookup[[#This Row],[Kit Lamp Qty]]=3,8)</f>
        <v>24</v>
      </c>
      <c r="G164" s="81">
        <v>5000</v>
      </c>
      <c r="I164" s="3" t="s">
        <v>632</v>
      </c>
      <c r="J164" t="s">
        <v>2052</v>
      </c>
      <c r="L16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64"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LED-T5C3FT850</v>
      </c>
    </row>
    <row r="165" spans="1:13" hidden="1" x14ac:dyDescent="0.25">
      <c r="A165" t="s">
        <v>1717</v>
      </c>
      <c r="B165" s="79" t="s">
        <v>1405</v>
      </c>
      <c r="C165" t="s">
        <v>123</v>
      </c>
      <c r="D165">
        <v>3</v>
      </c>
      <c r="E165">
        <v>1</v>
      </c>
      <c r="F165" cm="1">
        <f t="array" ref="F165">_xlfn.IFS(Lutron_CFlex_Lookup[[#This Row],[Kit Lamp Qty]]=1,24,Lutron_CFlex_Lookup[[#This Row],[Kit Lamp Qty]]=2,12,Lutron_CFlex_Lookup[[#This Row],[Kit Lamp Qty]]=3,8)</f>
        <v>24</v>
      </c>
      <c r="G165" s="81">
        <v>5000</v>
      </c>
      <c r="I165" t="s">
        <v>632</v>
      </c>
      <c r="J165" t="s">
        <v>1982</v>
      </c>
      <c r="K165" s="2" t="s">
        <v>2206</v>
      </c>
      <c r="L165"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65"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LED-T5C3FT850</v>
      </c>
    </row>
    <row r="166" spans="1:13" hidden="1" x14ac:dyDescent="0.25">
      <c r="A166" t="s">
        <v>138</v>
      </c>
      <c r="B166" s="79" t="s">
        <v>50</v>
      </c>
      <c r="C166" s="3" t="s">
        <v>123</v>
      </c>
      <c r="D166" s="3">
        <v>3</v>
      </c>
      <c r="E166">
        <v>2</v>
      </c>
      <c r="F166" cm="1">
        <f t="array" ref="F166">_xlfn.IFS(Lutron_CFlex_Lookup[[#This Row],[Kit Lamp Qty]]=1,24,Lutron_CFlex_Lookup[[#This Row],[Kit Lamp Qty]]=2,12,Lutron_CFlex_Lookup[[#This Row],[Kit Lamp Qty]]=3,8)</f>
        <v>12</v>
      </c>
      <c r="G166" s="81">
        <v>3000</v>
      </c>
      <c r="I166" s="3" t="s">
        <v>632</v>
      </c>
      <c r="J166" t="s">
        <v>1908</v>
      </c>
      <c r="L16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66"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LED-T5C3FT830</v>
      </c>
    </row>
    <row r="167" spans="1:13" hidden="1" x14ac:dyDescent="0.25">
      <c r="A167" t="s">
        <v>341</v>
      </c>
      <c r="B167" s="79" t="s">
        <v>1405</v>
      </c>
      <c r="C167" t="s">
        <v>123</v>
      </c>
      <c r="D167">
        <v>3</v>
      </c>
      <c r="E167">
        <v>2</v>
      </c>
      <c r="F167" cm="1">
        <f t="array" ref="F167">_xlfn.IFS(Lutron_CFlex_Lookup[[#This Row],[Kit Lamp Qty]]=1,24,Lutron_CFlex_Lookup[[#This Row],[Kit Lamp Qty]]=2,12,Lutron_CFlex_Lookup[[#This Row],[Kit Lamp Qty]]=3,8)</f>
        <v>12</v>
      </c>
      <c r="G167" s="81">
        <v>3000</v>
      </c>
      <c r="I167" t="s">
        <v>632</v>
      </c>
      <c r="J167" t="s">
        <v>1864</v>
      </c>
      <c r="K167" s="2" t="s">
        <v>2168</v>
      </c>
      <c r="L167"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67"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LED-T5C3FT830</v>
      </c>
    </row>
    <row r="168" spans="1:13" hidden="1" x14ac:dyDescent="0.25">
      <c r="A168" t="s">
        <v>139</v>
      </c>
      <c r="B168" s="79" t="s">
        <v>50</v>
      </c>
      <c r="C168" s="3" t="s">
        <v>123</v>
      </c>
      <c r="D168" s="3">
        <v>3</v>
      </c>
      <c r="E168">
        <v>2</v>
      </c>
      <c r="F168" cm="1">
        <f t="array" ref="F168">_xlfn.IFS(Lutron_CFlex_Lookup[[#This Row],[Kit Lamp Qty]]=1,24,Lutron_CFlex_Lookup[[#This Row],[Kit Lamp Qty]]=2,12,Lutron_CFlex_Lookup[[#This Row],[Kit Lamp Qty]]=3,8)</f>
        <v>12</v>
      </c>
      <c r="G168" s="81">
        <v>3500</v>
      </c>
      <c r="I168" s="3" t="s">
        <v>632</v>
      </c>
      <c r="J168" t="s">
        <v>1909</v>
      </c>
      <c r="L16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68"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LED-T5C3FT835</v>
      </c>
    </row>
    <row r="169" spans="1:13" hidden="1" x14ac:dyDescent="0.25">
      <c r="A169" t="s">
        <v>342</v>
      </c>
      <c r="B169" s="79" t="s">
        <v>1405</v>
      </c>
      <c r="C169" t="s">
        <v>123</v>
      </c>
      <c r="D169">
        <v>3</v>
      </c>
      <c r="E169">
        <v>2</v>
      </c>
      <c r="F169" cm="1">
        <f t="array" ref="F169">_xlfn.IFS(Lutron_CFlex_Lookup[[#This Row],[Kit Lamp Qty]]=1,24,Lutron_CFlex_Lookup[[#This Row],[Kit Lamp Qty]]=2,12,Lutron_CFlex_Lookup[[#This Row],[Kit Lamp Qty]]=3,8)</f>
        <v>12</v>
      </c>
      <c r="G169" s="81">
        <v>3500</v>
      </c>
      <c r="I169" t="s">
        <v>632</v>
      </c>
      <c r="J169" t="s">
        <v>1865</v>
      </c>
      <c r="K169" s="2" t="s">
        <v>2169</v>
      </c>
      <c r="L169"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69"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LED-T5C3FT835</v>
      </c>
    </row>
    <row r="170" spans="1:13" hidden="1" x14ac:dyDescent="0.25">
      <c r="A170" t="s">
        <v>140</v>
      </c>
      <c r="B170" s="79" t="s">
        <v>50</v>
      </c>
      <c r="C170" s="3" t="s">
        <v>123</v>
      </c>
      <c r="D170" s="3">
        <v>3</v>
      </c>
      <c r="E170">
        <v>2</v>
      </c>
      <c r="F170" cm="1">
        <f t="array" ref="F170">_xlfn.IFS(Lutron_CFlex_Lookup[[#This Row],[Kit Lamp Qty]]=1,24,Lutron_CFlex_Lookup[[#This Row],[Kit Lamp Qty]]=2,12,Lutron_CFlex_Lookup[[#This Row],[Kit Lamp Qty]]=3,8)</f>
        <v>12</v>
      </c>
      <c r="G170" s="81">
        <v>4000</v>
      </c>
      <c r="I170" s="3" t="s">
        <v>632</v>
      </c>
      <c r="J170" t="s">
        <v>1910</v>
      </c>
      <c r="L17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70"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LED-T5C3FT840</v>
      </c>
    </row>
    <row r="171" spans="1:13" hidden="1" x14ac:dyDescent="0.25">
      <c r="A171" t="s">
        <v>343</v>
      </c>
      <c r="B171" s="79" t="s">
        <v>1405</v>
      </c>
      <c r="C171" t="s">
        <v>123</v>
      </c>
      <c r="D171">
        <v>3</v>
      </c>
      <c r="E171">
        <v>2</v>
      </c>
      <c r="F171" cm="1">
        <f t="array" ref="F171">_xlfn.IFS(Lutron_CFlex_Lookup[[#This Row],[Kit Lamp Qty]]=1,24,Lutron_CFlex_Lookup[[#This Row],[Kit Lamp Qty]]=2,12,Lutron_CFlex_Lookup[[#This Row],[Kit Lamp Qty]]=3,8)</f>
        <v>12</v>
      </c>
      <c r="G171" s="81">
        <v>4000</v>
      </c>
      <c r="I171" t="s">
        <v>632</v>
      </c>
      <c r="J171" t="s">
        <v>1866</v>
      </c>
      <c r="K171" s="2" t="s">
        <v>2170</v>
      </c>
      <c r="L171"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71"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LED-T5C3FT840</v>
      </c>
    </row>
    <row r="172" spans="1:13" hidden="1" x14ac:dyDescent="0.25">
      <c r="A172" t="s">
        <v>1806</v>
      </c>
      <c r="B172" s="79" t="s">
        <v>50</v>
      </c>
      <c r="C172" s="3" t="s">
        <v>123</v>
      </c>
      <c r="D172" s="3">
        <v>3</v>
      </c>
      <c r="E172">
        <v>2</v>
      </c>
      <c r="F172" cm="1">
        <f t="array" ref="F172">_xlfn.IFS(Lutron_CFlex_Lookup[[#This Row],[Kit Lamp Qty]]=1,24,Lutron_CFlex_Lookup[[#This Row],[Kit Lamp Qty]]=2,12,Lutron_CFlex_Lookup[[#This Row],[Kit Lamp Qty]]=3,8)</f>
        <v>12</v>
      </c>
      <c r="G172" s="81">
        <v>5000</v>
      </c>
      <c r="I172" s="3" t="s">
        <v>632</v>
      </c>
      <c r="J172" t="s">
        <v>1911</v>
      </c>
      <c r="L17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7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LED-T5C3FT850</v>
      </c>
    </row>
    <row r="173" spans="1:13" hidden="1" x14ac:dyDescent="0.25">
      <c r="A173" t="s">
        <v>1718</v>
      </c>
      <c r="B173" s="79" t="s">
        <v>1405</v>
      </c>
      <c r="C173" t="s">
        <v>123</v>
      </c>
      <c r="D173">
        <v>3</v>
      </c>
      <c r="E173">
        <v>2</v>
      </c>
      <c r="F173" cm="1">
        <f t="array" ref="F173">_xlfn.IFS(Lutron_CFlex_Lookup[[#This Row],[Kit Lamp Qty]]=1,24,Lutron_CFlex_Lookup[[#This Row],[Kit Lamp Qty]]=2,12,Lutron_CFlex_Lookup[[#This Row],[Kit Lamp Qty]]=3,8)</f>
        <v>12</v>
      </c>
      <c r="G173" s="81">
        <v>5000</v>
      </c>
      <c r="I173" t="s">
        <v>632</v>
      </c>
      <c r="J173" t="s">
        <v>1867</v>
      </c>
      <c r="K173" s="2" t="s">
        <v>2171</v>
      </c>
      <c r="L173"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73"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LED-T5C3FT850</v>
      </c>
    </row>
    <row r="174" spans="1:13" hidden="1" x14ac:dyDescent="0.25">
      <c r="A174" t="s">
        <v>286</v>
      </c>
      <c r="B174" s="86" t="s">
        <v>50</v>
      </c>
      <c r="C174" t="s">
        <v>123</v>
      </c>
      <c r="D174" t="s">
        <v>1406</v>
      </c>
      <c r="E174">
        <v>1</v>
      </c>
      <c r="F174" cm="1">
        <f t="array" ref="F174">_xlfn.IFS(Lutron_CFlex_Lookup[[#This Row],[Kit Lamp Qty]]=1,24,Lutron_CFlex_Lookup[[#This Row],[Kit Lamp Qty]]=2,12,Lutron_CFlex_Lookup[[#This Row],[Kit Lamp Qty]]=3,8)</f>
        <v>24</v>
      </c>
      <c r="G174" s="81">
        <v>3000</v>
      </c>
      <c r="H174">
        <v>2252</v>
      </c>
      <c r="I174" t="s">
        <v>632</v>
      </c>
      <c r="J174" t="s">
        <v>1647</v>
      </c>
      <c r="L17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74"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LED-T5C4FT830</v>
      </c>
    </row>
    <row r="175" spans="1:13" hidden="1" x14ac:dyDescent="0.25">
      <c r="A175" t="s">
        <v>283</v>
      </c>
      <c r="B175" s="86" t="s">
        <v>1405</v>
      </c>
      <c r="C175" t="s">
        <v>123</v>
      </c>
      <c r="D175" t="s">
        <v>1406</v>
      </c>
      <c r="E175">
        <v>1</v>
      </c>
      <c r="F175" cm="1">
        <f t="array" ref="F175">_xlfn.IFS(Lutron_CFlex_Lookup[[#This Row],[Kit Lamp Qty]]=1,24,Lutron_CFlex_Lookup[[#This Row],[Kit Lamp Qty]]=2,12,Lutron_CFlex_Lookup[[#This Row],[Kit Lamp Qty]]=3,8)</f>
        <v>24</v>
      </c>
      <c r="G175" s="81">
        <v>3000</v>
      </c>
      <c r="H175">
        <v>2252</v>
      </c>
      <c r="I175" t="s">
        <v>632</v>
      </c>
      <c r="J175" t="s">
        <v>1632</v>
      </c>
      <c r="K175" t="s">
        <v>2232</v>
      </c>
      <c r="L175"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75"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LED-T5C4FT830</v>
      </c>
    </row>
    <row r="176" spans="1:13" hidden="1" x14ac:dyDescent="0.25">
      <c r="A176" t="s">
        <v>287</v>
      </c>
      <c r="B176" s="86" t="s">
        <v>50</v>
      </c>
      <c r="C176" t="s">
        <v>123</v>
      </c>
      <c r="D176" t="s">
        <v>1406</v>
      </c>
      <c r="E176">
        <v>1</v>
      </c>
      <c r="F176" cm="1">
        <f t="array" ref="F176">_xlfn.IFS(Lutron_CFlex_Lookup[[#This Row],[Kit Lamp Qty]]=1,24,Lutron_CFlex_Lookup[[#This Row],[Kit Lamp Qty]]=2,12,Lutron_CFlex_Lookup[[#This Row],[Kit Lamp Qty]]=3,8)</f>
        <v>24</v>
      </c>
      <c r="G176" s="81">
        <v>3500</v>
      </c>
      <c r="H176">
        <v>2252</v>
      </c>
      <c r="I176" t="s">
        <v>632</v>
      </c>
      <c r="J176" t="s">
        <v>1648</v>
      </c>
      <c r="L17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76"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LED-T5C4FT835</v>
      </c>
    </row>
    <row r="177" spans="1:13" hidden="1" x14ac:dyDescent="0.25">
      <c r="A177" t="s">
        <v>284</v>
      </c>
      <c r="B177" s="86" t="s">
        <v>1405</v>
      </c>
      <c r="C177" t="s">
        <v>123</v>
      </c>
      <c r="D177" t="s">
        <v>1406</v>
      </c>
      <c r="E177">
        <v>1</v>
      </c>
      <c r="F177" cm="1">
        <f t="array" ref="F177">_xlfn.IFS(Lutron_CFlex_Lookup[[#This Row],[Kit Lamp Qty]]=1,24,Lutron_CFlex_Lookup[[#This Row],[Kit Lamp Qty]]=2,12,Lutron_CFlex_Lookup[[#This Row],[Kit Lamp Qty]]=3,8)</f>
        <v>24</v>
      </c>
      <c r="G177" s="81">
        <v>3500</v>
      </c>
      <c r="H177">
        <v>2252</v>
      </c>
      <c r="I177" t="s">
        <v>632</v>
      </c>
      <c r="J177" t="s">
        <v>1633</v>
      </c>
      <c r="K177" t="s">
        <v>2233</v>
      </c>
      <c r="L177"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77"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LED-T5C4FT835</v>
      </c>
    </row>
    <row r="178" spans="1:13" hidden="1" x14ac:dyDescent="0.25">
      <c r="A178" t="s">
        <v>288</v>
      </c>
      <c r="B178" s="86" t="s">
        <v>50</v>
      </c>
      <c r="C178" t="s">
        <v>123</v>
      </c>
      <c r="D178" t="s">
        <v>1406</v>
      </c>
      <c r="E178">
        <v>1</v>
      </c>
      <c r="F178" cm="1">
        <f t="array" ref="F178">_xlfn.IFS(Lutron_CFlex_Lookup[[#This Row],[Kit Lamp Qty]]=1,24,Lutron_CFlex_Lookup[[#This Row],[Kit Lamp Qty]]=2,12,Lutron_CFlex_Lookup[[#This Row],[Kit Lamp Qty]]=3,8)</f>
        <v>24</v>
      </c>
      <c r="G178" s="81">
        <v>4000</v>
      </c>
      <c r="H178">
        <v>2252</v>
      </c>
      <c r="I178" t="s">
        <v>632</v>
      </c>
      <c r="J178" t="s">
        <v>1649</v>
      </c>
      <c r="L17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78"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LED-T5C4FT840</v>
      </c>
    </row>
    <row r="179" spans="1:13" hidden="1" x14ac:dyDescent="0.25">
      <c r="A179" t="s">
        <v>285</v>
      </c>
      <c r="B179" s="86" t="s">
        <v>1405</v>
      </c>
      <c r="C179" t="s">
        <v>123</v>
      </c>
      <c r="D179" t="s">
        <v>1406</v>
      </c>
      <c r="E179">
        <v>1</v>
      </c>
      <c r="F179" cm="1">
        <f t="array" ref="F179">_xlfn.IFS(Lutron_CFlex_Lookup[[#This Row],[Kit Lamp Qty]]=1,24,Lutron_CFlex_Lookup[[#This Row],[Kit Lamp Qty]]=2,12,Lutron_CFlex_Lookup[[#This Row],[Kit Lamp Qty]]=3,8)</f>
        <v>24</v>
      </c>
      <c r="G179" s="81">
        <v>4000</v>
      </c>
      <c r="H179">
        <v>2252</v>
      </c>
      <c r="I179" t="s">
        <v>632</v>
      </c>
      <c r="J179" t="s">
        <v>1634</v>
      </c>
      <c r="K179" t="s">
        <v>2234</v>
      </c>
      <c r="L179"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79"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LED-T5C4FT840</v>
      </c>
    </row>
    <row r="180" spans="1:13" hidden="1" x14ac:dyDescent="0.25">
      <c r="A180" t="s">
        <v>1807</v>
      </c>
      <c r="B180" s="79" t="s">
        <v>50</v>
      </c>
      <c r="C180" s="3" t="s">
        <v>123</v>
      </c>
      <c r="D180" s="3">
        <v>4</v>
      </c>
      <c r="E180">
        <v>1</v>
      </c>
      <c r="F180" cm="1">
        <f t="array" ref="F180">_xlfn.IFS(Lutron_CFlex_Lookup[[#This Row],[Kit Lamp Qty]]=1,24,Lutron_CFlex_Lookup[[#This Row],[Kit Lamp Qty]]=2,12,Lutron_CFlex_Lookup[[#This Row],[Kit Lamp Qty]]=3,8)</f>
        <v>24</v>
      </c>
      <c r="G180" s="81">
        <v>5000</v>
      </c>
      <c r="H180">
        <v>2252</v>
      </c>
      <c r="I180" s="3" t="s">
        <v>632</v>
      </c>
      <c r="J180" t="s">
        <v>2053</v>
      </c>
      <c r="L18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80"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LED-T5C4FT850</v>
      </c>
    </row>
    <row r="181" spans="1:13" hidden="1" x14ac:dyDescent="0.25">
      <c r="A181" t="s">
        <v>1719</v>
      </c>
      <c r="B181" s="79" t="s">
        <v>1405</v>
      </c>
      <c r="C181" t="s">
        <v>123</v>
      </c>
      <c r="D181">
        <v>4</v>
      </c>
      <c r="E181">
        <v>1</v>
      </c>
      <c r="F181" cm="1">
        <f t="array" ref="F181">_xlfn.IFS(Lutron_CFlex_Lookup[[#This Row],[Kit Lamp Qty]]=1,24,Lutron_CFlex_Lookup[[#This Row],[Kit Lamp Qty]]=2,12,Lutron_CFlex_Lookup[[#This Row],[Kit Lamp Qty]]=3,8)</f>
        <v>24</v>
      </c>
      <c r="G181" s="81">
        <v>5000</v>
      </c>
      <c r="H181">
        <v>2252</v>
      </c>
      <c r="I181" t="s">
        <v>632</v>
      </c>
      <c r="J181" t="s">
        <v>1983</v>
      </c>
      <c r="K181" s="2" t="s">
        <v>2207</v>
      </c>
      <c r="L181"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81"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LED-T5C4FT850</v>
      </c>
    </row>
    <row r="182" spans="1:13" hidden="1" x14ac:dyDescent="0.25">
      <c r="A182" t="s">
        <v>293</v>
      </c>
      <c r="B182" s="86" t="s">
        <v>50</v>
      </c>
      <c r="C182" t="s">
        <v>123</v>
      </c>
      <c r="D182" t="s">
        <v>1406</v>
      </c>
      <c r="E182">
        <v>2</v>
      </c>
      <c r="F182" cm="1">
        <f t="array" ref="F182">_xlfn.IFS(Lutron_CFlex_Lookup[[#This Row],[Kit Lamp Qty]]=1,24,Lutron_CFlex_Lookup[[#This Row],[Kit Lamp Qty]]=2,12,Lutron_CFlex_Lookup[[#This Row],[Kit Lamp Qty]]=3,8)</f>
        <v>12</v>
      </c>
      <c r="G182" s="81">
        <v>3000</v>
      </c>
      <c r="H182">
        <v>4505</v>
      </c>
      <c r="I182" t="s">
        <v>632</v>
      </c>
      <c r="J182" t="s">
        <v>1620</v>
      </c>
      <c r="L18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82"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LED-T5C4FT830</v>
      </c>
    </row>
    <row r="183" spans="1:13" hidden="1" x14ac:dyDescent="0.25">
      <c r="A183" t="s">
        <v>290</v>
      </c>
      <c r="B183" s="86" t="s">
        <v>1405</v>
      </c>
      <c r="C183" t="s">
        <v>123</v>
      </c>
      <c r="D183" t="s">
        <v>1406</v>
      </c>
      <c r="E183">
        <v>2</v>
      </c>
      <c r="F183" cm="1">
        <f t="array" ref="F183">_xlfn.IFS(Lutron_CFlex_Lookup[[#This Row],[Kit Lamp Qty]]=1,24,Lutron_CFlex_Lookup[[#This Row],[Kit Lamp Qty]]=2,12,Lutron_CFlex_Lookup[[#This Row],[Kit Lamp Qty]]=3,8)</f>
        <v>12</v>
      </c>
      <c r="G183" s="81">
        <v>3000</v>
      </c>
      <c r="H183">
        <v>4505</v>
      </c>
      <c r="I183" t="s">
        <v>632</v>
      </c>
      <c r="J183" t="s">
        <v>1608</v>
      </c>
      <c r="K183" t="s">
        <v>2134</v>
      </c>
      <c r="L183"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83"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LED-T5C4FT830</v>
      </c>
    </row>
    <row r="184" spans="1:13" hidden="1" x14ac:dyDescent="0.25">
      <c r="A184" t="s">
        <v>294</v>
      </c>
      <c r="B184" s="86" t="s">
        <v>50</v>
      </c>
      <c r="C184" t="s">
        <v>123</v>
      </c>
      <c r="D184" t="s">
        <v>1406</v>
      </c>
      <c r="E184">
        <v>2</v>
      </c>
      <c r="F184" cm="1">
        <f t="array" ref="F184">_xlfn.IFS(Lutron_CFlex_Lookup[[#This Row],[Kit Lamp Qty]]=1,24,Lutron_CFlex_Lookup[[#This Row],[Kit Lamp Qty]]=2,12,Lutron_CFlex_Lookup[[#This Row],[Kit Lamp Qty]]=3,8)</f>
        <v>12</v>
      </c>
      <c r="G184" s="81">
        <v>3500</v>
      </c>
      <c r="H184">
        <v>4505</v>
      </c>
      <c r="I184" t="s">
        <v>632</v>
      </c>
      <c r="J184" t="s">
        <v>1621</v>
      </c>
      <c r="L18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84"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LED-T5C4FT835</v>
      </c>
    </row>
    <row r="185" spans="1:13" hidden="1" x14ac:dyDescent="0.25">
      <c r="A185" t="s">
        <v>291</v>
      </c>
      <c r="B185" s="86" t="s">
        <v>1405</v>
      </c>
      <c r="C185" t="s">
        <v>123</v>
      </c>
      <c r="D185" t="s">
        <v>1406</v>
      </c>
      <c r="E185">
        <v>2</v>
      </c>
      <c r="F185" cm="1">
        <f t="array" ref="F185">_xlfn.IFS(Lutron_CFlex_Lookup[[#This Row],[Kit Lamp Qty]]=1,24,Lutron_CFlex_Lookup[[#This Row],[Kit Lamp Qty]]=2,12,Lutron_CFlex_Lookup[[#This Row],[Kit Lamp Qty]]=3,8)</f>
        <v>12</v>
      </c>
      <c r="G185" s="81">
        <v>3500</v>
      </c>
      <c r="H185">
        <v>4505</v>
      </c>
      <c r="I185" t="s">
        <v>632</v>
      </c>
      <c r="J185" t="s">
        <v>1609</v>
      </c>
      <c r="K185" t="s">
        <v>2135</v>
      </c>
      <c r="L185"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85"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LED-T5C4FT835</v>
      </c>
    </row>
    <row r="186" spans="1:13" hidden="1" x14ac:dyDescent="0.25">
      <c r="A186" t="s">
        <v>295</v>
      </c>
      <c r="B186" s="86" t="s">
        <v>50</v>
      </c>
      <c r="C186" t="s">
        <v>123</v>
      </c>
      <c r="D186" t="s">
        <v>1406</v>
      </c>
      <c r="E186">
        <v>2</v>
      </c>
      <c r="F186" cm="1">
        <f t="array" ref="F186">_xlfn.IFS(Lutron_CFlex_Lookup[[#This Row],[Kit Lamp Qty]]=1,24,Lutron_CFlex_Lookup[[#This Row],[Kit Lamp Qty]]=2,12,Lutron_CFlex_Lookup[[#This Row],[Kit Lamp Qty]]=3,8)</f>
        <v>12</v>
      </c>
      <c r="G186" s="81">
        <v>4000</v>
      </c>
      <c r="H186">
        <v>4505</v>
      </c>
      <c r="I186" t="s">
        <v>632</v>
      </c>
      <c r="J186" t="s">
        <v>1622</v>
      </c>
      <c r="L18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86"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LED-T5C4FT840</v>
      </c>
    </row>
    <row r="187" spans="1:13" hidden="1" x14ac:dyDescent="0.25">
      <c r="A187" t="s">
        <v>292</v>
      </c>
      <c r="B187" s="86" t="s">
        <v>1405</v>
      </c>
      <c r="C187" t="s">
        <v>123</v>
      </c>
      <c r="D187" t="s">
        <v>1406</v>
      </c>
      <c r="E187">
        <v>2</v>
      </c>
      <c r="F187" cm="1">
        <f t="array" ref="F187">_xlfn.IFS(Lutron_CFlex_Lookup[[#This Row],[Kit Lamp Qty]]=1,24,Lutron_CFlex_Lookup[[#This Row],[Kit Lamp Qty]]=2,12,Lutron_CFlex_Lookup[[#This Row],[Kit Lamp Qty]]=3,8)</f>
        <v>12</v>
      </c>
      <c r="G187" s="81">
        <v>4000</v>
      </c>
      <c r="H187">
        <v>4505</v>
      </c>
      <c r="I187" t="s">
        <v>632</v>
      </c>
      <c r="J187" t="s">
        <v>1610</v>
      </c>
      <c r="K187" t="s">
        <v>2136</v>
      </c>
      <c r="L187"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87"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LED-T5C4FT840</v>
      </c>
    </row>
    <row r="188" spans="1:13" hidden="1" x14ac:dyDescent="0.25">
      <c r="A188" t="s">
        <v>1808</v>
      </c>
      <c r="B188" s="79" t="s">
        <v>50</v>
      </c>
      <c r="C188" s="3" t="s">
        <v>123</v>
      </c>
      <c r="D188" s="3">
        <v>4</v>
      </c>
      <c r="E188">
        <v>2</v>
      </c>
      <c r="F188" cm="1">
        <f t="array" ref="F188">_xlfn.IFS(Lutron_CFlex_Lookup[[#This Row],[Kit Lamp Qty]]=1,24,Lutron_CFlex_Lookup[[#This Row],[Kit Lamp Qty]]=2,12,Lutron_CFlex_Lookup[[#This Row],[Kit Lamp Qty]]=3,8)</f>
        <v>12</v>
      </c>
      <c r="G188" s="81">
        <v>5000</v>
      </c>
      <c r="H188">
        <v>4505</v>
      </c>
      <c r="I188" s="3" t="s">
        <v>632</v>
      </c>
      <c r="J188" t="s">
        <v>1912</v>
      </c>
      <c r="L18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88"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LED-T5C4FT850</v>
      </c>
    </row>
    <row r="189" spans="1:13" hidden="1" x14ac:dyDescent="0.25">
      <c r="A189" t="s">
        <v>1720</v>
      </c>
      <c r="B189" s="79" t="s">
        <v>1405</v>
      </c>
      <c r="C189" t="s">
        <v>123</v>
      </c>
      <c r="D189">
        <v>4</v>
      </c>
      <c r="E189">
        <v>2</v>
      </c>
      <c r="F189" cm="1">
        <f t="array" ref="F189">_xlfn.IFS(Lutron_CFlex_Lookup[[#This Row],[Kit Lamp Qty]]=1,24,Lutron_CFlex_Lookup[[#This Row],[Kit Lamp Qty]]=2,12,Lutron_CFlex_Lookup[[#This Row],[Kit Lamp Qty]]=3,8)</f>
        <v>12</v>
      </c>
      <c r="G189" s="81">
        <v>5000</v>
      </c>
      <c r="H189">
        <v>4505</v>
      </c>
      <c r="I189" t="s">
        <v>632</v>
      </c>
      <c r="J189" t="s">
        <v>1868</v>
      </c>
      <c r="K189" s="2" t="s">
        <v>2172</v>
      </c>
      <c r="L189"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89"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LED-T5C4FT850</v>
      </c>
    </row>
    <row r="190" spans="1:13" hidden="1" x14ac:dyDescent="0.25">
      <c r="A190" t="s">
        <v>358</v>
      </c>
      <c r="B190" s="79" t="s">
        <v>50</v>
      </c>
      <c r="C190" s="3" t="s">
        <v>297</v>
      </c>
      <c r="D190" s="3">
        <v>2</v>
      </c>
      <c r="E190">
        <v>1</v>
      </c>
      <c r="F190" cm="1">
        <f t="array" ref="F190">_xlfn.IFS(Lutron_CFlex_Lookup[[#This Row],[Kit Lamp Qty]]=1,24,Lutron_CFlex_Lookup[[#This Row],[Kit Lamp Qty]]=2,12,Lutron_CFlex_Lookup[[#This Row],[Kit Lamp Qty]]=3,8)</f>
        <v>24</v>
      </c>
      <c r="G190" s="81">
        <v>3000</v>
      </c>
      <c r="H190">
        <v>1802</v>
      </c>
      <c r="I190" s="3" t="s">
        <v>632</v>
      </c>
      <c r="J190" t="s">
        <v>2054</v>
      </c>
      <c r="L19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90"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LED-T5C2FT830</v>
      </c>
    </row>
    <row r="191" spans="1:13" hidden="1" x14ac:dyDescent="0.25">
      <c r="A191" t="s">
        <v>355</v>
      </c>
      <c r="B191" s="79" t="s">
        <v>1405</v>
      </c>
      <c r="C191" t="s">
        <v>297</v>
      </c>
      <c r="D191">
        <v>2</v>
      </c>
      <c r="E191">
        <v>1</v>
      </c>
      <c r="F191" cm="1">
        <f t="array" ref="F191">_xlfn.IFS(Lutron_CFlex_Lookup[[#This Row],[Kit Lamp Qty]]=1,24,Lutron_CFlex_Lookup[[#This Row],[Kit Lamp Qty]]=2,12,Lutron_CFlex_Lookup[[#This Row],[Kit Lamp Qty]]=3,8)</f>
        <v>24</v>
      </c>
      <c r="G191" s="81">
        <v>3000</v>
      </c>
      <c r="H191">
        <v>1802</v>
      </c>
      <c r="I191" t="s">
        <v>632</v>
      </c>
      <c r="J191" t="s">
        <v>1984</v>
      </c>
      <c r="K191" s="2" t="s">
        <v>2208</v>
      </c>
      <c r="L191"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91"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LED-T5C2FT830</v>
      </c>
    </row>
    <row r="192" spans="1:13" hidden="1" x14ac:dyDescent="0.25">
      <c r="A192" t="s">
        <v>359</v>
      </c>
      <c r="B192" s="79" t="s">
        <v>50</v>
      </c>
      <c r="C192" s="3" t="s">
        <v>297</v>
      </c>
      <c r="D192" s="3">
        <v>2</v>
      </c>
      <c r="E192">
        <v>1</v>
      </c>
      <c r="F192" cm="1">
        <f t="array" ref="F192">_xlfn.IFS(Lutron_CFlex_Lookup[[#This Row],[Kit Lamp Qty]]=1,24,Lutron_CFlex_Lookup[[#This Row],[Kit Lamp Qty]]=2,12,Lutron_CFlex_Lookup[[#This Row],[Kit Lamp Qty]]=3,8)</f>
        <v>24</v>
      </c>
      <c r="G192" s="81">
        <v>3500</v>
      </c>
      <c r="H192">
        <v>1802</v>
      </c>
      <c r="I192" s="3" t="s">
        <v>632</v>
      </c>
      <c r="J192" t="s">
        <v>2055</v>
      </c>
      <c r="L19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9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LED-T5C2FT835</v>
      </c>
    </row>
    <row r="193" spans="1:13" hidden="1" x14ac:dyDescent="0.25">
      <c r="A193" t="s">
        <v>356</v>
      </c>
      <c r="B193" s="79" t="s">
        <v>1405</v>
      </c>
      <c r="C193" t="s">
        <v>297</v>
      </c>
      <c r="D193">
        <v>2</v>
      </c>
      <c r="E193">
        <v>1</v>
      </c>
      <c r="F193" cm="1">
        <f t="array" ref="F193">_xlfn.IFS(Lutron_CFlex_Lookup[[#This Row],[Kit Lamp Qty]]=1,24,Lutron_CFlex_Lookup[[#This Row],[Kit Lamp Qty]]=2,12,Lutron_CFlex_Lookup[[#This Row],[Kit Lamp Qty]]=3,8)</f>
        <v>24</v>
      </c>
      <c r="G193" s="81">
        <v>3500</v>
      </c>
      <c r="H193">
        <v>1802</v>
      </c>
      <c r="I193" t="s">
        <v>632</v>
      </c>
      <c r="J193" t="s">
        <v>1985</v>
      </c>
      <c r="K193" s="2" t="s">
        <v>2209</v>
      </c>
      <c r="L193"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93"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LED-T5C2FT835</v>
      </c>
    </row>
    <row r="194" spans="1:13" hidden="1" x14ac:dyDescent="0.25">
      <c r="A194" t="s">
        <v>360</v>
      </c>
      <c r="B194" s="79" t="s">
        <v>50</v>
      </c>
      <c r="C194" s="3" t="s">
        <v>297</v>
      </c>
      <c r="D194" s="3">
        <v>2</v>
      </c>
      <c r="E194">
        <v>1</v>
      </c>
      <c r="F194" cm="1">
        <f t="array" ref="F194">_xlfn.IFS(Lutron_CFlex_Lookup[[#This Row],[Kit Lamp Qty]]=1,24,Lutron_CFlex_Lookup[[#This Row],[Kit Lamp Qty]]=2,12,Lutron_CFlex_Lookup[[#This Row],[Kit Lamp Qty]]=3,8)</f>
        <v>24</v>
      </c>
      <c r="G194" s="81">
        <v>4000</v>
      </c>
      <c r="H194">
        <v>1802</v>
      </c>
      <c r="I194" s="3" t="s">
        <v>632</v>
      </c>
      <c r="J194" t="s">
        <v>2056</v>
      </c>
      <c r="L19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94"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LED-T5C2FT840</v>
      </c>
    </row>
    <row r="195" spans="1:13" hidden="1" x14ac:dyDescent="0.25">
      <c r="A195" t="s">
        <v>357</v>
      </c>
      <c r="B195" s="79" t="s">
        <v>1405</v>
      </c>
      <c r="C195" t="s">
        <v>297</v>
      </c>
      <c r="D195">
        <v>2</v>
      </c>
      <c r="E195">
        <v>1</v>
      </c>
      <c r="F195" cm="1">
        <f t="array" ref="F195">_xlfn.IFS(Lutron_CFlex_Lookup[[#This Row],[Kit Lamp Qty]]=1,24,Lutron_CFlex_Lookup[[#This Row],[Kit Lamp Qty]]=2,12,Lutron_CFlex_Lookup[[#This Row],[Kit Lamp Qty]]=3,8)</f>
        <v>24</v>
      </c>
      <c r="G195" s="81">
        <v>4000</v>
      </c>
      <c r="H195">
        <v>1802</v>
      </c>
      <c r="I195" t="s">
        <v>632</v>
      </c>
      <c r="J195" t="s">
        <v>1986</v>
      </c>
      <c r="K195" s="2" t="s">
        <v>2210</v>
      </c>
      <c r="L195"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95"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LED-T5C2FT840</v>
      </c>
    </row>
    <row r="196" spans="1:13" hidden="1" x14ac:dyDescent="0.25">
      <c r="A196" t="s">
        <v>1809</v>
      </c>
      <c r="B196" s="79" t="s">
        <v>50</v>
      </c>
      <c r="C196" s="3" t="s">
        <v>297</v>
      </c>
      <c r="D196" s="3">
        <v>2</v>
      </c>
      <c r="E196">
        <v>1</v>
      </c>
      <c r="F196" cm="1">
        <f t="array" ref="F196">_xlfn.IFS(Lutron_CFlex_Lookup[[#This Row],[Kit Lamp Qty]]=1,24,Lutron_CFlex_Lookup[[#This Row],[Kit Lamp Qty]]=2,12,Lutron_CFlex_Lookup[[#This Row],[Kit Lamp Qty]]=3,8)</f>
        <v>24</v>
      </c>
      <c r="G196" s="81">
        <v>5000</v>
      </c>
      <c r="H196">
        <v>1802</v>
      </c>
      <c r="I196" s="3" t="s">
        <v>632</v>
      </c>
      <c r="J196" t="s">
        <v>2057</v>
      </c>
      <c r="L19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96"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LED-T5C2FT850</v>
      </c>
    </row>
    <row r="197" spans="1:13" hidden="1" x14ac:dyDescent="0.25">
      <c r="A197" t="s">
        <v>1721</v>
      </c>
      <c r="B197" s="79" t="s">
        <v>1405</v>
      </c>
      <c r="C197" t="s">
        <v>297</v>
      </c>
      <c r="D197">
        <v>2</v>
      </c>
      <c r="E197">
        <v>1</v>
      </c>
      <c r="F197" cm="1">
        <f t="array" ref="F197">_xlfn.IFS(Lutron_CFlex_Lookup[[#This Row],[Kit Lamp Qty]]=1,24,Lutron_CFlex_Lookup[[#This Row],[Kit Lamp Qty]]=2,12,Lutron_CFlex_Lookup[[#This Row],[Kit Lamp Qty]]=3,8)</f>
        <v>24</v>
      </c>
      <c r="G197" s="81">
        <v>5000</v>
      </c>
      <c r="H197">
        <v>1802</v>
      </c>
      <c r="I197" t="s">
        <v>632</v>
      </c>
      <c r="J197" t="s">
        <v>1987</v>
      </c>
      <c r="K197" s="2" t="s">
        <v>2211</v>
      </c>
      <c r="L197"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197"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LED-T5C2FT850</v>
      </c>
    </row>
    <row r="198" spans="1:13" hidden="1" x14ac:dyDescent="0.25">
      <c r="A198" t="s">
        <v>365</v>
      </c>
      <c r="B198" s="79" t="s">
        <v>50</v>
      </c>
      <c r="C198" s="3" t="s">
        <v>297</v>
      </c>
      <c r="D198" s="3">
        <v>2</v>
      </c>
      <c r="E198">
        <v>2</v>
      </c>
      <c r="F198" cm="1">
        <f t="array" ref="F198">_xlfn.IFS(Lutron_CFlex_Lookup[[#This Row],[Kit Lamp Qty]]=1,24,Lutron_CFlex_Lookup[[#This Row],[Kit Lamp Qty]]=2,12,Lutron_CFlex_Lookup[[#This Row],[Kit Lamp Qty]]=3,8)</f>
        <v>12</v>
      </c>
      <c r="G198" s="81">
        <v>3000</v>
      </c>
      <c r="H198">
        <v>3539</v>
      </c>
      <c r="I198" s="3" t="s">
        <v>632</v>
      </c>
      <c r="J198" t="s">
        <v>1913</v>
      </c>
      <c r="L19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198"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LED-T5C2FT830</v>
      </c>
    </row>
    <row r="199" spans="1:13" hidden="1" x14ac:dyDescent="0.25">
      <c r="A199" t="s">
        <v>362</v>
      </c>
      <c r="B199" s="79" t="s">
        <v>1405</v>
      </c>
      <c r="C199" t="s">
        <v>297</v>
      </c>
      <c r="D199">
        <v>2</v>
      </c>
      <c r="E199">
        <v>2</v>
      </c>
      <c r="F199" cm="1">
        <f t="array" ref="F199">_xlfn.IFS(Lutron_CFlex_Lookup[[#This Row],[Kit Lamp Qty]]=1,24,Lutron_CFlex_Lookup[[#This Row],[Kit Lamp Qty]]=2,12,Lutron_CFlex_Lookup[[#This Row],[Kit Lamp Qty]]=3,8)</f>
        <v>12</v>
      </c>
      <c r="G199" s="81">
        <v>3000</v>
      </c>
      <c r="H199">
        <v>3539</v>
      </c>
      <c r="I199" t="s">
        <v>632</v>
      </c>
      <c r="J199" t="s">
        <v>1869</v>
      </c>
      <c r="K199" s="2" t="s">
        <v>2173</v>
      </c>
      <c r="L199"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199"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LED-T5C2FT830</v>
      </c>
    </row>
    <row r="200" spans="1:13" hidden="1" x14ac:dyDescent="0.25">
      <c r="A200" t="s">
        <v>366</v>
      </c>
      <c r="B200" s="79" t="s">
        <v>50</v>
      </c>
      <c r="C200" s="3" t="s">
        <v>297</v>
      </c>
      <c r="D200" s="3">
        <v>2</v>
      </c>
      <c r="E200">
        <v>2</v>
      </c>
      <c r="F200" cm="1">
        <f t="array" ref="F200">_xlfn.IFS(Lutron_CFlex_Lookup[[#This Row],[Kit Lamp Qty]]=1,24,Lutron_CFlex_Lookup[[#This Row],[Kit Lamp Qty]]=2,12,Lutron_CFlex_Lookup[[#This Row],[Kit Lamp Qty]]=3,8)</f>
        <v>12</v>
      </c>
      <c r="G200" s="81">
        <v>3500</v>
      </c>
      <c r="H200">
        <v>3539</v>
      </c>
      <c r="I200" s="3" t="s">
        <v>632</v>
      </c>
      <c r="J200" t="s">
        <v>1914</v>
      </c>
      <c r="L20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00"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LED-T5C2FT835</v>
      </c>
    </row>
    <row r="201" spans="1:13" hidden="1" x14ac:dyDescent="0.25">
      <c r="A201" t="s">
        <v>363</v>
      </c>
      <c r="B201" s="79" t="s">
        <v>1405</v>
      </c>
      <c r="C201" t="s">
        <v>297</v>
      </c>
      <c r="D201">
        <v>2</v>
      </c>
      <c r="E201">
        <v>2</v>
      </c>
      <c r="F201" cm="1">
        <f t="array" ref="F201">_xlfn.IFS(Lutron_CFlex_Lookup[[#This Row],[Kit Lamp Qty]]=1,24,Lutron_CFlex_Lookup[[#This Row],[Kit Lamp Qty]]=2,12,Lutron_CFlex_Lookup[[#This Row],[Kit Lamp Qty]]=3,8)</f>
        <v>12</v>
      </c>
      <c r="G201" s="81">
        <v>3500</v>
      </c>
      <c r="H201">
        <v>3539</v>
      </c>
      <c r="I201" t="s">
        <v>632</v>
      </c>
      <c r="J201" t="s">
        <v>1870</v>
      </c>
      <c r="K201" s="2" t="s">
        <v>2174</v>
      </c>
      <c r="L201"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01"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LED-T5C2FT835</v>
      </c>
    </row>
    <row r="202" spans="1:13" hidden="1" x14ac:dyDescent="0.25">
      <c r="A202" t="s">
        <v>367</v>
      </c>
      <c r="B202" s="79" t="s">
        <v>50</v>
      </c>
      <c r="C202" s="3" t="s">
        <v>297</v>
      </c>
      <c r="D202" s="3">
        <v>2</v>
      </c>
      <c r="E202">
        <v>2</v>
      </c>
      <c r="F202" cm="1">
        <f t="array" ref="F202">_xlfn.IFS(Lutron_CFlex_Lookup[[#This Row],[Kit Lamp Qty]]=1,24,Lutron_CFlex_Lookup[[#This Row],[Kit Lamp Qty]]=2,12,Lutron_CFlex_Lookup[[#This Row],[Kit Lamp Qty]]=3,8)</f>
        <v>12</v>
      </c>
      <c r="G202" s="81">
        <v>4000</v>
      </c>
      <c r="H202">
        <v>3539</v>
      </c>
      <c r="I202" s="3" t="s">
        <v>632</v>
      </c>
      <c r="J202" t="s">
        <v>1915</v>
      </c>
      <c r="L20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0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LED-T5C2FT840</v>
      </c>
    </row>
    <row r="203" spans="1:13" hidden="1" x14ac:dyDescent="0.25">
      <c r="A203" t="s">
        <v>364</v>
      </c>
      <c r="B203" s="79" t="s">
        <v>1405</v>
      </c>
      <c r="C203" t="s">
        <v>297</v>
      </c>
      <c r="D203">
        <v>2</v>
      </c>
      <c r="E203">
        <v>2</v>
      </c>
      <c r="F203" cm="1">
        <f t="array" ref="F203">_xlfn.IFS(Lutron_CFlex_Lookup[[#This Row],[Kit Lamp Qty]]=1,24,Lutron_CFlex_Lookup[[#This Row],[Kit Lamp Qty]]=2,12,Lutron_CFlex_Lookup[[#This Row],[Kit Lamp Qty]]=3,8)</f>
        <v>12</v>
      </c>
      <c r="G203" s="81">
        <v>4000</v>
      </c>
      <c r="H203">
        <v>3539</v>
      </c>
      <c r="I203" t="s">
        <v>632</v>
      </c>
      <c r="J203" t="s">
        <v>1871</v>
      </c>
      <c r="K203" s="2" t="s">
        <v>2175</v>
      </c>
      <c r="L203"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03"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LED-T5C2FT840</v>
      </c>
    </row>
    <row r="204" spans="1:13" hidden="1" x14ac:dyDescent="0.25">
      <c r="A204" t="s">
        <v>1810</v>
      </c>
      <c r="B204" s="79" t="s">
        <v>50</v>
      </c>
      <c r="C204" s="3" t="s">
        <v>297</v>
      </c>
      <c r="D204" s="3">
        <v>2</v>
      </c>
      <c r="E204">
        <v>2</v>
      </c>
      <c r="F204" cm="1">
        <f t="array" ref="F204">_xlfn.IFS(Lutron_CFlex_Lookup[[#This Row],[Kit Lamp Qty]]=1,24,Lutron_CFlex_Lookup[[#This Row],[Kit Lamp Qty]]=2,12,Lutron_CFlex_Lookup[[#This Row],[Kit Lamp Qty]]=3,8)</f>
        <v>12</v>
      </c>
      <c r="G204" s="81">
        <v>5000</v>
      </c>
      <c r="H204">
        <v>3539</v>
      </c>
      <c r="I204" s="3" t="s">
        <v>632</v>
      </c>
      <c r="J204" t="s">
        <v>1916</v>
      </c>
      <c r="L20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04"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LED-T5C2FT850</v>
      </c>
    </row>
    <row r="205" spans="1:13" hidden="1" x14ac:dyDescent="0.25">
      <c r="A205" t="s">
        <v>1722</v>
      </c>
      <c r="B205" s="79" t="s">
        <v>1405</v>
      </c>
      <c r="C205" t="s">
        <v>297</v>
      </c>
      <c r="D205">
        <v>2</v>
      </c>
      <c r="E205">
        <v>2</v>
      </c>
      <c r="F205" cm="1">
        <f t="array" ref="F205">_xlfn.IFS(Lutron_CFlex_Lookup[[#This Row],[Kit Lamp Qty]]=1,24,Lutron_CFlex_Lookup[[#This Row],[Kit Lamp Qty]]=2,12,Lutron_CFlex_Lookup[[#This Row],[Kit Lamp Qty]]=3,8)</f>
        <v>12</v>
      </c>
      <c r="G205" s="81">
        <v>5000</v>
      </c>
      <c r="H205">
        <v>3539</v>
      </c>
      <c r="I205" t="s">
        <v>632</v>
      </c>
      <c r="J205" t="s">
        <v>1872</v>
      </c>
      <c r="K205" s="2" t="s">
        <v>2176</v>
      </c>
      <c r="L205"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05"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LED-T5C2FT850</v>
      </c>
    </row>
    <row r="206" spans="1:13" hidden="1" x14ac:dyDescent="0.25">
      <c r="A206" t="s">
        <v>1811</v>
      </c>
      <c r="B206" s="79" t="s">
        <v>50</v>
      </c>
      <c r="C206" s="3" t="s">
        <v>297</v>
      </c>
      <c r="D206" s="3">
        <v>2</v>
      </c>
      <c r="E206">
        <v>3</v>
      </c>
      <c r="F206" cm="1">
        <f t="array" ref="F206">_xlfn.IFS(Lutron_CFlex_Lookup[[#This Row],[Kit Lamp Qty]]=1,24,Lutron_CFlex_Lookup[[#This Row],[Kit Lamp Qty]]=2,12,Lutron_CFlex_Lookup[[#This Row],[Kit Lamp Qty]]=3,8)</f>
        <v>8</v>
      </c>
      <c r="G206" s="81">
        <v>3000</v>
      </c>
      <c r="H206">
        <v>5405</v>
      </c>
      <c r="I206" s="3" t="s">
        <v>632</v>
      </c>
      <c r="J206" t="s">
        <v>2103</v>
      </c>
      <c r="L20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06"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LED-T5C2FT830</v>
      </c>
    </row>
    <row r="207" spans="1:13" hidden="1" x14ac:dyDescent="0.25">
      <c r="A207" t="s">
        <v>1723</v>
      </c>
      <c r="B207" s="79" t="s">
        <v>1405</v>
      </c>
      <c r="C207" t="s">
        <v>297</v>
      </c>
      <c r="D207">
        <v>2</v>
      </c>
      <c r="E207">
        <v>3</v>
      </c>
      <c r="F207" cm="1">
        <f t="array" ref="F207">_xlfn.IFS(Lutron_CFlex_Lookup[[#This Row],[Kit Lamp Qty]]=1,24,Lutron_CFlex_Lookup[[#This Row],[Kit Lamp Qty]]=2,12,Lutron_CFlex_Lookup[[#This Row],[Kit Lamp Qty]]=3,8)</f>
        <v>8</v>
      </c>
      <c r="G207" s="81">
        <v>3000</v>
      </c>
      <c r="H207">
        <v>5405</v>
      </c>
      <c r="I207" t="s">
        <v>632</v>
      </c>
      <c r="J207" t="s">
        <v>2079</v>
      </c>
      <c r="K207" s="2" t="s">
        <v>2140</v>
      </c>
      <c r="L207"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07"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LED-T5C2FT830</v>
      </c>
    </row>
    <row r="208" spans="1:13" hidden="1" x14ac:dyDescent="0.25">
      <c r="A208" t="s">
        <v>1812</v>
      </c>
      <c r="B208" s="79" t="s">
        <v>50</v>
      </c>
      <c r="C208" s="3" t="s">
        <v>297</v>
      </c>
      <c r="D208" s="3">
        <v>2</v>
      </c>
      <c r="E208">
        <v>3</v>
      </c>
      <c r="F208" cm="1">
        <f t="array" ref="F208">_xlfn.IFS(Lutron_CFlex_Lookup[[#This Row],[Kit Lamp Qty]]=1,24,Lutron_CFlex_Lookup[[#This Row],[Kit Lamp Qty]]=2,12,Lutron_CFlex_Lookup[[#This Row],[Kit Lamp Qty]]=3,8)</f>
        <v>8</v>
      </c>
      <c r="G208" s="81">
        <v>3500</v>
      </c>
      <c r="H208">
        <v>5405</v>
      </c>
      <c r="I208" s="3" t="s">
        <v>632</v>
      </c>
      <c r="J208" t="s">
        <v>2104</v>
      </c>
      <c r="L20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08"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LED-T5C2FT835</v>
      </c>
    </row>
    <row r="209" spans="1:13" hidden="1" x14ac:dyDescent="0.25">
      <c r="A209" t="s">
        <v>1724</v>
      </c>
      <c r="B209" s="79" t="s">
        <v>1405</v>
      </c>
      <c r="C209" t="s">
        <v>297</v>
      </c>
      <c r="D209">
        <v>2</v>
      </c>
      <c r="E209">
        <v>3</v>
      </c>
      <c r="F209" cm="1">
        <f t="array" ref="F209">_xlfn.IFS(Lutron_CFlex_Lookup[[#This Row],[Kit Lamp Qty]]=1,24,Lutron_CFlex_Lookup[[#This Row],[Kit Lamp Qty]]=2,12,Lutron_CFlex_Lookup[[#This Row],[Kit Lamp Qty]]=3,8)</f>
        <v>8</v>
      </c>
      <c r="G209" s="81">
        <v>3500</v>
      </c>
      <c r="H209">
        <v>5405</v>
      </c>
      <c r="I209" t="s">
        <v>632</v>
      </c>
      <c r="J209" t="s">
        <v>2080</v>
      </c>
      <c r="K209" s="2" t="s">
        <v>2141</v>
      </c>
      <c r="L209"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09"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LED-T5C2FT835</v>
      </c>
    </row>
    <row r="210" spans="1:13" hidden="1" x14ac:dyDescent="0.25">
      <c r="A210" t="s">
        <v>1813</v>
      </c>
      <c r="B210" s="79" t="s">
        <v>50</v>
      </c>
      <c r="C210" s="3" t="s">
        <v>297</v>
      </c>
      <c r="D210" s="3">
        <v>2</v>
      </c>
      <c r="E210">
        <v>3</v>
      </c>
      <c r="F210" cm="1">
        <f t="array" ref="F210">_xlfn.IFS(Lutron_CFlex_Lookup[[#This Row],[Kit Lamp Qty]]=1,24,Lutron_CFlex_Lookup[[#This Row],[Kit Lamp Qty]]=2,12,Lutron_CFlex_Lookup[[#This Row],[Kit Lamp Qty]]=3,8)</f>
        <v>8</v>
      </c>
      <c r="G210" s="81">
        <v>4000</v>
      </c>
      <c r="H210">
        <v>5405</v>
      </c>
      <c r="I210" s="3" t="s">
        <v>632</v>
      </c>
      <c r="J210" t="s">
        <v>2105</v>
      </c>
      <c r="L21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10"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LED-T5C2FT840</v>
      </c>
    </row>
    <row r="211" spans="1:13" hidden="1" x14ac:dyDescent="0.25">
      <c r="A211" t="s">
        <v>1725</v>
      </c>
      <c r="B211" s="79" t="s">
        <v>1405</v>
      </c>
      <c r="C211" t="s">
        <v>297</v>
      </c>
      <c r="D211">
        <v>2</v>
      </c>
      <c r="E211">
        <v>3</v>
      </c>
      <c r="F211" cm="1">
        <f t="array" ref="F211">_xlfn.IFS(Lutron_CFlex_Lookup[[#This Row],[Kit Lamp Qty]]=1,24,Lutron_CFlex_Lookup[[#This Row],[Kit Lamp Qty]]=2,12,Lutron_CFlex_Lookup[[#This Row],[Kit Lamp Qty]]=3,8)</f>
        <v>8</v>
      </c>
      <c r="G211" s="81">
        <v>4000</v>
      </c>
      <c r="H211">
        <v>5405</v>
      </c>
      <c r="I211" t="s">
        <v>632</v>
      </c>
      <c r="J211" t="s">
        <v>2081</v>
      </c>
      <c r="K211" s="2" t="s">
        <v>2142</v>
      </c>
      <c r="L211"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11"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LED-T5C2FT840</v>
      </c>
    </row>
    <row r="212" spans="1:13" hidden="1" x14ac:dyDescent="0.25">
      <c r="A212" t="s">
        <v>1814</v>
      </c>
      <c r="B212" s="79" t="s">
        <v>50</v>
      </c>
      <c r="C212" s="3" t="s">
        <v>297</v>
      </c>
      <c r="D212" s="3">
        <v>2</v>
      </c>
      <c r="E212">
        <v>3</v>
      </c>
      <c r="F212" cm="1">
        <f t="array" ref="F212">_xlfn.IFS(Lutron_CFlex_Lookup[[#This Row],[Kit Lamp Qty]]=1,24,Lutron_CFlex_Lookup[[#This Row],[Kit Lamp Qty]]=2,12,Lutron_CFlex_Lookup[[#This Row],[Kit Lamp Qty]]=3,8)</f>
        <v>8</v>
      </c>
      <c r="G212" s="81">
        <v>5000</v>
      </c>
      <c r="H212">
        <v>5405</v>
      </c>
      <c r="I212" s="3" t="s">
        <v>632</v>
      </c>
      <c r="J212" t="s">
        <v>2106</v>
      </c>
      <c r="L21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1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LED-T5C2FT850</v>
      </c>
    </row>
    <row r="213" spans="1:13" hidden="1" x14ac:dyDescent="0.25">
      <c r="A213" t="s">
        <v>1726</v>
      </c>
      <c r="B213" s="79" t="s">
        <v>1405</v>
      </c>
      <c r="C213" t="s">
        <v>297</v>
      </c>
      <c r="D213">
        <v>2</v>
      </c>
      <c r="E213">
        <v>3</v>
      </c>
      <c r="F213" cm="1">
        <f t="array" ref="F213">_xlfn.IFS(Lutron_CFlex_Lookup[[#This Row],[Kit Lamp Qty]]=1,24,Lutron_CFlex_Lookup[[#This Row],[Kit Lamp Qty]]=2,12,Lutron_CFlex_Lookup[[#This Row],[Kit Lamp Qty]]=3,8)</f>
        <v>8</v>
      </c>
      <c r="G213" s="81">
        <v>5000</v>
      </c>
      <c r="H213">
        <v>5405</v>
      </c>
      <c r="I213" t="s">
        <v>632</v>
      </c>
      <c r="J213" t="s">
        <v>2082</v>
      </c>
      <c r="K213" s="2" t="s">
        <v>2143</v>
      </c>
      <c r="L213"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13"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LED-T5C2FT850</v>
      </c>
    </row>
    <row r="214" spans="1:13" hidden="1" x14ac:dyDescent="0.25">
      <c r="A214" t="s">
        <v>408</v>
      </c>
      <c r="B214" s="79" t="s">
        <v>50</v>
      </c>
      <c r="C214" s="3" t="s">
        <v>297</v>
      </c>
      <c r="D214" s="3">
        <v>3</v>
      </c>
      <c r="E214">
        <v>1</v>
      </c>
      <c r="F214" cm="1">
        <f t="array" ref="F214">_xlfn.IFS(Lutron_CFlex_Lookup[[#This Row],[Kit Lamp Qty]]=1,24,Lutron_CFlex_Lookup[[#This Row],[Kit Lamp Qty]]=2,12,Lutron_CFlex_Lookup[[#This Row],[Kit Lamp Qty]]=3,8)</f>
        <v>24</v>
      </c>
      <c r="G214" s="81">
        <v>3000</v>
      </c>
      <c r="I214" s="3" t="s">
        <v>632</v>
      </c>
      <c r="J214" t="s">
        <v>2058</v>
      </c>
      <c r="L21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14"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LED-T5C3FT830</v>
      </c>
    </row>
    <row r="215" spans="1:13" hidden="1" x14ac:dyDescent="0.25">
      <c r="A215" t="s">
        <v>405</v>
      </c>
      <c r="B215" s="79" t="s">
        <v>1405</v>
      </c>
      <c r="C215" t="s">
        <v>297</v>
      </c>
      <c r="D215">
        <v>3</v>
      </c>
      <c r="E215">
        <v>1</v>
      </c>
      <c r="F215" cm="1">
        <f t="array" ref="F215">_xlfn.IFS(Lutron_CFlex_Lookup[[#This Row],[Kit Lamp Qty]]=1,24,Lutron_CFlex_Lookup[[#This Row],[Kit Lamp Qty]]=2,12,Lutron_CFlex_Lookup[[#This Row],[Kit Lamp Qty]]=3,8)</f>
        <v>24</v>
      </c>
      <c r="G215" s="81">
        <v>3000</v>
      </c>
      <c r="I215" t="s">
        <v>632</v>
      </c>
      <c r="J215" t="s">
        <v>1988</v>
      </c>
      <c r="K215" s="2" t="s">
        <v>2212</v>
      </c>
      <c r="L215"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15"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LED-T5C3FT830</v>
      </c>
    </row>
    <row r="216" spans="1:13" hidden="1" x14ac:dyDescent="0.25">
      <c r="A216" t="s">
        <v>409</v>
      </c>
      <c r="B216" s="79" t="s">
        <v>50</v>
      </c>
      <c r="C216" s="3" t="s">
        <v>297</v>
      </c>
      <c r="D216" s="3">
        <v>3</v>
      </c>
      <c r="E216">
        <v>1</v>
      </c>
      <c r="F216" cm="1">
        <f t="array" ref="F216">_xlfn.IFS(Lutron_CFlex_Lookup[[#This Row],[Kit Lamp Qty]]=1,24,Lutron_CFlex_Lookup[[#This Row],[Kit Lamp Qty]]=2,12,Lutron_CFlex_Lookup[[#This Row],[Kit Lamp Qty]]=3,8)</f>
        <v>24</v>
      </c>
      <c r="G216" s="81">
        <v>3500</v>
      </c>
      <c r="I216" s="3" t="s">
        <v>632</v>
      </c>
      <c r="J216" t="s">
        <v>2059</v>
      </c>
      <c r="L21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16"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LED-T5C3FT835</v>
      </c>
    </row>
    <row r="217" spans="1:13" hidden="1" x14ac:dyDescent="0.25">
      <c r="A217" t="s">
        <v>406</v>
      </c>
      <c r="B217" s="79" t="s">
        <v>1405</v>
      </c>
      <c r="C217" t="s">
        <v>297</v>
      </c>
      <c r="D217">
        <v>3</v>
      </c>
      <c r="E217">
        <v>1</v>
      </c>
      <c r="F217" cm="1">
        <f t="array" ref="F217">_xlfn.IFS(Lutron_CFlex_Lookup[[#This Row],[Kit Lamp Qty]]=1,24,Lutron_CFlex_Lookup[[#This Row],[Kit Lamp Qty]]=2,12,Lutron_CFlex_Lookup[[#This Row],[Kit Lamp Qty]]=3,8)</f>
        <v>24</v>
      </c>
      <c r="G217" s="81">
        <v>3500</v>
      </c>
      <c r="I217" t="s">
        <v>632</v>
      </c>
      <c r="J217" t="s">
        <v>1989</v>
      </c>
      <c r="K217" s="2" t="s">
        <v>2213</v>
      </c>
      <c r="L217"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17"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LED-T5C3FT835</v>
      </c>
    </row>
    <row r="218" spans="1:13" hidden="1" x14ac:dyDescent="0.25">
      <c r="A218" t="s">
        <v>410</v>
      </c>
      <c r="B218" s="79" t="s">
        <v>50</v>
      </c>
      <c r="C218" s="3" t="s">
        <v>297</v>
      </c>
      <c r="D218" s="3">
        <v>3</v>
      </c>
      <c r="E218">
        <v>1</v>
      </c>
      <c r="F218" cm="1">
        <f t="array" ref="F218">_xlfn.IFS(Lutron_CFlex_Lookup[[#This Row],[Kit Lamp Qty]]=1,24,Lutron_CFlex_Lookup[[#This Row],[Kit Lamp Qty]]=2,12,Lutron_CFlex_Lookup[[#This Row],[Kit Lamp Qty]]=3,8)</f>
        <v>24</v>
      </c>
      <c r="G218" s="81">
        <v>4000</v>
      </c>
      <c r="I218" s="3" t="s">
        <v>632</v>
      </c>
      <c r="J218" t="s">
        <v>2060</v>
      </c>
      <c r="L21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18"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LED-T5C3FT840</v>
      </c>
    </row>
    <row r="219" spans="1:13" hidden="1" x14ac:dyDescent="0.25">
      <c r="A219" t="s">
        <v>407</v>
      </c>
      <c r="B219" s="79" t="s">
        <v>1405</v>
      </c>
      <c r="C219" t="s">
        <v>297</v>
      </c>
      <c r="D219">
        <v>3</v>
      </c>
      <c r="E219">
        <v>1</v>
      </c>
      <c r="F219" cm="1">
        <f t="array" ref="F219">_xlfn.IFS(Lutron_CFlex_Lookup[[#This Row],[Kit Lamp Qty]]=1,24,Lutron_CFlex_Lookup[[#This Row],[Kit Lamp Qty]]=2,12,Lutron_CFlex_Lookup[[#This Row],[Kit Lamp Qty]]=3,8)</f>
        <v>24</v>
      </c>
      <c r="G219" s="81">
        <v>4000</v>
      </c>
      <c r="I219" t="s">
        <v>632</v>
      </c>
      <c r="J219" t="s">
        <v>1990</v>
      </c>
      <c r="K219" s="2" t="s">
        <v>2214</v>
      </c>
      <c r="L219"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19"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LED-T5C3FT840</v>
      </c>
    </row>
    <row r="220" spans="1:13" hidden="1" x14ac:dyDescent="0.25">
      <c r="A220" t="s">
        <v>1815</v>
      </c>
      <c r="B220" s="79" t="s">
        <v>50</v>
      </c>
      <c r="C220" s="3" t="s">
        <v>297</v>
      </c>
      <c r="D220" s="3">
        <v>3</v>
      </c>
      <c r="E220">
        <v>1</v>
      </c>
      <c r="F220" cm="1">
        <f t="array" ref="F220">_xlfn.IFS(Lutron_CFlex_Lookup[[#This Row],[Kit Lamp Qty]]=1,24,Lutron_CFlex_Lookup[[#This Row],[Kit Lamp Qty]]=2,12,Lutron_CFlex_Lookup[[#This Row],[Kit Lamp Qty]]=3,8)</f>
        <v>24</v>
      </c>
      <c r="G220" s="81">
        <v>5000</v>
      </c>
      <c r="I220" s="3" t="s">
        <v>632</v>
      </c>
      <c r="J220" t="s">
        <v>2061</v>
      </c>
      <c r="L22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20"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LED-T5C3FT850</v>
      </c>
    </row>
    <row r="221" spans="1:13" hidden="1" x14ac:dyDescent="0.25">
      <c r="A221" t="s">
        <v>1727</v>
      </c>
      <c r="B221" s="79" t="s">
        <v>1405</v>
      </c>
      <c r="C221" t="s">
        <v>297</v>
      </c>
      <c r="D221">
        <v>3</v>
      </c>
      <c r="E221">
        <v>1</v>
      </c>
      <c r="F221" cm="1">
        <f t="array" ref="F221">_xlfn.IFS(Lutron_CFlex_Lookup[[#This Row],[Kit Lamp Qty]]=1,24,Lutron_CFlex_Lookup[[#This Row],[Kit Lamp Qty]]=2,12,Lutron_CFlex_Lookup[[#This Row],[Kit Lamp Qty]]=3,8)</f>
        <v>24</v>
      </c>
      <c r="G221" s="81">
        <v>5000</v>
      </c>
      <c r="I221" t="s">
        <v>632</v>
      </c>
      <c r="J221" t="s">
        <v>1991</v>
      </c>
      <c r="K221" s="2" t="s">
        <v>2215</v>
      </c>
      <c r="L221"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21"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LED-T5C3FT850</v>
      </c>
    </row>
    <row r="222" spans="1:13" hidden="1" x14ac:dyDescent="0.25">
      <c r="A222" t="s">
        <v>415</v>
      </c>
      <c r="B222" s="79" t="s">
        <v>50</v>
      </c>
      <c r="C222" s="3" t="s">
        <v>297</v>
      </c>
      <c r="D222" s="3">
        <v>3</v>
      </c>
      <c r="E222">
        <v>2</v>
      </c>
      <c r="F222" cm="1">
        <f t="array" ref="F222">_xlfn.IFS(Lutron_CFlex_Lookup[[#This Row],[Kit Lamp Qty]]=1,24,Lutron_CFlex_Lookup[[#This Row],[Kit Lamp Qty]]=2,12,Lutron_CFlex_Lookup[[#This Row],[Kit Lamp Qty]]=3,8)</f>
        <v>12</v>
      </c>
      <c r="G222" s="81">
        <v>3000</v>
      </c>
      <c r="I222" s="3" t="s">
        <v>632</v>
      </c>
      <c r="J222" t="s">
        <v>1917</v>
      </c>
      <c r="L22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2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LED-T5C3FT830</v>
      </c>
    </row>
    <row r="223" spans="1:13" hidden="1" x14ac:dyDescent="0.25">
      <c r="A223" t="s">
        <v>412</v>
      </c>
      <c r="B223" s="79" t="s">
        <v>1405</v>
      </c>
      <c r="C223" t="s">
        <v>297</v>
      </c>
      <c r="D223">
        <v>3</v>
      </c>
      <c r="E223">
        <v>2</v>
      </c>
      <c r="F223" cm="1">
        <f t="array" ref="F223">_xlfn.IFS(Lutron_CFlex_Lookup[[#This Row],[Kit Lamp Qty]]=1,24,Lutron_CFlex_Lookup[[#This Row],[Kit Lamp Qty]]=2,12,Lutron_CFlex_Lookup[[#This Row],[Kit Lamp Qty]]=3,8)</f>
        <v>12</v>
      </c>
      <c r="G223" s="81">
        <v>3000</v>
      </c>
      <c r="I223" t="s">
        <v>632</v>
      </c>
      <c r="J223" t="s">
        <v>1873</v>
      </c>
      <c r="K223" s="2" t="s">
        <v>2177</v>
      </c>
      <c r="L223"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23"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LED-T5C3FT830</v>
      </c>
    </row>
    <row r="224" spans="1:13" hidden="1" x14ac:dyDescent="0.25">
      <c r="A224" t="s">
        <v>416</v>
      </c>
      <c r="B224" s="79" t="s">
        <v>50</v>
      </c>
      <c r="C224" s="3" t="s">
        <v>297</v>
      </c>
      <c r="D224" s="3">
        <v>3</v>
      </c>
      <c r="E224">
        <v>2</v>
      </c>
      <c r="F224" cm="1">
        <f t="array" ref="F224">_xlfn.IFS(Lutron_CFlex_Lookup[[#This Row],[Kit Lamp Qty]]=1,24,Lutron_CFlex_Lookup[[#This Row],[Kit Lamp Qty]]=2,12,Lutron_CFlex_Lookup[[#This Row],[Kit Lamp Qty]]=3,8)</f>
        <v>12</v>
      </c>
      <c r="G224" s="81">
        <v>3500</v>
      </c>
      <c r="I224" s="3" t="s">
        <v>632</v>
      </c>
      <c r="J224" t="s">
        <v>1918</v>
      </c>
      <c r="L22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24"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LED-T5C3FT835</v>
      </c>
    </row>
    <row r="225" spans="1:13" hidden="1" x14ac:dyDescent="0.25">
      <c r="A225" t="s">
        <v>413</v>
      </c>
      <c r="B225" s="79" t="s">
        <v>1405</v>
      </c>
      <c r="C225" t="s">
        <v>297</v>
      </c>
      <c r="D225">
        <v>3</v>
      </c>
      <c r="E225">
        <v>2</v>
      </c>
      <c r="F225" cm="1">
        <f t="array" ref="F225">_xlfn.IFS(Lutron_CFlex_Lookup[[#This Row],[Kit Lamp Qty]]=1,24,Lutron_CFlex_Lookup[[#This Row],[Kit Lamp Qty]]=2,12,Lutron_CFlex_Lookup[[#This Row],[Kit Lamp Qty]]=3,8)</f>
        <v>12</v>
      </c>
      <c r="G225" s="81">
        <v>3500</v>
      </c>
      <c r="I225" t="s">
        <v>632</v>
      </c>
      <c r="J225" t="s">
        <v>1874</v>
      </c>
      <c r="K225" s="2" t="s">
        <v>2178</v>
      </c>
      <c r="L225"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25"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LED-T5C3FT835</v>
      </c>
    </row>
    <row r="226" spans="1:13" hidden="1" x14ac:dyDescent="0.25">
      <c r="A226" t="s">
        <v>417</v>
      </c>
      <c r="B226" s="79" t="s">
        <v>50</v>
      </c>
      <c r="C226" s="3" t="s">
        <v>297</v>
      </c>
      <c r="D226" s="3">
        <v>3</v>
      </c>
      <c r="E226">
        <v>2</v>
      </c>
      <c r="F226" cm="1">
        <f t="array" ref="F226">_xlfn.IFS(Lutron_CFlex_Lookup[[#This Row],[Kit Lamp Qty]]=1,24,Lutron_CFlex_Lookup[[#This Row],[Kit Lamp Qty]]=2,12,Lutron_CFlex_Lookup[[#This Row],[Kit Lamp Qty]]=3,8)</f>
        <v>12</v>
      </c>
      <c r="G226" s="81">
        <v>4000</v>
      </c>
      <c r="I226" s="3" t="s">
        <v>632</v>
      </c>
      <c r="J226" t="s">
        <v>1919</v>
      </c>
      <c r="L22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26"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LED-T5C3FT840</v>
      </c>
    </row>
    <row r="227" spans="1:13" hidden="1" x14ac:dyDescent="0.25">
      <c r="A227" t="s">
        <v>414</v>
      </c>
      <c r="B227" s="79" t="s">
        <v>1405</v>
      </c>
      <c r="C227" t="s">
        <v>297</v>
      </c>
      <c r="D227">
        <v>3</v>
      </c>
      <c r="E227">
        <v>2</v>
      </c>
      <c r="F227" cm="1">
        <f t="array" ref="F227">_xlfn.IFS(Lutron_CFlex_Lookup[[#This Row],[Kit Lamp Qty]]=1,24,Lutron_CFlex_Lookup[[#This Row],[Kit Lamp Qty]]=2,12,Lutron_CFlex_Lookup[[#This Row],[Kit Lamp Qty]]=3,8)</f>
        <v>12</v>
      </c>
      <c r="G227" s="81">
        <v>4000</v>
      </c>
      <c r="I227" t="s">
        <v>632</v>
      </c>
      <c r="J227" t="s">
        <v>1875</v>
      </c>
      <c r="K227" s="2" t="s">
        <v>2179</v>
      </c>
      <c r="L227"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27"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LED-T5C3FT840</v>
      </c>
    </row>
    <row r="228" spans="1:13" hidden="1" x14ac:dyDescent="0.25">
      <c r="A228" t="s">
        <v>1816</v>
      </c>
      <c r="B228" s="79" t="s">
        <v>50</v>
      </c>
      <c r="C228" s="3" t="s">
        <v>297</v>
      </c>
      <c r="D228" s="3">
        <v>3</v>
      </c>
      <c r="E228">
        <v>2</v>
      </c>
      <c r="F228" cm="1">
        <f t="array" ref="F228">_xlfn.IFS(Lutron_CFlex_Lookup[[#This Row],[Kit Lamp Qty]]=1,24,Lutron_CFlex_Lookup[[#This Row],[Kit Lamp Qty]]=2,12,Lutron_CFlex_Lookup[[#This Row],[Kit Lamp Qty]]=3,8)</f>
        <v>12</v>
      </c>
      <c r="G228" s="81">
        <v>5000</v>
      </c>
      <c r="I228" s="3" t="s">
        <v>632</v>
      </c>
      <c r="J228" t="s">
        <v>1920</v>
      </c>
      <c r="L22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28"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LED-T5C3FT850</v>
      </c>
    </row>
    <row r="229" spans="1:13" hidden="1" x14ac:dyDescent="0.25">
      <c r="A229" t="s">
        <v>1728</v>
      </c>
      <c r="B229" s="79" t="s">
        <v>1405</v>
      </c>
      <c r="C229" t="s">
        <v>297</v>
      </c>
      <c r="D229">
        <v>3</v>
      </c>
      <c r="E229">
        <v>2</v>
      </c>
      <c r="F229" cm="1">
        <f t="array" ref="F229">_xlfn.IFS(Lutron_CFlex_Lookup[[#This Row],[Kit Lamp Qty]]=1,24,Lutron_CFlex_Lookup[[#This Row],[Kit Lamp Qty]]=2,12,Lutron_CFlex_Lookup[[#This Row],[Kit Lamp Qty]]=3,8)</f>
        <v>12</v>
      </c>
      <c r="G229" s="81">
        <v>5000</v>
      </c>
      <c r="I229" t="s">
        <v>632</v>
      </c>
      <c r="J229" t="s">
        <v>1876</v>
      </c>
      <c r="K229" s="2" t="s">
        <v>2180</v>
      </c>
      <c r="L229"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29"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LED-T5C3FT850</v>
      </c>
    </row>
    <row r="230" spans="1:13" hidden="1" x14ac:dyDescent="0.25">
      <c r="A230" t="s">
        <v>1817</v>
      </c>
      <c r="B230" s="79" t="s">
        <v>50</v>
      </c>
      <c r="C230" s="3" t="s">
        <v>297</v>
      </c>
      <c r="D230" s="3">
        <v>3</v>
      </c>
      <c r="E230">
        <v>3</v>
      </c>
      <c r="F230" cm="1">
        <f t="array" ref="F230">_xlfn.IFS(Lutron_CFlex_Lookup[[#This Row],[Kit Lamp Qty]]=1,24,Lutron_CFlex_Lookup[[#This Row],[Kit Lamp Qty]]=2,12,Lutron_CFlex_Lookup[[#This Row],[Kit Lamp Qty]]=3,8)</f>
        <v>8</v>
      </c>
      <c r="G230" s="81">
        <v>3000</v>
      </c>
      <c r="I230" s="3" t="s">
        <v>632</v>
      </c>
      <c r="J230" t="s">
        <v>2107</v>
      </c>
      <c r="L23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30"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LED-T5C3FT830</v>
      </c>
    </row>
    <row r="231" spans="1:13" hidden="1" x14ac:dyDescent="0.25">
      <c r="A231" t="s">
        <v>1729</v>
      </c>
      <c r="B231" s="79" t="s">
        <v>1405</v>
      </c>
      <c r="C231" t="s">
        <v>297</v>
      </c>
      <c r="D231">
        <v>3</v>
      </c>
      <c r="E231">
        <v>3</v>
      </c>
      <c r="F231" cm="1">
        <f t="array" ref="F231">_xlfn.IFS(Lutron_CFlex_Lookup[[#This Row],[Kit Lamp Qty]]=1,24,Lutron_CFlex_Lookup[[#This Row],[Kit Lamp Qty]]=2,12,Lutron_CFlex_Lookup[[#This Row],[Kit Lamp Qty]]=3,8)</f>
        <v>8</v>
      </c>
      <c r="G231" s="81">
        <v>3000</v>
      </c>
      <c r="I231" t="s">
        <v>632</v>
      </c>
      <c r="J231" t="s">
        <v>2083</v>
      </c>
      <c r="K231" s="2" t="s">
        <v>2144</v>
      </c>
      <c r="L231"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31"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LED-T5C3FT830</v>
      </c>
    </row>
    <row r="232" spans="1:13" hidden="1" x14ac:dyDescent="0.25">
      <c r="A232" t="s">
        <v>1818</v>
      </c>
      <c r="B232" s="79" t="s">
        <v>50</v>
      </c>
      <c r="C232" s="3" t="s">
        <v>297</v>
      </c>
      <c r="D232" s="3">
        <v>3</v>
      </c>
      <c r="E232">
        <v>3</v>
      </c>
      <c r="F232" cm="1">
        <f t="array" ref="F232">_xlfn.IFS(Lutron_CFlex_Lookup[[#This Row],[Kit Lamp Qty]]=1,24,Lutron_CFlex_Lookup[[#This Row],[Kit Lamp Qty]]=2,12,Lutron_CFlex_Lookup[[#This Row],[Kit Lamp Qty]]=3,8)</f>
        <v>8</v>
      </c>
      <c r="G232" s="81">
        <v>3500</v>
      </c>
      <c r="I232" s="3" t="s">
        <v>632</v>
      </c>
      <c r="J232" t="s">
        <v>2108</v>
      </c>
      <c r="L23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3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LED-T5C3FT835</v>
      </c>
    </row>
    <row r="233" spans="1:13" hidden="1" x14ac:dyDescent="0.25">
      <c r="A233" t="s">
        <v>1730</v>
      </c>
      <c r="B233" s="79" t="s">
        <v>1405</v>
      </c>
      <c r="C233" t="s">
        <v>297</v>
      </c>
      <c r="D233">
        <v>3</v>
      </c>
      <c r="E233">
        <v>3</v>
      </c>
      <c r="F233" cm="1">
        <f t="array" ref="F233">_xlfn.IFS(Lutron_CFlex_Lookup[[#This Row],[Kit Lamp Qty]]=1,24,Lutron_CFlex_Lookup[[#This Row],[Kit Lamp Qty]]=2,12,Lutron_CFlex_Lookup[[#This Row],[Kit Lamp Qty]]=3,8)</f>
        <v>8</v>
      </c>
      <c r="G233" s="81">
        <v>3500</v>
      </c>
      <c r="I233" t="s">
        <v>632</v>
      </c>
      <c r="J233" t="s">
        <v>2084</v>
      </c>
      <c r="K233" s="2" t="s">
        <v>2145</v>
      </c>
      <c r="L233"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33"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LED-T5C3FT835</v>
      </c>
    </row>
    <row r="234" spans="1:13" hidden="1" x14ac:dyDescent="0.25">
      <c r="A234" t="s">
        <v>1819</v>
      </c>
      <c r="B234" s="79" t="s">
        <v>50</v>
      </c>
      <c r="C234" s="3" t="s">
        <v>297</v>
      </c>
      <c r="D234" s="3">
        <v>3</v>
      </c>
      <c r="E234">
        <v>3</v>
      </c>
      <c r="F234" cm="1">
        <f t="array" ref="F234">_xlfn.IFS(Lutron_CFlex_Lookup[[#This Row],[Kit Lamp Qty]]=1,24,Lutron_CFlex_Lookup[[#This Row],[Kit Lamp Qty]]=2,12,Lutron_CFlex_Lookup[[#This Row],[Kit Lamp Qty]]=3,8)</f>
        <v>8</v>
      </c>
      <c r="G234" s="81">
        <v>4000</v>
      </c>
      <c r="I234" s="3" t="s">
        <v>632</v>
      </c>
      <c r="J234" t="s">
        <v>2109</v>
      </c>
      <c r="L23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34"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LED-T5C3FT840</v>
      </c>
    </row>
    <row r="235" spans="1:13" hidden="1" x14ac:dyDescent="0.25">
      <c r="A235" t="s">
        <v>1731</v>
      </c>
      <c r="B235" s="79" t="s">
        <v>1405</v>
      </c>
      <c r="C235" t="s">
        <v>297</v>
      </c>
      <c r="D235">
        <v>3</v>
      </c>
      <c r="E235">
        <v>3</v>
      </c>
      <c r="F235" cm="1">
        <f t="array" ref="F235">_xlfn.IFS(Lutron_CFlex_Lookup[[#This Row],[Kit Lamp Qty]]=1,24,Lutron_CFlex_Lookup[[#This Row],[Kit Lamp Qty]]=2,12,Lutron_CFlex_Lookup[[#This Row],[Kit Lamp Qty]]=3,8)</f>
        <v>8</v>
      </c>
      <c r="G235" s="81">
        <v>4000</v>
      </c>
      <c r="I235" t="s">
        <v>632</v>
      </c>
      <c r="J235" t="s">
        <v>2085</v>
      </c>
      <c r="K235" s="2" t="s">
        <v>2146</v>
      </c>
      <c r="L235"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35"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LED-T5C3FT840</v>
      </c>
    </row>
    <row r="236" spans="1:13" hidden="1" x14ac:dyDescent="0.25">
      <c r="A236" t="s">
        <v>1820</v>
      </c>
      <c r="B236" s="79" t="s">
        <v>50</v>
      </c>
      <c r="C236" s="3" t="s">
        <v>297</v>
      </c>
      <c r="D236" s="3">
        <v>3</v>
      </c>
      <c r="E236">
        <v>3</v>
      </c>
      <c r="F236" cm="1">
        <f t="array" ref="F236">_xlfn.IFS(Lutron_CFlex_Lookup[[#This Row],[Kit Lamp Qty]]=1,24,Lutron_CFlex_Lookup[[#This Row],[Kit Lamp Qty]]=2,12,Lutron_CFlex_Lookup[[#This Row],[Kit Lamp Qty]]=3,8)</f>
        <v>8</v>
      </c>
      <c r="G236" s="81">
        <v>5000</v>
      </c>
      <c r="I236" s="3" t="s">
        <v>632</v>
      </c>
      <c r="J236" t="s">
        <v>2110</v>
      </c>
      <c r="L23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36"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LED-T5C3FT850</v>
      </c>
    </row>
    <row r="237" spans="1:13" hidden="1" x14ac:dyDescent="0.25">
      <c r="A237" t="s">
        <v>1732</v>
      </c>
      <c r="B237" s="79" t="s">
        <v>1405</v>
      </c>
      <c r="C237" t="s">
        <v>297</v>
      </c>
      <c r="D237">
        <v>3</v>
      </c>
      <c r="E237">
        <v>3</v>
      </c>
      <c r="F237" cm="1">
        <f t="array" ref="F237">_xlfn.IFS(Lutron_CFlex_Lookup[[#This Row],[Kit Lamp Qty]]=1,24,Lutron_CFlex_Lookup[[#This Row],[Kit Lamp Qty]]=2,12,Lutron_CFlex_Lookup[[#This Row],[Kit Lamp Qty]]=3,8)</f>
        <v>8</v>
      </c>
      <c r="G237" s="81">
        <v>5000</v>
      </c>
      <c r="I237" t="s">
        <v>632</v>
      </c>
      <c r="J237" t="s">
        <v>2086</v>
      </c>
      <c r="K237" s="2" t="s">
        <v>2147</v>
      </c>
      <c r="L237"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37"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LED-T5C3FT850</v>
      </c>
    </row>
    <row r="238" spans="1:13" hidden="1" x14ac:dyDescent="0.25">
      <c r="A238" t="s">
        <v>301</v>
      </c>
      <c r="B238" s="86" t="s">
        <v>50</v>
      </c>
      <c r="C238" t="s">
        <v>297</v>
      </c>
      <c r="D238" t="s">
        <v>1406</v>
      </c>
      <c r="E238">
        <v>1</v>
      </c>
      <c r="F238" cm="1">
        <f t="array" ref="F238">_xlfn.IFS(Lutron_CFlex_Lookup[[#This Row],[Kit Lamp Qty]]=1,24,Lutron_CFlex_Lookup[[#This Row],[Kit Lamp Qty]]=2,12,Lutron_CFlex_Lookup[[#This Row],[Kit Lamp Qty]]=3,8)</f>
        <v>24</v>
      </c>
      <c r="G238" s="81">
        <v>3000</v>
      </c>
      <c r="H238">
        <v>3539</v>
      </c>
      <c r="I238" t="s">
        <v>632</v>
      </c>
      <c r="J238" t="s">
        <v>1650</v>
      </c>
      <c r="L23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38"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LED-T5C4FT830</v>
      </c>
    </row>
    <row r="239" spans="1:13" hidden="1" x14ac:dyDescent="0.25">
      <c r="A239" t="s">
        <v>298</v>
      </c>
      <c r="B239" s="86" t="s">
        <v>1405</v>
      </c>
      <c r="C239" t="s">
        <v>297</v>
      </c>
      <c r="D239" t="s">
        <v>1406</v>
      </c>
      <c r="E239">
        <v>1</v>
      </c>
      <c r="F239" cm="1">
        <f t="array" ref="F239">_xlfn.IFS(Lutron_CFlex_Lookup[[#This Row],[Kit Lamp Qty]]=1,24,Lutron_CFlex_Lookup[[#This Row],[Kit Lamp Qty]]=2,12,Lutron_CFlex_Lookup[[#This Row],[Kit Lamp Qty]]=3,8)</f>
        <v>24</v>
      </c>
      <c r="G239" s="81">
        <v>3000</v>
      </c>
      <c r="H239">
        <v>3539</v>
      </c>
      <c r="I239" t="s">
        <v>632</v>
      </c>
      <c r="J239" t="s">
        <v>1635</v>
      </c>
      <c r="K239" t="s">
        <v>2235</v>
      </c>
      <c r="L239"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39"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LED-T5C4FT830</v>
      </c>
    </row>
    <row r="240" spans="1:13" hidden="1" x14ac:dyDescent="0.25">
      <c r="A240" t="s">
        <v>302</v>
      </c>
      <c r="B240" s="86" t="s">
        <v>50</v>
      </c>
      <c r="C240" t="s">
        <v>297</v>
      </c>
      <c r="D240" t="s">
        <v>1406</v>
      </c>
      <c r="E240">
        <v>1</v>
      </c>
      <c r="F240" cm="1">
        <f t="array" ref="F240">_xlfn.IFS(Lutron_CFlex_Lookup[[#This Row],[Kit Lamp Qty]]=1,24,Lutron_CFlex_Lookup[[#This Row],[Kit Lamp Qty]]=2,12,Lutron_CFlex_Lookup[[#This Row],[Kit Lamp Qty]]=3,8)</f>
        <v>24</v>
      </c>
      <c r="G240" s="81">
        <v>3500</v>
      </c>
      <c r="H240">
        <v>3539</v>
      </c>
      <c r="I240" t="s">
        <v>632</v>
      </c>
      <c r="J240" t="s">
        <v>1651</v>
      </c>
      <c r="L24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40"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LED-T5C4FT835</v>
      </c>
    </row>
    <row r="241" spans="1:13" hidden="1" x14ac:dyDescent="0.25">
      <c r="A241" t="s">
        <v>299</v>
      </c>
      <c r="B241" s="86" t="s">
        <v>1405</v>
      </c>
      <c r="C241" t="s">
        <v>297</v>
      </c>
      <c r="D241" t="s">
        <v>1406</v>
      </c>
      <c r="E241">
        <v>1</v>
      </c>
      <c r="F241" cm="1">
        <f t="array" ref="F241">_xlfn.IFS(Lutron_CFlex_Lookup[[#This Row],[Kit Lamp Qty]]=1,24,Lutron_CFlex_Lookup[[#This Row],[Kit Lamp Qty]]=2,12,Lutron_CFlex_Lookup[[#This Row],[Kit Lamp Qty]]=3,8)</f>
        <v>24</v>
      </c>
      <c r="G241" s="81">
        <v>3500</v>
      </c>
      <c r="H241">
        <v>3539</v>
      </c>
      <c r="I241" t="s">
        <v>632</v>
      </c>
      <c r="J241" t="s">
        <v>1636</v>
      </c>
      <c r="K241" t="s">
        <v>2236</v>
      </c>
      <c r="L241"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41"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LED-T5C4FT835</v>
      </c>
    </row>
    <row r="242" spans="1:13" hidden="1" x14ac:dyDescent="0.25">
      <c r="A242" t="s">
        <v>303</v>
      </c>
      <c r="B242" s="86" t="s">
        <v>50</v>
      </c>
      <c r="C242" t="s">
        <v>297</v>
      </c>
      <c r="D242" t="s">
        <v>1406</v>
      </c>
      <c r="E242">
        <v>1</v>
      </c>
      <c r="F242" cm="1">
        <f t="array" ref="F242">_xlfn.IFS(Lutron_CFlex_Lookup[[#This Row],[Kit Lamp Qty]]=1,24,Lutron_CFlex_Lookup[[#This Row],[Kit Lamp Qty]]=2,12,Lutron_CFlex_Lookup[[#This Row],[Kit Lamp Qty]]=3,8)</f>
        <v>24</v>
      </c>
      <c r="G242" s="81">
        <v>4000</v>
      </c>
      <c r="H242">
        <v>3539</v>
      </c>
      <c r="I242" t="s">
        <v>632</v>
      </c>
      <c r="J242" t="s">
        <v>1652</v>
      </c>
      <c r="L24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42"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LED-T5C4FT840</v>
      </c>
    </row>
    <row r="243" spans="1:13" hidden="1" x14ac:dyDescent="0.25">
      <c r="A243" t="s">
        <v>300</v>
      </c>
      <c r="B243" s="86" t="s">
        <v>1405</v>
      </c>
      <c r="C243" s="90" t="s">
        <v>297</v>
      </c>
      <c r="D243" t="s">
        <v>1406</v>
      </c>
      <c r="E243">
        <v>1</v>
      </c>
      <c r="F243" cm="1">
        <f t="array" ref="F243">_xlfn.IFS(Lutron_CFlex_Lookup[[#This Row],[Kit Lamp Qty]]=1,24,Lutron_CFlex_Lookup[[#This Row],[Kit Lamp Qty]]=2,12,Lutron_CFlex_Lookup[[#This Row],[Kit Lamp Qty]]=3,8)</f>
        <v>24</v>
      </c>
      <c r="G243" s="81">
        <v>4000</v>
      </c>
      <c r="H243">
        <v>3539</v>
      </c>
      <c r="I243" t="s">
        <v>632</v>
      </c>
      <c r="J243" t="s">
        <v>1637</v>
      </c>
      <c r="K243" t="s">
        <v>2237</v>
      </c>
      <c r="L243"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43"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LED-T5C4FT840</v>
      </c>
    </row>
    <row r="244" spans="1:13" hidden="1" x14ac:dyDescent="0.25">
      <c r="A244" t="s">
        <v>1821</v>
      </c>
      <c r="B244" s="79" t="s">
        <v>50</v>
      </c>
      <c r="C244" s="3" t="s">
        <v>297</v>
      </c>
      <c r="D244" s="3">
        <v>4</v>
      </c>
      <c r="E244">
        <v>1</v>
      </c>
      <c r="F244" cm="1">
        <f t="array" ref="F244">_xlfn.IFS(Lutron_CFlex_Lookup[[#This Row],[Kit Lamp Qty]]=1,24,Lutron_CFlex_Lookup[[#This Row],[Kit Lamp Qty]]=2,12,Lutron_CFlex_Lookup[[#This Row],[Kit Lamp Qty]]=3,8)</f>
        <v>24</v>
      </c>
      <c r="G244" s="81">
        <v>5000</v>
      </c>
      <c r="H244">
        <v>3539</v>
      </c>
      <c r="I244" s="3" t="s">
        <v>632</v>
      </c>
      <c r="J244" t="s">
        <v>2062</v>
      </c>
      <c r="L24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44"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LED-T5C4FT850</v>
      </c>
    </row>
    <row r="245" spans="1:13" hidden="1" x14ac:dyDescent="0.25">
      <c r="A245" t="s">
        <v>1733</v>
      </c>
      <c r="B245" s="79" t="s">
        <v>1405</v>
      </c>
      <c r="C245" t="s">
        <v>297</v>
      </c>
      <c r="D245">
        <v>4</v>
      </c>
      <c r="E245">
        <v>1</v>
      </c>
      <c r="F245" cm="1">
        <f t="array" ref="F245">_xlfn.IFS(Lutron_CFlex_Lookup[[#This Row],[Kit Lamp Qty]]=1,24,Lutron_CFlex_Lookup[[#This Row],[Kit Lamp Qty]]=2,12,Lutron_CFlex_Lookup[[#This Row],[Kit Lamp Qty]]=3,8)</f>
        <v>24</v>
      </c>
      <c r="G245" s="81">
        <v>5000</v>
      </c>
      <c r="H245">
        <v>3539</v>
      </c>
      <c r="I245" t="s">
        <v>632</v>
      </c>
      <c r="J245" t="s">
        <v>1992</v>
      </c>
      <c r="K245" s="2" t="s">
        <v>2216</v>
      </c>
      <c r="L245"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45"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LED-T5C4FT850</v>
      </c>
    </row>
    <row r="246" spans="1:13" hidden="1" x14ac:dyDescent="0.25">
      <c r="A246" t="s">
        <v>308</v>
      </c>
      <c r="B246" s="86" t="s">
        <v>50</v>
      </c>
      <c r="C246" t="s">
        <v>297</v>
      </c>
      <c r="D246" t="s">
        <v>1406</v>
      </c>
      <c r="E246">
        <v>2</v>
      </c>
      <c r="F246" cm="1">
        <f t="array" ref="F246">_xlfn.IFS(Lutron_CFlex_Lookup[[#This Row],[Kit Lamp Qty]]=1,24,Lutron_CFlex_Lookup[[#This Row],[Kit Lamp Qty]]=2,12,Lutron_CFlex_Lookup[[#This Row],[Kit Lamp Qty]]=3,8)</f>
        <v>12</v>
      </c>
      <c r="G246" s="81">
        <v>3000</v>
      </c>
      <c r="H246">
        <v>7079</v>
      </c>
      <c r="I246" t="s">
        <v>632</v>
      </c>
      <c r="J246" t="s">
        <v>1623</v>
      </c>
      <c r="L24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46"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LED-T5C4FT830</v>
      </c>
    </row>
    <row r="247" spans="1:13" hidden="1" x14ac:dyDescent="0.25">
      <c r="A247" t="s">
        <v>305</v>
      </c>
      <c r="B247" s="86" t="s">
        <v>1405</v>
      </c>
      <c r="C247" t="s">
        <v>297</v>
      </c>
      <c r="D247" t="s">
        <v>1406</v>
      </c>
      <c r="E247">
        <v>2</v>
      </c>
      <c r="F247" cm="1">
        <f t="array" ref="F247">_xlfn.IFS(Lutron_CFlex_Lookup[[#This Row],[Kit Lamp Qty]]=1,24,Lutron_CFlex_Lookup[[#This Row],[Kit Lamp Qty]]=2,12,Lutron_CFlex_Lookup[[#This Row],[Kit Lamp Qty]]=3,8)</f>
        <v>12</v>
      </c>
      <c r="G247" s="81">
        <v>3000</v>
      </c>
      <c r="H247">
        <v>7079</v>
      </c>
      <c r="I247" t="s">
        <v>632</v>
      </c>
      <c r="J247" t="s">
        <v>1611</v>
      </c>
      <c r="K247" t="s">
        <v>2137</v>
      </c>
      <c r="L247"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47"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LED-T5C4FT830</v>
      </c>
    </row>
    <row r="248" spans="1:13" hidden="1" x14ac:dyDescent="0.25">
      <c r="A248" t="s">
        <v>309</v>
      </c>
      <c r="B248" s="86" t="s">
        <v>50</v>
      </c>
      <c r="C248" t="s">
        <v>297</v>
      </c>
      <c r="D248" t="s">
        <v>1406</v>
      </c>
      <c r="E248">
        <v>2</v>
      </c>
      <c r="F248" cm="1">
        <f t="array" ref="F248">_xlfn.IFS(Lutron_CFlex_Lookup[[#This Row],[Kit Lamp Qty]]=1,24,Lutron_CFlex_Lookup[[#This Row],[Kit Lamp Qty]]=2,12,Lutron_CFlex_Lookup[[#This Row],[Kit Lamp Qty]]=3,8)</f>
        <v>12</v>
      </c>
      <c r="G248" s="81">
        <v>3500</v>
      </c>
      <c r="H248">
        <v>7079</v>
      </c>
      <c r="I248" t="s">
        <v>632</v>
      </c>
      <c r="J248" t="s">
        <v>1624</v>
      </c>
      <c r="L24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48"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LED-T5C4FT835</v>
      </c>
    </row>
    <row r="249" spans="1:13" hidden="1" x14ac:dyDescent="0.25">
      <c r="A249" t="s">
        <v>306</v>
      </c>
      <c r="B249" s="86" t="s">
        <v>1405</v>
      </c>
      <c r="C249" t="s">
        <v>297</v>
      </c>
      <c r="D249" t="s">
        <v>1406</v>
      </c>
      <c r="E249">
        <v>2</v>
      </c>
      <c r="F249" cm="1">
        <f t="array" ref="F249">_xlfn.IFS(Lutron_CFlex_Lookup[[#This Row],[Kit Lamp Qty]]=1,24,Lutron_CFlex_Lookup[[#This Row],[Kit Lamp Qty]]=2,12,Lutron_CFlex_Lookup[[#This Row],[Kit Lamp Qty]]=3,8)</f>
        <v>12</v>
      </c>
      <c r="G249" s="81">
        <v>3500</v>
      </c>
      <c r="H249">
        <v>7079</v>
      </c>
      <c r="I249" t="s">
        <v>632</v>
      </c>
      <c r="J249" t="s">
        <v>1612</v>
      </c>
      <c r="K249" t="s">
        <v>2138</v>
      </c>
      <c r="L249"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49"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LED-T5C4FT835</v>
      </c>
    </row>
    <row r="250" spans="1:13" hidden="1" x14ac:dyDescent="0.25">
      <c r="A250" t="s">
        <v>310</v>
      </c>
      <c r="B250" s="86" t="s">
        <v>50</v>
      </c>
      <c r="C250" t="s">
        <v>297</v>
      </c>
      <c r="D250" t="s">
        <v>1406</v>
      </c>
      <c r="E250">
        <v>2</v>
      </c>
      <c r="F250" cm="1">
        <f t="array" ref="F250">_xlfn.IFS(Lutron_CFlex_Lookup[[#This Row],[Kit Lamp Qty]]=1,24,Lutron_CFlex_Lookup[[#This Row],[Kit Lamp Qty]]=2,12,Lutron_CFlex_Lookup[[#This Row],[Kit Lamp Qty]]=3,8)</f>
        <v>12</v>
      </c>
      <c r="G250" s="81">
        <v>4000</v>
      </c>
      <c r="H250">
        <v>7079</v>
      </c>
      <c r="I250" t="s">
        <v>632</v>
      </c>
      <c r="J250" t="s">
        <v>1625</v>
      </c>
      <c r="L25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50"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LED-T5C4FT840</v>
      </c>
    </row>
    <row r="251" spans="1:13" hidden="1" x14ac:dyDescent="0.25">
      <c r="A251" t="s">
        <v>307</v>
      </c>
      <c r="B251" s="86" t="s">
        <v>1405</v>
      </c>
      <c r="C251" t="s">
        <v>297</v>
      </c>
      <c r="D251" t="s">
        <v>1406</v>
      </c>
      <c r="E251">
        <v>2</v>
      </c>
      <c r="F251" cm="1">
        <f t="array" ref="F251">_xlfn.IFS(Lutron_CFlex_Lookup[[#This Row],[Kit Lamp Qty]]=1,24,Lutron_CFlex_Lookup[[#This Row],[Kit Lamp Qty]]=2,12,Lutron_CFlex_Lookup[[#This Row],[Kit Lamp Qty]]=3,8)</f>
        <v>12</v>
      </c>
      <c r="G251" s="81">
        <v>4000</v>
      </c>
      <c r="H251">
        <v>7079</v>
      </c>
      <c r="I251" t="s">
        <v>632</v>
      </c>
      <c r="J251" t="s">
        <v>1613</v>
      </c>
      <c r="K251" t="s">
        <v>2139</v>
      </c>
      <c r="L251"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51"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LED-T5C4FT840</v>
      </c>
    </row>
    <row r="252" spans="1:13" hidden="1" x14ac:dyDescent="0.25">
      <c r="A252" t="s">
        <v>1822</v>
      </c>
      <c r="B252" s="79" t="s">
        <v>50</v>
      </c>
      <c r="C252" s="3" t="s">
        <v>297</v>
      </c>
      <c r="D252" s="3">
        <v>4</v>
      </c>
      <c r="E252">
        <v>2</v>
      </c>
      <c r="F252" cm="1">
        <f t="array" ref="F252">_xlfn.IFS(Lutron_CFlex_Lookup[[#This Row],[Kit Lamp Qty]]=1,24,Lutron_CFlex_Lookup[[#This Row],[Kit Lamp Qty]]=2,12,Lutron_CFlex_Lookup[[#This Row],[Kit Lamp Qty]]=3,8)</f>
        <v>12</v>
      </c>
      <c r="G252" s="81">
        <v>5000</v>
      </c>
      <c r="H252">
        <v>7079</v>
      </c>
      <c r="I252" s="3" t="s">
        <v>632</v>
      </c>
      <c r="J252" t="s">
        <v>1921</v>
      </c>
      <c r="L25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52"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LED-T5C4FT850</v>
      </c>
    </row>
    <row r="253" spans="1:13" hidden="1" x14ac:dyDescent="0.25">
      <c r="A253" t="s">
        <v>1734</v>
      </c>
      <c r="B253" s="79" t="s">
        <v>1405</v>
      </c>
      <c r="C253" t="s">
        <v>297</v>
      </c>
      <c r="D253">
        <v>4</v>
      </c>
      <c r="E253">
        <v>2</v>
      </c>
      <c r="F253" cm="1">
        <f t="array" ref="F253">_xlfn.IFS(Lutron_CFlex_Lookup[[#This Row],[Kit Lamp Qty]]=1,24,Lutron_CFlex_Lookup[[#This Row],[Kit Lamp Qty]]=2,12,Lutron_CFlex_Lookup[[#This Row],[Kit Lamp Qty]]=3,8)</f>
        <v>12</v>
      </c>
      <c r="G253" s="81">
        <v>5000</v>
      </c>
      <c r="H253">
        <v>7079</v>
      </c>
      <c r="I253" t="s">
        <v>632</v>
      </c>
      <c r="J253" t="s">
        <v>1877</v>
      </c>
      <c r="K253" s="2" t="s">
        <v>2181</v>
      </c>
      <c r="L253"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53" s="2" t="str">
        <f>_xlfn.XLOOKUP(Lutron_CFlex_Lookup[[#This Row],[C-FLEX Individual Kit]],Grackle_LED_Map[LED EcoSystem SKU],Grackle_LED_Map[Lutron Lamp SKU],"",0)&amp;_xlfn.XLOOKUP(Lutron_CFlex_Lookup[[#This Row],[C-FLEX Individual Kit]],Grackle_LED_Map[LED 3W SKU with and without BMF],Grackle_LED_Map[Lutron Lamp SKU],"",0)</f>
        <v>LED-T5C4FT850</v>
      </c>
    </row>
    <row r="254" spans="1:13" hidden="1" x14ac:dyDescent="0.25">
      <c r="A254" t="s">
        <v>240</v>
      </c>
      <c r="B254" s="79" t="s">
        <v>50</v>
      </c>
      <c r="C254" s="3" t="s">
        <v>111</v>
      </c>
      <c r="D254" s="3">
        <v>2</v>
      </c>
      <c r="E254">
        <v>1</v>
      </c>
      <c r="F254" cm="1">
        <f t="array" ref="F254">_xlfn.IFS(Lutron_CFlex_Lookup[[#This Row],[Kit Lamp Qty]]=1,24,Lutron_CFlex_Lookup[[#This Row],[Kit Lamp Qty]]=2,12,Lutron_CFlex_Lookup[[#This Row],[Kit Lamp Qty]]=3,8)</f>
        <v>24</v>
      </c>
      <c r="G254" s="81">
        <v>3000</v>
      </c>
      <c r="H254">
        <v>1496</v>
      </c>
      <c r="I254" s="3" t="s">
        <v>632</v>
      </c>
      <c r="J254" t="s">
        <v>2063</v>
      </c>
      <c r="L25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54"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LED-T8C2FT830</v>
      </c>
    </row>
    <row r="255" spans="1:13" hidden="1" x14ac:dyDescent="0.25">
      <c r="A255" t="s">
        <v>462</v>
      </c>
      <c r="B255" s="79" t="s">
        <v>1405</v>
      </c>
      <c r="C255" t="s">
        <v>111</v>
      </c>
      <c r="D255">
        <v>2</v>
      </c>
      <c r="E255">
        <v>1</v>
      </c>
      <c r="F255" cm="1">
        <f t="array" ref="F255">_xlfn.IFS(Lutron_CFlex_Lookup[[#This Row],[Kit Lamp Qty]]=1,24,Lutron_CFlex_Lookup[[#This Row],[Kit Lamp Qty]]=2,12,Lutron_CFlex_Lookup[[#This Row],[Kit Lamp Qty]]=3,8)</f>
        <v>24</v>
      </c>
      <c r="G255" s="81">
        <v>3000</v>
      </c>
      <c r="H255">
        <v>1496</v>
      </c>
      <c r="I255" t="s">
        <v>632</v>
      </c>
      <c r="J255" t="s">
        <v>1993</v>
      </c>
      <c r="K255" s="2" t="s">
        <v>2217</v>
      </c>
      <c r="L255" s="2" t="str">
        <f>_xlfn.XLOOKUP(Lutron_CFlex_Lookup[[#This Row],[C-FLEX Individual Kit]],Grackle_LED_Map[LED EcoSystem SKU],Grackle_LED_Map[EcoSystem Drivers],"",0)&amp;_xlfn.XLOOKUP(Lutron_CFlex_Lookup[[#This Row],[C-FLEX Individual Kit]],Grackle_LED_Map[LED 3W SKU with and without BMF],Grackle_LED_Map[3W Drivers],"",0)</f>
        <v>LDE1MNJA-1</v>
      </c>
      <c r="M255"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LED-T8C2FT830</v>
      </c>
    </row>
    <row r="256" spans="1:13" hidden="1" x14ac:dyDescent="0.25">
      <c r="A256" t="s">
        <v>241</v>
      </c>
      <c r="B256" s="79" t="s">
        <v>50</v>
      </c>
      <c r="C256" s="3" t="s">
        <v>111</v>
      </c>
      <c r="D256" s="3">
        <v>2</v>
      </c>
      <c r="E256">
        <v>1</v>
      </c>
      <c r="F256" cm="1">
        <f t="array" ref="F256">_xlfn.IFS(Lutron_CFlex_Lookup[[#This Row],[Kit Lamp Qty]]=1,24,Lutron_CFlex_Lookup[[#This Row],[Kit Lamp Qty]]=2,12,Lutron_CFlex_Lookup[[#This Row],[Kit Lamp Qty]]=3,8)</f>
        <v>24</v>
      </c>
      <c r="G256" s="81">
        <v>3500</v>
      </c>
      <c r="H256">
        <v>1496</v>
      </c>
      <c r="I256" s="3" t="s">
        <v>632</v>
      </c>
      <c r="J256" t="s">
        <v>2064</v>
      </c>
      <c r="L25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56"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LED-T8C2FT835</v>
      </c>
    </row>
    <row r="257" spans="1:13" hidden="1" x14ac:dyDescent="0.25">
      <c r="A257" t="s">
        <v>463</v>
      </c>
      <c r="B257" s="79" t="s">
        <v>1405</v>
      </c>
      <c r="C257" t="s">
        <v>111</v>
      </c>
      <c r="D257">
        <v>2</v>
      </c>
      <c r="E257">
        <v>1</v>
      </c>
      <c r="F257" cm="1">
        <f t="array" ref="F257">_xlfn.IFS(Lutron_CFlex_Lookup[[#This Row],[Kit Lamp Qty]]=1,24,Lutron_CFlex_Lookup[[#This Row],[Kit Lamp Qty]]=2,12,Lutron_CFlex_Lookup[[#This Row],[Kit Lamp Qty]]=3,8)</f>
        <v>24</v>
      </c>
      <c r="G257" s="81">
        <v>3500</v>
      </c>
      <c r="H257">
        <v>1496</v>
      </c>
      <c r="I257" t="s">
        <v>632</v>
      </c>
      <c r="J257" t="s">
        <v>1994</v>
      </c>
      <c r="K257" s="2" t="s">
        <v>2218</v>
      </c>
      <c r="L257" s="2" t="str">
        <f>_xlfn.XLOOKUP(Lutron_CFlex_Lookup[[#This Row],[C-FLEX Individual Kit]],Grackle_LED_Map[LED EcoSystem SKU],Grackle_LED_Map[EcoSystem Drivers],"",0)&amp;_xlfn.XLOOKUP(Lutron_CFlex_Lookup[[#This Row],[C-FLEX Individual Kit]],Grackle_LED_Map[LED 3W SKU with and without BMF],Grackle_LED_Map[3W Drivers],"",0)</f>
        <v>LDE1MNJA-1</v>
      </c>
      <c r="M257"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LED-T8C2FT835</v>
      </c>
    </row>
    <row r="258" spans="1:13" hidden="1" x14ac:dyDescent="0.25">
      <c r="A258" t="s">
        <v>242</v>
      </c>
      <c r="B258" s="79" t="s">
        <v>50</v>
      </c>
      <c r="C258" s="3" t="s">
        <v>111</v>
      </c>
      <c r="D258" s="3">
        <v>2</v>
      </c>
      <c r="E258">
        <v>1</v>
      </c>
      <c r="F258" cm="1">
        <f t="array" ref="F258">_xlfn.IFS(Lutron_CFlex_Lookup[[#This Row],[Kit Lamp Qty]]=1,24,Lutron_CFlex_Lookup[[#This Row],[Kit Lamp Qty]]=2,12,Lutron_CFlex_Lookup[[#This Row],[Kit Lamp Qty]]=3,8)</f>
        <v>24</v>
      </c>
      <c r="G258" s="81">
        <v>4000</v>
      </c>
      <c r="H258">
        <v>1496</v>
      </c>
      <c r="I258" s="3" t="s">
        <v>632</v>
      </c>
      <c r="J258" t="s">
        <v>2065</v>
      </c>
      <c r="L25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58"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LED-T8C2FT840</v>
      </c>
    </row>
    <row r="259" spans="1:13" hidden="1" x14ac:dyDescent="0.25">
      <c r="A259" t="s">
        <v>464</v>
      </c>
      <c r="B259" s="79" t="s">
        <v>1405</v>
      </c>
      <c r="C259" t="s">
        <v>111</v>
      </c>
      <c r="D259">
        <v>2</v>
      </c>
      <c r="E259">
        <v>1</v>
      </c>
      <c r="F259" cm="1">
        <f t="array" ref="F259">_xlfn.IFS(Lutron_CFlex_Lookup[[#This Row],[Kit Lamp Qty]]=1,24,Lutron_CFlex_Lookup[[#This Row],[Kit Lamp Qty]]=2,12,Lutron_CFlex_Lookup[[#This Row],[Kit Lamp Qty]]=3,8)</f>
        <v>24</v>
      </c>
      <c r="G259" s="81">
        <v>4000</v>
      </c>
      <c r="H259">
        <v>1496</v>
      </c>
      <c r="I259" t="s">
        <v>632</v>
      </c>
      <c r="J259" t="s">
        <v>1995</v>
      </c>
      <c r="K259" s="2" t="s">
        <v>2219</v>
      </c>
      <c r="L259" s="2" t="str">
        <f>_xlfn.XLOOKUP(Lutron_CFlex_Lookup[[#This Row],[C-FLEX Individual Kit]],Grackle_LED_Map[LED EcoSystem SKU],Grackle_LED_Map[EcoSystem Drivers],"",0)&amp;_xlfn.XLOOKUP(Lutron_CFlex_Lookup[[#This Row],[C-FLEX Individual Kit]],Grackle_LED_Map[LED 3W SKU with and without BMF],Grackle_LED_Map[3W Drivers],"",0)</f>
        <v>LDE1MNJA-1</v>
      </c>
      <c r="M259"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LED-T8C2FT840</v>
      </c>
    </row>
    <row r="260" spans="1:13" hidden="1" x14ac:dyDescent="0.25">
      <c r="A260" t="s">
        <v>1823</v>
      </c>
      <c r="B260" s="79" t="s">
        <v>50</v>
      </c>
      <c r="C260" s="3" t="s">
        <v>111</v>
      </c>
      <c r="D260" s="3">
        <v>2</v>
      </c>
      <c r="E260">
        <v>1</v>
      </c>
      <c r="F260" cm="1">
        <f t="array" ref="F260">_xlfn.IFS(Lutron_CFlex_Lookup[[#This Row],[Kit Lamp Qty]]=1,24,Lutron_CFlex_Lookup[[#This Row],[Kit Lamp Qty]]=2,12,Lutron_CFlex_Lookup[[#This Row],[Kit Lamp Qty]]=3,8)</f>
        <v>24</v>
      </c>
      <c r="G260" s="81">
        <v>5000</v>
      </c>
      <c r="H260">
        <v>1496</v>
      </c>
      <c r="I260" s="3" t="s">
        <v>632</v>
      </c>
      <c r="J260" t="s">
        <v>2066</v>
      </c>
      <c r="L26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60"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LED-T8C2FT850</v>
      </c>
    </row>
    <row r="261" spans="1:13" hidden="1" x14ac:dyDescent="0.25">
      <c r="A261" t="s">
        <v>1735</v>
      </c>
      <c r="B261" s="79" t="s">
        <v>1405</v>
      </c>
      <c r="C261" t="s">
        <v>111</v>
      </c>
      <c r="D261">
        <v>2</v>
      </c>
      <c r="E261">
        <v>1</v>
      </c>
      <c r="F261" cm="1">
        <f t="array" ref="F261">_xlfn.IFS(Lutron_CFlex_Lookup[[#This Row],[Kit Lamp Qty]]=1,24,Lutron_CFlex_Lookup[[#This Row],[Kit Lamp Qty]]=2,12,Lutron_CFlex_Lookup[[#This Row],[Kit Lamp Qty]]=3,8)</f>
        <v>24</v>
      </c>
      <c r="G261" s="81">
        <v>5000</v>
      </c>
      <c r="H261">
        <v>1496</v>
      </c>
      <c r="I261" t="s">
        <v>632</v>
      </c>
      <c r="J261" t="s">
        <v>1996</v>
      </c>
      <c r="K261" s="2" t="s">
        <v>2220</v>
      </c>
      <c r="L261" s="2" t="str">
        <f>_xlfn.XLOOKUP(Lutron_CFlex_Lookup[[#This Row],[C-FLEX Individual Kit]],Grackle_LED_Map[LED EcoSystem SKU],Grackle_LED_Map[EcoSystem Drivers],"",0)&amp;_xlfn.XLOOKUP(Lutron_CFlex_Lookup[[#This Row],[C-FLEX Individual Kit]],Grackle_LED_Map[LED 3W SKU with and without BMF],Grackle_LED_Map[3W Drivers],"",0)</f>
        <v>LDE1MNJA-1</v>
      </c>
      <c r="M261"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LED-T8C2FT850</v>
      </c>
    </row>
    <row r="262" spans="1:13" hidden="1" x14ac:dyDescent="0.25">
      <c r="A262" t="s">
        <v>244</v>
      </c>
      <c r="B262" s="79" t="s">
        <v>50</v>
      </c>
      <c r="C262" s="3" t="s">
        <v>111</v>
      </c>
      <c r="D262" s="3">
        <v>2</v>
      </c>
      <c r="E262">
        <v>2</v>
      </c>
      <c r="F262" cm="1">
        <f t="array" ref="F262">_xlfn.IFS(Lutron_CFlex_Lookup[[#This Row],[Kit Lamp Qty]]=1,24,Lutron_CFlex_Lookup[[#This Row],[Kit Lamp Qty]]=2,12,Lutron_CFlex_Lookup[[#This Row],[Kit Lamp Qty]]=3,8)</f>
        <v>12</v>
      </c>
      <c r="G262" s="81">
        <v>3000</v>
      </c>
      <c r="H262">
        <v>2182</v>
      </c>
      <c r="I262" s="3" t="s">
        <v>632</v>
      </c>
      <c r="J262" t="s">
        <v>1922</v>
      </c>
      <c r="L26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6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LED-T8C2FT830</v>
      </c>
    </row>
    <row r="263" spans="1:13" hidden="1" x14ac:dyDescent="0.25">
      <c r="A263" t="s">
        <v>466</v>
      </c>
      <c r="B263" s="79" t="s">
        <v>1405</v>
      </c>
      <c r="C263" t="s">
        <v>111</v>
      </c>
      <c r="D263">
        <v>2</v>
      </c>
      <c r="E263">
        <v>2</v>
      </c>
      <c r="F263" cm="1">
        <f t="array" ref="F263">_xlfn.IFS(Lutron_CFlex_Lookup[[#This Row],[Kit Lamp Qty]]=1,24,Lutron_CFlex_Lookup[[#This Row],[Kit Lamp Qty]]=2,12,Lutron_CFlex_Lookup[[#This Row],[Kit Lamp Qty]]=3,8)</f>
        <v>12</v>
      </c>
      <c r="G263" s="81">
        <v>3000</v>
      </c>
      <c r="H263">
        <v>2182</v>
      </c>
      <c r="I263" t="s">
        <v>632</v>
      </c>
      <c r="J263" t="s">
        <v>1878</v>
      </c>
      <c r="K263" s="2" t="s">
        <v>2182</v>
      </c>
      <c r="L263"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63"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LED-T8C2FT830</v>
      </c>
    </row>
    <row r="264" spans="1:13" hidden="1" x14ac:dyDescent="0.25">
      <c r="A264" t="s">
        <v>245</v>
      </c>
      <c r="B264" s="79" t="s">
        <v>50</v>
      </c>
      <c r="C264" s="3" t="s">
        <v>111</v>
      </c>
      <c r="D264" s="3">
        <v>2</v>
      </c>
      <c r="E264">
        <v>2</v>
      </c>
      <c r="F264" cm="1">
        <f t="array" ref="F264">_xlfn.IFS(Lutron_CFlex_Lookup[[#This Row],[Kit Lamp Qty]]=1,24,Lutron_CFlex_Lookup[[#This Row],[Kit Lamp Qty]]=2,12,Lutron_CFlex_Lookup[[#This Row],[Kit Lamp Qty]]=3,8)</f>
        <v>12</v>
      </c>
      <c r="G264" s="81">
        <v>3500</v>
      </c>
      <c r="H264">
        <v>2182</v>
      </c>
      <c r="I264" s="3" t="s">
        <v>632</v>
      </c>
      <c r="J264" t="s">
        <v>1923</v>
      </c>
      <c r="L26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64"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LED-T8C2FT835</v>
      </c>
    </row>
    <row r="265" spans="1:13" hidden="1" x14ac:dyDescent="0.25">
      <c r="A265" t="s">
        <v>467</v>
      </c>
      <c r="B265" s="79" t="s">
        <v>1405</v>
      </c>
      <c r="C265" t="s">
        <v>111</v>
      </c>
      <c r="D265">
        <v>2</v>
      </c>
      <c r="E265">
        <v>2</v>
      </c>
      <c r="F265" cm="1">
        <f t="array" ref="F265">_xlfn.IFS(Lutron_CFlex_Lookup[[#This Row],[Kit Lamp Qty]]=1,24,Lutron_CFlex_Lookup[[#This Row],[Kit Lamp Qty]]=2,12,Lutron_CFlex_Lookup[[#This Row],[Kit Lamp Qty]]=3,8)</f>
        <v>12</v>
      </c>
      <c r="G265" s="81">
        <v>3500</v>
      </c>
      <c r="H265">
        <v>2182</v>
      </c>
      <c r="I265" t="s">
        <v>632</v>
      </c>
      <c r="J265" t="s">
        <v>1879</v>
      </c>
      <c r="K265" s="2" t="s">
        <v>2183</v>
      </c>
      <c r="L265"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65"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LED-T8C2FT835</v>
      </c>
    </row>
    <row r="266" spans="1:13" hidden="1" x14ac:dyDescent="0.25">
      <c r="A266" t="s">
        <v>246</v>
      </c>
      <c r="B266" s="79" t="s">
        <v>50</v>
      </c>
      <c r="C266" s="3" t="s">
        <v>111</v>
      </c>
      <c r="D266" s="3">
        <v>2</v>
      </c>
      <c r="E266">
        <v>2</v>
      </c>
      <c r="F266" cm="1">
        <f t="array" ref="F266">_xlfn.IFS(Lutron_CFlex_Lookup[[#This Row],[Kit Lamp Qty]]=1,24,Lutron_CFlex_Lookup[[#This Row],[Kit Lamp Qty]]=2,12,Lutron_CFlex_Lookup[[#This Row],[Kit Lamp Qty]]=3,8)</f>
        <v>12</v>
      </c>
      <c r="G266" s="81">
        <v>4000</v>
      </c>
      <c r="H266">
        <v>2182</v>
      </c>
      <c r="I266" s="3" t="s">
        <v>632</v>
      </c>
      <c r="J266" t="s">
        <v>1924</v>
      </c>
      <c r="L26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66"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LED-T8C2FT840</v>
      </c>
    </row>
    <row r="267" spans="1:13" hidden="1" x14ac:dyDescent="0.25">
      <c r="A267" t="s">
        <v>468</v>
      </c>
      <c r="B267" s="79" t="s">
        <v>1405</v>
      </c>
      <c r="C267" t="s">
        <v>111</v>
      </c>
      <c r="D267">
        <v>2</v>
      </c>
      <c r="E267">
        <v>2</v>
      </c>
      <c r="F267" cm="1">
        <f t="array" ref="F267">_xlfn.IFS(Lutron_CFlex_Lookup[[#This Row],[Kit Lamp Qty]]=1,24,Lutron_CFlex_Lookup[[#This Row],[Kit Lamp Qty]]=2,12,Lutron_CFlex_Lookup[[#This Row],[Kit Lamp Qty]]=3,8)</f>
        <v>12</v>
      </c>
      <c r="G267" s="81">
        <v>4000</v>
      </c>
      <c r="H267">
        <v>2182</v>
      </c>
      <c r="I267" t="s">
        <v>632</v>
      </c>
      <c r="J267" t="s">
        <v>1880</v>
      </c>
      <c r="K267" s="2" t="s">
        <v>2184</v>
      </c>
      <c r="L267"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67"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LED-T8C2FT840</v>
      </c>
    </row>
    <row r="268" spans="1:13" hidden="1" x14ac:dyDescent="0.25">
      <c r="A268" t="s">
        <v>1824</v>
      </c>
      <c r="B268" s="79" t="s">
        <v>50</v>
      </c>
      <c r="C268" s="3" t="s">
        <v>111</v>
      </c>
      <c r="D268" s="3">
        <v>2</v>
      </c>
      <c r="E268">
        <v>2</v>
      </c>
      <c r="F268" cm="1">
        <f t="array" ref="F268">_xlfn.IFS(Lutron_CFlex_Lookup[[#This Row],[Kit Lamp Qty]]=1,24,Lutron_CFlex_Lookup[[#This Row],[Kit Lamp Qty]]=2,12,Lutron_CFlex_Lookup[[#This Row],[Kit Lamp Qty]]=3,8)</f>
        <v>12</v>
      </c>
      <c r="G268" s="81">
        <v>5000</v>
      </c>
      <c r="H268">
        <v>2182</v>
      </c>
      <c r="I268" s="3" t="s">
        <v>632</v>
      </c>
      <c r="J268" t="s">
        <v>1925</v>
      </c>
      <c r="L26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68"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LED-T8C2FT850</v>
      </c>
    </row>
    <row r="269" spans="1:13" hidden="1" x14ac:dyDescent="0.25">
      <c r="A269" t="s">
        <v>1736</v>
      </c>
      <c r="B269" s="79" t="s">
        <v>1405</v>
      </c>
      <c r="C269" s="90" t="s">
        <v>111</v>
      </c>
      <c r="D269">
        <v>2</v>
      </c>
      <c r="E269">
        <v>2</v>
      </c>
      <c r="F269" cm="1">
        <f t="array" ref="F269">_xlfn.IFS(Lutron_CFlex_Lookup[[#This Row],[Kit Lamp Qty]]=1,24,Lutron_CFlex_Lookup[[#This Row],[Kit Lamp Qty]]=2,12,Lutron_CFlex_Lookup[[#This Row],[Kit Lamp Qty]]=3,8)</f>
        <v>12</v>
      </c>
      <c r="G269" s="81">
        <v>5000</v>
      </c>
      <c r="H269">
        <v>2182</v>
      </c>
      <c r="I269" t="s">
        <v>632</v>
      </c>
      <c r="J269" t="s">
        <v>1881</v>
      </c>
      <c r="K269" s="2" t="s">
        <v>2185</v>
      </c>
      <c r="L269"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69"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LED-T8C2FT850</v>
      </c>
    </row>
    <row r="270" spans="1:13" hidden="1" x14ac:dyDescent="0.25">
      <c r="A270" t="s">
        <v>251</v>
      </c>
      <c r="B270" s="79" t="s">
        <v>50</v>
      </c>
      <c r="C270" s="3" t="s">
        <v>111</v>
      </c>
      <c r="D270" s="3">
        <v>2</v>
      </c>
      <c r="E270">
        <v>3</v>
      </c>
      <c r="F270" cm="1">
        <f t="array" ref="F270">_xlfn.IFS(Lutron_CFlex_Lookup[[#This Row],[Kit Lamp Qty]]=1,24,Lutron_CFlex_Lookup[[#This Row],[Kit Lamp Qty]]=2,12,Lutron_CFlex_Lookup[[#This Row],[Kit Lamp Qty]]=3,8)</f>
        <v>8</v>
      </c>
      <c r="G270" s="81">
        <v>3000</v>
      </c>
      <c r="H270">
        <v>3429</v>
      </c>
      <c r="I270" s="3" t="s">
        <v>632</v>
      </c>
      <c r="J270" t="s">
        <v>2111</v>
      </c>
      <c r="L27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70"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LED-T8C2FT830</v>
      </c>
    </row>
    <row r="271" spans="1:13" hidden="1" x14ac:dyDescent="0.25">
      <c r="A271" t="s">
        <v>1137</v>
      </c>
      <c r="B271" s="79" t="s">
        <v>1405</v>
      </c>
      <c r="C271" t="s">
        <v>111</v>
      </c>
      <c r="D271">
        <v>2</v>
      </c>
      <c r="E271">
        <v>3</v>
      </c>
      <c r="F271" cm="1">
        <f t="array" ref="F271">_xlfn.IFS(Lutron_CFlex_Lookup[[#This Row],[Kit Lamp Qty]]=1,24,Lutron_CFlex_Lookup[[#This Row],[Kit Lamp Qty]]=2,12,Lutron_CFlex_Lookup[[#This Row],[Kit Lamp Qty]]=3,8)</f>
        <v>8</v>
      </c>
      <c r="G271" s="81">
        <v>3000</v>
      </c>
      <c r="H271">
        <v>3429</v>
      </c>
      <c r="I271" t="s">
        <v>632</v>
      </c>
      <c r="J271" t="s">
        <v>2087</v>
      </c>
      <c r="K271" s="2" t="s">
        <v>2148</v>
      </c>
      <c r="L271"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71"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LED-T8C2FT830</v>
      </c>
    </row>
    <row r="272" spans="1:13" hidden="1" x14ac:dyDescent="0.25">
      <c r="A272" t="s">
        <v>252</v>
      </c>
      <c r="B272" s="79" t="s">
        <v>50</v>
      </c>
      <c r="C272" s="3" t="s">
        <v>111</v>
      </c>
      <c r="D272" s="3">
        <v>2</v>
      </c>
      <c r="E272">
        <v>3</v>
      </c>
      <c r="F272" cm="1">
        <f t="array" ref="F272">_xlfn.IFS(Lutron_CFlex_Lookup[[#This Row],[Kit Lamp Qty]]=1,24,Lutron_CFlex_Lookup[[#This Row],[Kit Lamp Qty]]=2,12,Lutron_CFlex_Lookup[[#This Row],[Kit Lamp Qty]]=3,8)</f>
        <v>8</v>
      </c>
      <c r="G272" s="81">
        <v>3500</v>
      </c>
      <c r="H272">
        <v>3429</v>
      </c>
      <c r="I272" s="3" t="s">
        <v>632</v>
      </c>
      <c r="J272" t="s">
        <v>2112</v>
      </c>
      <c r="L27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7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LED-T8C2FT835</v>
      </c>
    </row>
    <row r="273" spans="1:13" hidden="1" x14ac:dyDescent="0.25">
      <c r="A273" t="s">
        <v>1138</v>
      </c>
      <c r="B273" s="79" t="s">
        <v>1405</v>
      </c>
      <c r="C273" t="s">
        <v>111</v>
      </c>
      <c r="D273">
        <v>2</v>
      </c>
      <c r="E273">
        <v>3</v>
      </c>
      <c r="F273" cm="1">
        <f t="array" ref="F273">_xlfn.IFS(Lutron_CFlex_Lookup[[#This Row],[Kit Lamp Qty]]=1,24,Lutron_CFlex_Lookup[[#This Row],[Kit Lamp Qty]]=2,12,Lutron_CFlex_Lookup[[#This Row],[Kit Lamp Qty]]=3,8)</f>
        <v>8</v>
      </c>
      <c r="G273" s="81">
        <v>3500</v>
      </c>
      <c r="H273">
        <v>3429</v>
      </c>
      <c r="I273" t="s">
        <v>632</v>
      </c>
      <c r="J273" t="s">
        <v>2088</v>
      </c>
      <c r="K273" s="2" t="s">
        <v>2149</v>
      </c>
      <c r="L273"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73"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LED-T8C2FT835</v>
      </c>
    </row>
    <row r="274" spans="1:13" hidden="1" x14ac:dyDescent="0.25">
      <c r="A274" t="s">
        <v>253</v>
      </c>
      <c r="B274" s="79" t="s">
        <v>50</v>
      </c>
      <c r="C274" s="3" t="s">
        <v>111</v>
      </c>
      <c r="D274" s="3">
        <v>2</v>
      </c>
      <c r="E274">
        <v>3</v>
      </c>
      <c r="F274" cm="1">
        <f t="array" ref="F274">_xlfn.IFS(Lutron_CFlex_Lookup[[#This Row],[Kit Lamp Qty]]=1,24,Lutron_CFlex_Lookup[[#This Row],[Kit Lamp Qty]]=2,12,Lutron_CFlex_Lookup[[#This Row],[Kit Lamp Qty]]=3,8)</f>
        <v>8</v>
      </c>
      <c r="G274" s="81">
        <v>4000</v>
      </c>
      <c r="H274">
        <v>3429</v>
      </c>
      <c r="I274" s="3" t="s">
        <v>632</v>
      </c>
      <c r="J274" t="s">
        <v>2113</v>
      </c>
      <c r="L27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74"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LED-T8C2FT840</v>
      </c>
    </row>
    <row r="275" spans="1:13" hidden="1" x14ac:dyDescent="0.25">
      <c r="A275" t="s">
        <v>1139</v>
      </c>
      <c r="B275" s="79" t="s">
        <v>1405</v>
      </c>
      <c r="C275" t="s">
        <v>111</v>
      </c>
      <c r="D275">
        <v>2</v>
      </c>
      <c r="E275">
        <v>3</v>
      </c>
      <c r="F275" cm="1">
        <f t="array" ref="F275">_xlfn.IFS(Lutron_CFlex_Lookup[[#This Row],[Kit Lamp Qty]]=1,24,Lutron_CFlex_Lookup[[#This Row],[Kit Lamp Qty]]=2,12,Lutron_CFlex_Lookup[[#This Row],[Kit Lamp Qty]]=3,8)</f>
        <v>8</v>
      </c>
      <c r="G275" s="81">
        <v>4000</v>
      </c>
      <c r="H275">
        <v>3429</v>
      </c>
      <c r="I275" t="s">
        <v>632</v>
      </c>
      <c r="J275" t="s">
        <v>2089</v>
      </c>
      <c r="K275" s="2" t="s">
        <v>2150</v>
      </c>
      <c r="L275"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75"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LED-T8C2FT840</v>
      </c>
    </row>
    <row r="276" spans="1:13" hidden="1" x14ac:dyDescent="0.25">
      <c r="A276" t="s">
        <v>1825</v>
      </c>
      <c r="B276" s="79" t="s">
        <v>50</v>
      </c>
      <c r="C276" s="3" t="s">
        <v>111</v>
      </c>
      <c r="D276" s="3">
        <v>2</v>
      </c>
      <c r="E276">
        <v>3</v>
      </c>
      <c r="F276" cm="1">
        <f t="array" ref="F276">_xlfn.IFS(Lutron_CFlex_Lookup[[#This Row],[Kit Lamp Qty]]=1,24,Lutron_CFlex_Lookup[[#This Row],[Kit Lamp Qty]]=2,12,Lutron_CFlex_Lookup[[#This Row],[Kit Lamp Qty]]=3,8)</f>
        <v>8</v>
      </c>
      <c r="G276" s="81">
        <v>5000</v>
      </c>
      <c r="H276">
        <v>3429</v>
      </c>
      <c r="I276" s="3" t="s">
        <v>632</v>
      </c>
      <c r="J276" t="s">
        <v>2114</v>
      </c>
      <c r="L27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76"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LED-T8C2FT850</v>
      </c>
    </row>
    <row r="277" spans="1:13" hidden="1" x14ac:dyDescent="0.25">
      <c r="A277" t="s">
        <v>1737</v>
      </c>
      <c r="B277" s="79" t="s">
        <v>1405</v>
      </c>
      <c r="C277" t="s">
        <v>111</v>
      </c>
      <c r="D277">
        <v>2</v>
      </c>
      <c r="E277">
        <v>3</v>
      </c>
      <c r="F277" cm="1">
        <f t="array" ref="F277">_xlfn.IFS(Lutron_CFlex_Lookup[[#This Row],[Kit Lamp Qty]]=1,24,Lutron_CFlex_Lookup[[#This Row],[Kit Lamp Qty]]=2,12,Lutron_CFlex_Lookup[[#This Row],[Kit Lamp Qty]]=3,8)</f>
        <v>8</v>
      </c>
      <c r="G277" s="81">
        <v>5000</v>
      </c>
      <c r="H277">
        <v>3429</v>
      </c>
      <c r="I277" t="s">
        <v>632</v>
      </c>
      <c r="J277" t="s">
        <v>2090</v>
      </c>
      <c r="K277" s="2" t="s">
        <v>2151</v>
      </c>
      <c r="L277"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77"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LED-T8C2FT850</v>
      </c>
    </row>
    <row r="278" spans="1:13" hidden="1" x14ac:dyDescent="0.25">
      <c r="A278" t="s">
        <v>255</v>
      </c>
      <c r="B278" s="79" t="s">
        <v>50</v>
      </c>
      <c r="C278" s="3" t="s">
        <v>111</v>
      </c>
      <c r="D278" s="3">
        <v>3</v>
      </c>
      <c r="E278">
        <v>1</v>
      </c>
      <c r="F278" cm="1">
        <f t="array" ref="F278">_xlfn.IFS(Lutron_CFlex_Lookup[[#This Row],[Kit Lamp Qty]]=1,24,Lutron_CFlex_Lookup[[#This Row],[Kit Lamp Qty]]=2,12,Lutron_CFlex_Lookup[[#This Row],[Kit Lamp Qty]]=3,8)</f>
        <v>24</v>
      </c>
      <c r="G278" s="81">
        <v>3000</v>
      </c>
      <c r="I278" s="3" t="s">
        <v>632</v>
      </c>
      <c r="J278" t="s">
        <v>2067</v>
      </c>
      <c r="L27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78"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LED-T8C3FT830</v>
      </c>
    </row>
    <row r="279" spans="1:13" hidden="1" x14ac:dyDescent="0.25">
      <c r="A279" t="s">
        <v>478</v>
      </c>
      <c r="B279" s="79" t="s">
        <v>1405</v>
      </c>
      <c r="C279" t="s">
        <v>111</v>
      </c>
      <c r="D279">
        <v>3</v>
      </c>
      <c r="E279">
        <v>1</v>
      </c>
      <c r="F279" cm="1">
        <f t="array" ref="F279">_xlfn.IFS(Lutron_CFlex_Lookup[[#This Row],[Kit Lamp Qty]]=1,24,Lutron_CFlex_Lookup[[#This Row],[Kit Lamp Qty]]=2,12,Lutron_CFlex_Lookup[[#This Row],[Kit Lamp Qty]]=3,8)</f>
        <v>24</v>
      </c>
      <c r="G279" s="81">
        <v>3000</v>
      </c>
      <c r="I279" t="s">
        <v>632</v>
      </c>
      <c r="J279" t="s">
        <v>1997</v>
      </c>
      <c r="K279" s="2" t="s">
        <v>2221</v>
      </c>
      <c r="L279"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79"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LED-T8C3FT830</v>
      </c>
    </row>
    <row r="280" spans="1:13" hidden="1" x14ac:dyDescent="0.25">
      <c r="A280" t="s">
        <v>256</v>
      </c>
      <c r="B280" s="79" t="s">
        <v>50</v>
      </c>
      <c r="C280" s="3" t="s">
        <v>111</v>
      </c>
      <c r="D280" s="3">
        <v>3</v>
      </c>
      <c r="E280">
        <v>1</v>
      </c>
      <c r="F280" cm="1">
        <f t="array" ref="F280">_xlfn.IFS(Lutron_CFlex_Lookup[[#This Row],[Kit Lamp Qty]]=1,24,Lutron_CFlex_Lookup[[#This Row],[Kit Lamp Qty]]=2,12,Lutron_CFlex_Lookup[[#This Row],[Kit Lamp Qty]]=3,8)</f>
        <v>24</v>
      </c>
      <c r="G280" s="81">
        <v>3500</v>
      </c>
      <c r="I280" s="3" t="s">
        <v>632</v>
      </c>
      <c r="J280" t="s">
        <v>2068</v>
      </c>
      <c r="L28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80"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LED-T8C3FT835</v>
      </c>
    </row>
    <row r="281" spans="1:13" hidden="1" x14ac:dyDescent="0.25">
      <c r="A281" t="s">
        <v>479</v>
      </c>
      <c r="B281" s="79" t="s">
        <v>1405</v>
      </c>
      <c r="C281" t="s">
        <v>111</v>
      </c>
      <c r="D281">
        <v>3</v>
      </c>
      <c r="E281">
        <v>1</v>
      </c>
      <c r="F281" cm="1">
        <f t="array" ref="F281">_xlfn.IFS(Lutron_CFlex_Lookup[[#This Row],[Kit Lamp Qty]]=1,24,Lutron_CFlex_Lookup[[#This Row],[Kit Lamp Qty]]=2,12,Lutron_CFlex_Lookup[[#This Row],[Kit Lamp Qty]]=3,8)</f>
        <v>24</v>
      </c>
      <c r="G281" s="81">
        <v>3500</v>
      </c>
      <c r="I281" t="s">
        <v>632</v>
      </c>
      <c r="J281" t="s">
        <v>1998</v>
      </c>
      <c r="K281" s="2" t="s">
        <v>2222</v>
      </c>
      <c r="L281"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81"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LED-T8C3FT835</v>
      </c>
    </row>
    <row r="282" spans="1:13" hidden="1" x14ac:dyDescent="0.25">
      <c r="A282" t="s">
        <v>257</v>
      </c>
      <c r="B282" s="79" t="s">
        <v>50</v>
      </c>
      <c r="C282" s="3" t="s">
        <v>111</v>
      </c>
      <c r="D282" s="3">
        <v>3</v>
      </c>
      <c r="E282">
        <v>1</v>
      </c>
      <c r="F282" cm="1">
        <f t="array" ref="F282">_xlfn.IFS(Lutron_CFlex_Lookup[[#This Row],[Kit Lamp Qty]]=1,24,Lutron_CFlex_Lookup[[#This Row],[Kit Lamp Qty]]=2,12,Lutron_CFlex_Lookup[[#This Row],[Kit Lamp Qty]]=3,8)</f>
        <v>24</v>
      </c>
      <c r="G282" s="81">
        <v>4000</v>
      </c>
      <c r="I282" s="3" t="s">
        <v>632</v>
      </c>
      <c r="J282" t="s">
        <v>2069</v>
      </c>
      <c r="L28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8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LED-T8C3FT840</v>
      </c>
    </row>
    <row r="283" spans="1:13" hidden="1" x14ac:dyDescent="0.25">
      <c r="A283" t="s">
        <v>480</v>
      </c>
      <c r="B283" s="79" t="s">
        <v>1405</v>
      </c>
      <c r="C283" t="s">
        <v>111</v>
      </c>
      <c r="D283">
        <v>3</v>
      </c>
      <c r="E283">
        <v>1</v>
      </c>
      <c r="F283" cm="1">
        <f t="array" ref="F283">_xlfn.IFS(Lutron_CFlex_Lookup[[#This Row],[Kit Lamp Qty]]=1,24,Lutron_CFlex_Lookup[[#This Row],[Kit Lamp Qty]]=2,12,Lutron_CFlex_Lookup[[#This Row],[Kit Lamp Qty]]=3,8)</f>
        <v>24</v>
      </c>
      <c r="G283" s="81">
        <v>4000</v>
      </c>
      <c r="I283" t="s">
        <v>632</v>
      </c>
      <c r="J283" t="s">
        <v>1999</v>
      </c>
      <c r="K283" s="2" t="s">
        <v>2223</v>
      </c>
      <c r="L283"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83"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LED-T8C3FT840</v>
      </c>
    </row>
    <row r="284" spans="1:13" hidden="1" x14ac:dyDescent="0.25">
      <c r="A284" t="s">
        <v>1826</v>
      </c>
      <c r="B284" s="79" t="s">
        <v>50</v>
      </c>
      <c r="C284" s="3" t="s">
        <v>111</v>
      </c>
      <c r="D284" s="3">
        <v>3</v>
      </c>
      <c r="E284">
        <v>1</v>
      </c>
      <c r="F284" cm="1">
        <f t="array" ref="F284">_xlfn.IFS(Lutron_CFlex_Lookup[[#This Row],[Kit Lamp Qty]]=1,24,Lutron_CFlex_Lookup[[#This Row],[Kit Lamp Qty]]=2,12,Lutron_CFlex_Lookup[[#This Row],[Kit Lamp Qty]]=3,8)</f>
        <v>24</v>
      </c>
      <c r="G284" s="81">
        <v>5000</v>
      </c>
      <c r="I284" s="3" t="s">
        <v>632</v>
      </c>
      <c r="J284" t="s">
        <v>2070</v>
      </c>
      <c r="L28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84"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LED-T8C3FT850</v>
      </c>
    </row>
    <row r="285" spans="1:13" hidden="1" x14ac:dyDescent="0.25">
      <c r="A285" t="s">
        <v>1738</v>
      </c>
      <c r="B285" s="79" t="s">
        <v>1405</v>
      </c>
      <c r="C285" t="s">
        <v>111</v>
      </c>
      <c r="D285">
        <v>3</v>
      </c>
      <c r="E285">
        <v>1</v>
      </c>
      <c r="F285" cm="1">
        <f t="array" ref="F285">_xlfn.IFS(Lutron_CFlex_Lookup[[#This Row],[Kit Lamp Qty]]=1,24,Lutron_CFlex_Lookup[[#This Row],[Kit Lamp Qty]]=2,12,Lutron_CFlex_Lookup[[#This Row],[Kit Lamp Qty]]=3,8)</f>
        <v>24</v>
      </c>
      <c r="G285" s="81">
        <v>5000</v>
      </c>
      <c r="I285" t="s">
        <v>632</v>
      </c>
      <c r="J285" t="s">
        <v>2000</v>
      </c>
      <c r="K285" s="2" t="s">
        <v>2224</v>
      </c>
      <c r="L285"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285"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LED-T8C3FT850</v>
      </c>
    </row>
    <row r="286" spans="1:13" hidden="1" x14ac:dyDescent="0.25">
      <c r="A286" t="s">
        <v>259</v>
      </c>
      <c r="B286" s="79" t="s">
        <v>50</v>
      </c>
      <c r="C286" s="3" t="s">
        <v>111</v>
      </c>
      <c r="D286" s="3">
        <v>3</v>
      </c>
      <c r="E286">
        <v>2</v>
      </c>
      <c r="F286" cm="1">
        <f t="array" ref="F286">_xlfn.IFS(Lutron_CFlex_Lookup[[#This Row],[Kit Lamp Qty]]=1,24,Lutron_CFlex_Lookup[[#This Row],[Kit Lamp Qty]]=2,12,Lutron_CFlex_Lookup[[#This Row],[Kit Lamp Qty]]=3,8)</f>
        <v>12</v>
      </c>
      <c r="G286" s="81">
        <v>3000</v>
      </c>
      <c r="I286" s="3" t="s">
        <v>632</v>
      </c>
      <c r="J286" t="s">
        <v>1926</v>
      </c>
      <c r="L28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86"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LED-T8C3FT830</v>
      </c>
    </row>
    <row r="287" spans="1:13" hidden="1" x14ac:dyDescent="0.25">
      <c r="A287" t="s">
        <v>482</v>
      </c>
      <c r="B287" s="79" t="s">
        <v>1405</v>
      </c>
      <c r="C287" t="s">
        <v>111</v>
      </c>
      <c r="D287">
        <v>3</v>
      </c>
      <c r="E287">
        <v>2</v>
      </c>
      <c r="F287" cm="1">
        <f t="array" ref="F287">_xlfn.IFS(Lutron_CFlex_Lookup[[#This Row],[Kit Lamp Qty]]=1,24,Lutron_CFlex_Lookup[[#This Row],[Kit Lamp Qty]]=2,12,Lutron_CFlex_Lookup[[#This Row],[Kit Lamp Qty]]=3,8)</f>
        <v>12</v>
      </c>
      <c r="G287" s="81">
        <v>3000</v>
      </c>
      <c r="I287" t="s">
        <v>632</v>
      </c>
      <c r="J287" t="s">
        <v>1882</v>
      </c>
      <c r="K287" s="2" t="s">
        <v>2186</v>
      </c>
      <c r="L287"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87"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LED-T8C3FT830</v>
      </c>
    </row>
    <row r="288" spans="1:13" hidden="1" x14ac:dyDescent="0.25">
      <c r="A288" t="s">
        <v>260</v>
      </c>
      <c r="B288" s="79" t="s">
        <v>50</v>
      </c>
      <c r="C288" s="3" t="s">
        <v>111</v>
      </c>
      <c r="D288" s="3">
        <v>3</v>
      </c>
      <c r="E288">
        <v>2</v>
      </c>
      <c r="F288" cm="1">
        <f t="array" ref="F288">_xlfn.IFS(Lutron_CFlex_Lookup[[#This Row],[Kit Lamp Qty]]=1,24,Lutron_CFlex_Lookup[[#This Row],[Kit Lamp Qty]]=2,12,Lutron_CFlex_Lookup[[#This Row],[Kit Lamp Qty]]=3,8)</f>
        <v>12</v>
      </c>
      <c r="G288" s="81">
        <v>3500</v>
      </c>
      <c r="I288" s="3" t="s">
        <v>632</v>
      </c>
      <c r="J288" t="s">
        <v>1927</v>
      </c>
      <c r="L28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88"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LED-T8C3FT835</v>
      </c>
    </row>
    <row r="289" spans="1:13" hidden="1" x14ac:dyDescent="0.25">
      <c r="A289" t="s">
        <v>483</v>
      </c>
      <c r="B289" s="79" t="s">
        <v>1405</v>
      </c>
      <c r="C289" t="s">
        <v>111</v>
      </c>
      <c r="D289">
        <v>3</v>
      </c>
      <c r="E289">
        <v>2</v>
      </c>
      <c r="F289" cm="1">
        <f t="array" ref="F289">_xlfn.IFS(Lutron_CFlex_Lookup[[#This Row],[Kit Lamp Qty]]=1,24,Lutron_CFlex_Lookup[[#This Row],[Kit Lamp Qty]]=2,12,Lutron_CFlex_Lookup[[#This Row],[Kit Lamp Qty]]=3,8)</f>
        <v>12</v>
      </c>
      <c r="G289" s="81">
        <v>3500</v>
      </c>
      <c r="I289" t="s">
        <v>632</v>
      </c>
      <c r="J289" t="s">
        <v>1883</v>
      </c>
      <c r="K289" s="2" t="s">
        <v>2187</v>
      </c>
      <c r="L289"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89"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LED-T8C3FT835</v>
      </c>
    </row>
    <row r="290" spans="1:13" hidden="1" x14ac:dyDescent="0.25">
      <c r="A290" t="s">
        <v>261</v>
      </c>
      <c r="B290" s="79" t="s">
        <v>50</v>
      </c>
      <c r="C290" s="3" t="s">
        <v>111</v>
      </c>
      <c r="D290" s="3">
        <v>3</v>
      </c>
      <c r="E290">
        <v>2</v>
      </c>
      <c r="F290" cm="1">
        <f t="array" ref="F290">_xlfn.IFS(Lutron_CFlex_Lookup[[#This Row],[Kit Lamp Qty]]=1,24,Lutron_CFlex_Lookup[[#This Row],[Kit Lamp Qty]]=2,12,Lutron_CFlex_Lookup[[#This Row],[Kit Lamp Qty]]=3,8)</f>
        <v>12</v>
      </c>
      <c r="G290" s="81">
        <v>4000</v>
      </c>
      <c r="I290" s="3" t="s">
        <v>632</v>
      </c>
      <c r="J290" t="s">
        <v>1928</v>
      </c>
      <c r="L29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90"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LED-T8C3FT840</v>
      </c>
    </row>
    <row r="291" spans="1:13" hidden="1" x14ac:dyDescent="0.25">
      <c r="A291" t="s">
        <v>484</v>
      </c>
      <c r="B291" s="79" t="s">
        <v>1405</v>
      </c>
      <c r="C291" t="s">
        <v>111</v>
      </c>
      <c r="D291">
        <v>3</v>
      </c>
      <c r="E291">
        <v>2</v>
      </c>
      <c r="F291" cm="1">
        <f t="array" ref="F291">_xlfn.IFS(Lutron_CFlex_Lookup[[#This Row],[Kit Lamp Qty]]=1,24,Lutron_CFlex_Lookup[[#This Row],[Kit Lamp Qty]]=2,12,Lutron_CFlex_Lookup[[#This Row],[Kit Lamp Qty]]=3,8)</f>
        <v>12</v>
      </c>
      <c r="G291" s="81">
        <v>4000</v>
      </c>
      <c r="I291" t="s">
        <v>632</v>
      </c>
      <c r="J291" t="s">
        <v>1884</v>
      </c>
      <c r="K291" s="2" t="s">
        <v>2188</v>
      </c>
      <c r="L291"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91"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LED-T8C3FT840</v>
      </c>
    </row>
    <row r="292" spans="1:13" hidden="1" x14ac:dyDescent="0.25">
      <c r="A292" t="s">
        <v>1827</v>
      </c>
      <c r="B292" s="79" t="s">
        <v>50</v>
      </c>
      <c r="C292" s="3" t="s">
        <v>111</v>
      </c>
      <c r="D292" s="3">
        <v>3</v>
      </c>
      <c r="E292">
        <v>2</v>
      </c>
      <c r="F292" cm="1">
        <f t="array" ref="F292">_xlfn.IFS(Lutron_CFlex_Lookup[[#This Row],[Kit Lamp Qty]]=1,24,Lutron_CFlex_Lookup[[#This Row],[Kit Lamp Qty]]=2,12,Lutron_CFlex_Lookup[[#This Row],[Kit Lamp Qty]]=3,8)</f>
        <v>12</v>
      </c>
      <c r="G292" s="81">
        <v>5000</v>
      </c>
      <c r="I292" s="3" t="s">
        <v>632</v>
      </c>
      <c r="J292" t="s">
        <v>1929</v>
      </c>
      <c r="L29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9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LED-T8C3FT850</v>
      </c>
    </row>
    <row r="293" spans="1:13" hidden="1" x14ac:dyDescent="0.25">
      <c r="A293" t="s">
        <v>1739</v>
      </c>
      <c r="B293" s="79" t="s">
        <v>1405</v>
      </c>
      <c r="C293" t="s">
        <v>111</v>
      </c>
      <c r="D293">
        <v>3</v>
      </c>
      <c r="E293">
        <v>2</v>
      </c>
      <c r="F293" cm="1">
        <f t="array" ref="F293">_xlfn.IFS(Lutron_CFlex_Lookup[[#This Row],[Kit Lamp Qty]]=1,24,Lutron_CFlex_Lookup[[#This Row],[Kit Lamp Qty]]=2,12,Lutron_CFlex_Lookup[[#This Row],[Kit Lamp Qty]]=3,8)</f>
        <v>12</v>
      </c>
      <c r="G293" s="81">
        <v>5000</v>
      </c>
      <c r="I293" t="s">
        <v>632</v>
      </c>
      <c r="J293" t="s">
        <v>1885</v>
      </c>
      <c r="K293" s="2" t="s">
        <v>2189</v>
      </c>
      <c r="L293"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293"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LED-T8C3FT850</v>
      </c>
    </row>
    <row r="294" spans="1:13" hidden="1" x14ac:dyDescent="0.25">
      <c r="A294" t="s">
        <v>879</v>
      </c>
      <c r="B294" s="79" t="s">
        <v>50</v>
      </c>
      <c r="C294" s="3" t="s">
        <v>111</v>
      </c>
      <c r="D294" s="3">
        <v>3</v>
      </c>
      <c r="E294">
        <v>3</v>
      </c>
      <c r="F294" cm="1">
        <f t="array" ref="F294">_xlfn.IFS(Lutron_CFlex_Lookup[[#This Row],[Kit Lamp Qty]]=1,24,Lutron_CFlex_Lookup[[#This Row],[Kit Lamp Qty]]=2,12,Lutron_CFlex_Lookup[[#This Row],[Kit Lamp Qty]]=3,8)</f>
        <v>8</v>
      </c>
      <c r="G294" s="81">
        <v>3000</v>
      </c>
      <c r="I294" s="3" t="s">
        <v>632</v>
      </c>
      <c r="J294" t="s">
        <v>2115</v>
      </c>
      <c r="L29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94"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LED-T8C3FT830</v>
      </c>
    </row>
    <row r="295" spans="1:13" hidden="1" x14ac:dyDescent="0.25">
      <c r="A295" t="s">
        <v>1740</v>
      </c>
      <c r="B295" s="79" t="s">
        <v>1405</v>
      </c>
      <c r="C295" t="s">
        <v>111</v>
      </c>
      <c r="D295">
        <v>3</v>
      </c>
      <c r="E295">
        <v>3</v>
      </c>
      <c r="F295" cm="1">
        <f t="array" ref="F295">_xlfn.IFS(Lutron_CFlex_Lookup[[#This Row],[Kit Lamp Qty]]=1,24,Lutron_CFlex_Lookup[[#This Row],[Kit Lamp Qty]]=2,12,Lutron_CFlex_Lookup[[#This Row],[Kit Lamp Qty]]=3,8)</f>
        <v>8</v>
      </c>
      <c r="G295" s="81">
        <v>3000</v>
      </c>
      <c r="I295" t="s">
        <v>632</v>
      </c>
      <c r="J295" t="s">
        <v>2091</v>
      </c>
      <c r="K295" s="2" t="s">
        <v>2152</v>
      </c>
      <c r="L295"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95"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LED-T8C3FT830</v>
      </c>
    </row>
    <row r="296" spans="1:13" hidden="1" x14ac:dyDescent="0.25">
      <c r="A296" t="s">
        <v>880</v>
      </c>
      <c r="B296" s="79" t="s">
        <v>50</v>
      </c>
      <c r="C296" s="3" t="s">
        <v>111</v>
      </c>
      <c r="D296" s="3">
        <v>3</v>
      </c>
      <c r="E296">
        <v>3</v>
      </c>
      <c r="F296" cm="1">
        <f t="array" ref="F296">_xlfn.IFS(Lutron_CFlex_Lookup[[#This Row],[Kit Lamp Qty]]=1,24,Lutron_CFlex_Lookup[[#This Row],[Kit Lamp Qty]]=2,12,Lutron_CFlex_Lookup[[#This Row],[Kit Lamp Qty]]=3,8)</f>
        <v>8</v>
      </c>
      <c r="G296" s="81">
        <v>3500</v>
      </c>
      <c r="I296" s="3" t="s">
        <v>632</v>
      </c>
      <c r="J296" t="s">
        <v>2116</v>
      </c>
      <c r="L29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96"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LED-T8C3FT835</v>
      </c>
    </row>
    <row r="297" spans="1:13" hidden="1" x14ac:dyDescent="0.25">
      <c r="A297" t="s">
        <v>1741</v>
      </c>
      <c r="B297" s="79" t="s">
        <v>1405</v>
      </c>
      <c r="C297" t="s">
        <v>111</v>
      </c>
      <c r="D297">
        <v>3</v>
      </c>
      <c r="E297">
        <v>3</v>
      </c>
      <c r="F297" cm="1">
        <f t="array" ref="F297">_xlfn.IFS(Lutron_CFlex_Lookup[[#This Row],[Kit Lamp Qty]]=1,24,Lutron_CFlex_Lookup[[#This Row],[Kit Lamp Qty]]=2,12,Lutron_CFlex_Lookup[[#This Row],[Kit Lamp Qty]]=3,8)</f>
        <v>8</v>
      </c>
      <c r="G297" s="81">
        <v>3500</v>
      </c>
      <c r="I297" t="s">
        <v>632</v>
      </c>
      <c r="J297" t="s">
        <v>2092</v>
      </c>
      <c r="K297" s="2" t="s">
        <v>2153</v>
      </c>
      <c r="L297"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97"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LED-T8C3FT835</v>
      </c>
    </row>
    <row r="298" spans="1:13" hidden="1" x14ac:dyDescent="0.25">
      <c r="A298" t="s">
        <v>881</v>
      </c>
      <c r="B298" s="79" t="s">
        <v>50</v>
      </c>
      <c r="C298" s="3" t="s">
        <v>111</v>
      </c>
      <c r="D298" s="3">
        <v>3</v>
      </c>
      <c r="E298">
        <v>3</v>
      </c>
      <c r="F298" cm="1">
        <f t="array" ref="F298">_xlfn.IFS(Lutron_CFlex_Lookup[[#This Row],[Kit Lamp Qty]]=1,24,Lutron_CFlex_Lookup[[#This Row],[Kit Lamp Qty]]=2,12,Lutron_CFlex_Lookup[[#This Row],[Kit Lamp Qty]]=3,8)</f>
        <v>8</v>
      </c>
      <c r="G298" s="81">
        <v>4000</v>
      </c>
      <c r="I298" s="3" t="s">
        <v>632</v>
      </c>
      <c r="J298" t="s">
        <v>2117</v>
      </c>
      <c r="L29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298"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LED-T8C3FT840</v>
      </c>
    </row>
    <row r="299" spans="1:13" hidden="1" x14ac:dyDescent="0.25">
      <c r="A299" t="s">
        <v>1742</v>
      </c>
      <c r="B299" s="79" t="s">
        <v>1405</v>
      </c>
      <c r="C299" t="s">
        <v>111</v>
      </c>
      <c r="D299">
        <v>3</v>
      </c>
      <c r="E299">
        <v>3</v>
      </c>
      <c r="F299" cm="1">
        <f t="array" ref="F299">_xlfn.IFS(Lutron_CFlex_Lookup[[#This Row],[Kit Lamp Qty]]=1,24,Lutron_CFlex_Lookup[[#This Row],[Kit Lamp Qty]]=2,12,Lutron_CFlex_Lookup[[#This Row],[Kit Lamp Qty]]=3,8)</f>
        <v>8</v>
      </c>
      <c r="G299" s="81">
        <v>4000</v>
      </c>
      <c r="I299" t="s">
        <v>632</v>
      </c>
      <c r="J299" t="s">
        <v>2093</v>
      </c>
      <c r="K299" s="2" t="s">
        <v>2154</v>
      </c>
      <c r="L299"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299"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LED-T8C3FT840</v>
      </c>
    </row>
    <row r="300" spans="1:13" hidden="1" x14ac:dyDescent="0.25">
      <c r="A300" t="s">
        <v>1828</v>
      </c>
      <c r="B300" s="79" t="s">
        <v>50</v>
      </c>
      <c r="C300" s="3" t="s">
        <v>111</v>
      </c>
      <c r="D300" s="3">
        <v>3</v>
      </c>
      <c r="E300">
        <v>3</v>
      </c>
      <c r="F300" cm="1">
        <f t="array" ref="F300">_xlfn.IFS(Lutron_CFlex_Lookup[[#This Row],[Kit Lamp Qty]]=1,24,Lutron_CFlex_Lookup[[#This Row],[Kit Lamp Qty]]=2,12,Lutron_CFlex_Lookup[[#This Row],[Kit Lamp Qty]]=3,8)</f>
        <v>8</v>
      </c>
      <c r="G300" s="81">
        <v>5000</v>
      </c>
      <c r="I300" s="3" t="s">
        <v>632</v>
      </c>
      <c r="J300" t="s">
        <v>2118</v>
      </c>
      <c r="L30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00"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LED-T8C3FT850</v>
      </c>
    </row>
    <row r="301" spans="1:13" hidden="1" x14ac:dyDescent="0.25">
      <c r="A301" t="s">
        <v>1743</v>
      </c>
      <c r="B301" s="79" t="s">
        <v>1405</v>
      </c>
      <c r="C301" t="s">
        <v>111</v>
      </c>
      <c r="D301">
        <v>3</v>
      </c>
      <c r="E301">
        <v>3</v>
      </c>
      <c r="F301" cm="1">
        <f t="array" ref="F301">_xlfn.IFS(Lutron_CFlex_Lookup[[#This Row],[Kit Lamp Qty]]=1,24,Lutron_CFlex_Lookup[[#This Row],[Kit Lamp Qty]]=2,12,Lutron_CFlex_Lookup[[#This Row],[Kit Lamp Qty]]=3,8)</f>
        <v>8</v>
      </c>
      <c r="G301" s="81">
        <v>5000</v>
      </c>
      <c r="I301" t="s">
        <v>632</v>
      </c>
      <c r="J301" t="s">
        <v>2094</v>
      </c>
      <c r="K301" s="2" t="s">
        <v>2155</v>
      </c>
      <c r="L301"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301"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LED-T8C3FT850</v>
      </c>
    </row>
    <row r="302" spans="1:13" hidden="1" x14ac:dyDescent="0.25">
      <c r="A302" t="s">
        <v>264</v>
      </c>
      <c r="B302" s="86" t="s">
        <v>50</v>
      </c>
      <c r="C302" t="s">
        <v>111</v>
      </c>
      <c r="D302" t="s">
        <v>1406</v>
      </c>
      <c r="E302">
        <v>1</v>
      </c>
      <c r="F302" cm="1">
        <f t="array" ref="F302">_xlfn.IFS(Lutron_CFlex_Lookup[[#This Row],[Kit Lamp Qty]]=1,24,Lutron_CFlex_Lookup[[#This Row],[Kit Lamp Qty]]=2,12,Lutron_CFlex_Lookup[[#This Row],[Kit Lamp Qty]]=3,8)</f>
        <v>24</v>
      </c>
      <c r="G302" s="81">
        <v>3000</v>
      </c>
      <c r="H302">
        <v>2182</v>
      </c>
      <c r="I302" t="s">
        <v>632</v>
      </c>
      <c r="J302" t="s">
        <v>1644</v>
      </c>
      <c r="L30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0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LED-T8CHO4FT830</v>
      </c>
    </row>
    <row r="303" spans="1:13" hidden="1" x14ac:dyDescent="0.25">
      <c r="A303" t="s">
        <v>312</v>
      </c>
      <c r="B303" s="86" t="s">
        <v>1405</v>
      </c>
      <c r="C303" t="s">
        <v>111</v>
      </c>
      <c r="D303" t="s">
        <v>1406</v>
      </c>
      <c r="E303">
        <v>1</v>
      </c>
      <c r="F303" cm="1">
        <f t="array" ref="F303">_xlfn.IFS(Lutron_CFlex_Lookup[[#This Row],[Kit Lamp Qty]]=1,24,Lutron_CFlex_Lookup[[#This Row],[Kit Lamp Qty]]=2,12,Lutron_CFlex_Lookup[[#This Row],[Kit Lamp Qty]]=3,8)</f>
        <v>24</v>
      </c>
      <c r="G303" s="81">
        <v>3000</v>
      </c>
      <c r="H303">
        <v>2182</v>
      </c>
      <c r="I303" t="s">
        <v>632</v>
      </c>
      <c r="J303" t="s">
        <v>1629</v>
      </c>
      <c r="K303" t="s">
        <v>2229</v>
      </c>
      <c r="L303"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303"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LED-T8CHO4FT830</v>
      </c>
    </row>
    <row r="304" spans="1:13" hidden="1" x14ac:dyDescent="0.25">
      <c r="A304" t="s">
        <v>265</v>
      </c>
      <c r="B304" s="86" t="s">
        <v>50</v>
      </c>
      <c r="C304" t="s">
        <v>111</v>
      </c>
      <c r="D304" t="s">
        <v>1406</v>
      </c>
      <c r="E304">
        <v>1</v>
      </c>
      <c r="F304" cm="1">
        <f t="array" ref="F304">_xlfn.IFS(Lutron_CFlex_Lookup[[#This Row],[Kit Lamp Qty]]=1,24,Lutron_CFlex_Lookup[[#This Row],[Kit Lamp Qty]]=2,12,Lutron_CFlex_Lookup[[#This Row],[Kit Lamp Qty]]=3,8)</f>
        <v>24</v>
      </c>
      <c r="G304" s="81">
        <v>3500</v>
      </c>
      <c r="H304">
        <v>2182</v>
      </c>
      <c r="I304" t="s">
        <v>632</v>
      </c>
      <c r="J304" t="s">
        <v>1645</v>
      </c>
      <c r="L30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04"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LED-T8CHO4FT835</v>
      </c>
    </row>
    <row r="305" spans="1:13" hidden="1" x14ac:dyDescent="0.25">
      <c r="A305" t="s">
        <v>313</v>
      </c>
      <c r="B305" s="86" t="s">
        <v>1405</v>
      </c>
      <c r="C305" t="s">
        <v>111</v>
      </c>
      <c r="D305" t="s">
        <v>1406</v>
      </c>
      <c r="E305">
        <v>1</v>
      </c>
      <c r="F305" cm="1">
        <f t="array" ref="F305">_xlfn.IFS(Lutron_CFlex_Lookup[[#This Row],[Kit Lamp Qty]]=1,24,Lutron_CFlex_Lookup[[#This Row],[Kit Lamp Qty]]=2,12,Lutron_CFlex_Lookup[[#This Row],[Kit Lamp Qty]]=3,8)</f>
        <v>24</v>
      </c>
      <c r="G305" s="81">
        <v>3500</v>
      </c>
      <c r="H305">
        <v>2182</v>
      </c>
      <c r="I305" t="s">
        <v>632</v>
      </c>
      <c r="J305" t="s">
        <v>1630</v>
      </c>
      <c r="K305" t="s">
        <v>2230</v>
      </c>
      <c r="L305"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305"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LED-T8CHO4FT835</v>
      </c>
    </row>
    <row r="306" spans="1:13" hidden="1" x14ac:dyDescent="0.25">
      <c r="A306" t="s">
        <v>266</v>
      </c>
      <c r="B306" s="86" t="s">
        <v>50</v>
      </c>
      <c r="C306" t="s">
        <v>111</v>
      </c>
      <c r="D306" t="s">
        <v>1406</v>
      </c>
      <c r="E306">
        <v>1</v>
      </c>
      <c r="F306" cm="1">
        <f t="array" ref="F306">_xlfn.IFS(Lutron_CFlex_Lookup[[#This Row],[Kit Lamp Qty]]=1,24,Lutron_CFlex_Lookup[[#This Row],[Kit Lamp Qty]]=2,12,Lutron_CFlex_Lookup[[#This Row],[Kit Lamp Qty]]=3,8)</f>
        <v>24</v>
      </c>
      <c r="G306" s="81">
        <v>4000</v>
      </c>
      <c r="H306">
        <v>2182</v>
      </c>
      <c r="I306" t="s">
        <v>632</v>
      </c>
      <c r="J306" t="s">
        <v>1646</v>
      </c>
      <c r="L30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06"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LED-T8CHO4FT840</v>
      </c>
    </row>
    <row r="307" spans="1:13" hidden="1" x14ac:dyDescent="0.25">
      <c r="A307" t="s">
        <v>314</v>
      </c>
      <c r="B307" s="86" t="s">
        <v>1405</v>
      </c>
      <c r="C307" t="s">
        <v>111</v>
      </c>
      <c r="D307" t="s">
        <v>1406</v>
      </c>
      <c r="E307">
        <v>1</v>
      </c>
      <c r="F307" cm="1">
        <f t="array" ref="F307">_xlfn.IFS(Lutron_CFlex_Lookup[[#This Row],[Kit Lamp Qty]]=1,24,Lutron_CFlex_Lookup[[#This Row],[Kit Lamp Qty]]=2,12,Lutron_CFlex_Lookup[[#This Row],[Kit Lamp Qty]]=3,8)</f>
        <v>24</v>
      </c>
      <c r="G307" s="81">
        <v>4000</v>
      </c>
      <c r="H307">
        <v>2182</v>
      </c>
      <c r="I307" t="s">
        <v>632</v>
      </c>
      <c r="J307" t="s">
        <v>1631</v>
      </c>
      <c r="K307" t="s">
        <v>2231</v>
      </c>
      <c r="L307"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307"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LED-T8CHO4FT840</v>
      </c>
    </row>
    <row r="308" spans="1:13" hidden="1" x14ac:dyDescent="0.25">
      <c r="A308" t="s">
        <v>1829</v>
      </c>
      <c r="B308" s="79" t="s">
        <v>50</v>
      </c>
      <c r="C308" s="3" t="s">
        <v>111</v>
      </c>
      <c r="D308" s="3">
        <v>4</v>
      </c>
      <c r="E308">
        <v>1</v>
      </c>
      <c r="F308" cm="1">
        <f t="array" ref="F308">_xlfn.IFS(Lutron_CFlex_Lookup[[#This Row],[Kit Lamp Qty]]=1,24,Lutron_CFlex_Lookup[[#This Row],[Kit Lamp Qty]]=2,12,Lutron_CFlex_Lookup[[#This Row],[Kit Lamp Qty]]=3,8)</f>
        <v>24</v>
      </c>
      <c r="G308" s="81">
        <v>5000</v>
      </c>
      <c r="H308">
        <v>2182</v>
      </c>
      <c r="I308" s="3" t="s">
        <v>632</v>
      </c>
      <c r="J308" t="s">
        <v>2071</v>
      </c>
      <c r="L30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08"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LED-T8CHO4FT850</v>
      </c>
    </row>
    <row r="309" spans="1:13" hidden="1" x14ac:dyDescent="0.25">
      <c r="A309" t="s">
        <v>1744</v>
      </c>
      <c r="B309" s="79" t="s">
        <v>1405</v>
      </c>
      <c r="C309" t="s">
        <v>111</v>
      </c>
      <c r="D309">
        <v>4</v>
      </c>
      <c r="E309">
        <v>1</v>
      </c>
      <c r="F309" cm="1">
        <f t="array" ref="F309">_xlfn.IFS(Lutron_CFlex_Lookup[[#This Row],[Kit Lamp Qty]]=1,24,Lutron_CFlex_Lookup[[#This Row],[Kit Lamp Qty]]=2,12,Lutron_CFlex_Lookup[[#This Row],[Kit Lamp Qty]]=3,8)</f>
        <v>24</v>
      </c>
      <c r="G309" s="81">
        <v>5000</v>
      </c>
      <c r="H309">
        <v>2182</v>
      </c>
      <c r="I309" t="s">
        <v>632</v>
      </c>
      <c r="J309" t="s">
        <v>2001</v>
      </c>
      <c r="K309" s="2" t="s">
        <v>2225</v>
      </c>
      <c r="L309" s="2" t="str">
        <f>_xlfn.XLOOKUP(Lutron_CFlex_Lookup[[#This Row],[C-FLEX Individual Kit]],Grackle_LED_Map[LED EcoSystem SKU],Grackle_LED_Map[EcoSystem Drivers],"",0)&amp;_xlfn.XLOOKUP(Lutron_CFlex_Lookup[[#This Row],[C-FLEX Individual Kit]],Grackle_LED_Map[LED 3W SKU with and without BMF],Grackle_LED_Map[3W Drivers],"",0)</f>
        <v>LDE2MNKA-1</v>
      </c>
      <c r="M309"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LED-T8CHO4FT850</v>
      </c>
    </row>
    <row r="310" spans="1:13" hidden="1" x14ac:dyDescent="0.25">
      <c r="A310" t="s">
        <v>145</v>
      </c>
      <c r="B310" s="86" t="s">
        <v>50</v>
      </c>
      <c r="C310" t="s">
        <v>111</v>
      </c>
      <c r="D310" t="s">
        <v>1406</v>
      </c>
      <c r="E310">
        <v>2</v>
      </c>
      <c r="F310" cm="1">
        <f t="array" ref="F310">_xlfn.IFS(Lutron_CFlex_Lookup[[#This Row],[Kit Lamp Qty]]=1,24,Lutron_CFlex_Lookup[[#This Row],[Kit Lamp Qty]]=2,12,Lutron_CFlex_Lookup[[#This Row],[Kit Lamp Qty]]=3,8)</f>
        <v>12</v>
      </c>
      <c r="G310" s="81">
        <v>3000</v>
      </c>
      <c r="H310">
        <v>4365</v>
      </c>
      <c r="I310" t="s">
        <v>632</v>
      </c>
      <c r="J310" t="s">
        <v>1617</v>
      </c>
      <c r="L31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10"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LED-T8CHO4FT830</v>
      </c>
    </row>
    <row r="311" spans="1:13" hidden="1" x14ac:dyDescent="0.25">
      <c r="A311" t="s">
        <v>316</v>
      </c>
      <c r="B311" s="86" t="s">
        <v>1405</v>
      </c>
      <c r="C311" t="s">
        <v>111</v>
      </c>
      <c r="D311" t="s">
        <v>1406</v>
      </c>
      <c r="E311">
        <v>2</v>
      </c>
      <c r="F311" cm="1">
        <f t="array" ref="F311">_xlfn.IFS(Lutron_CFlex_Lookup[[#This Row],[Kit Lamp Qty]]=1,24,Lutron_CFlex_Lookup[[#This Row],[Kit Lamp Qty]]=2,12,Lutron_CFlex_Lookup[[#This Row],[Kit Lamp Qty]]=3,8)</f>
        <v>12</v>
      </c>
      <c r="G311" s="81">
        <v>3000</v>
      </c>
      <c r="H311">
        <v>4365</v>
      </c>
      <c r="I311" t="s">
        <v>632</v>
      </c>
      <c r="J311" t="s">
        <v>1605</v>
      </c>
      <c r="K311" t="s">
        <v>2131</v>
      </c>
      <c r="L311"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311"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LED-T8CHO4FT830</v>
      </c>
    </row>
    <row r="312" spans="1:13" hidden="1" x14ac:dyDescent="0.25">
      <c r="A312" t="s">
        <v>146</v>
      </c>
      <c r="B312" s="86" t="s">
        <v>50</v>
      </c>
      <c r="C312" t="s">
        <v>111</v>
      </c>
      <c r="D312" t="s">
        <v>1406</v>
      </c>
      <c r="E312">
        <v>2</v>
      </c>
      <c r="F312" cm="1">
        <f t="array" ref="F312">_xlfn.IFS(Lutron_CFlex_Lookup[[#This Row],[Kit Lamp Qty]]=1,24,Lutron_CFlex_Lookup[[#This Row],[Kit Lamp Qty]]=2,12,Lutron_CFlex_Lookup[[#This Row],[Kit Lamp Qty]]=3,8)</f>
        <v>12</v>
      </c>
      <c r="G312" s="81">
        <v>3500</v>
      </c>
      <c r="H312">
        <v>4365</v>
      </c>
      <c r="I312" t="s">
        <v>632</v>
      </c>
      <c r="J312" t="s">
        <v>1618</v>
      </c>
      <c r="L31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1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LED-T8CHO4FT835</v>
      </c>
    </row>
    <row r="313" spans="1:13" hidden="1" x14ac:dyDescent="0.25">
      <c r="A313" t="s">
        <v>317</v>
      </c>
      <c r="B313" s="86" t="s">
        <v>1405</v>
      </c>
      <c r="C313" t="s">
        <v>111</v>
      </c>
      <c r="D313" t="s">
        <v>1406</v>
      </c>
      <c r="E313">
        <v>2</v>
      </c>
      <c r="F313" cm="1">
        <f t="array" ref="F313">_xlfn.IFS(Lutron_CFlex_Lookup[[#This Row],[Kit Lamp Qty]]=1,24,Lutron_CFlex_Lookup[[#This Row],[Kit Lamp Qty]]=2,12,Lutron_CFlex_Lookup[[#This Row],[Kit Lamp Qty]]=3,8)</f>
        <v>12</v>
      </c>
      <c r="G313" s="81">
        <v>3500</v>
      </c>
      <c r="H313">
        <v>4365</v>
      </c>
      <c r="I313" t="s">
        <v>632</v>
      </c>
      <c r="J313" t="s">
        <v>1606</v>
      </c>
      <c r="K313" t="s">
        <v>2132</v>
      </c>
      <c r="L313"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313"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LED-T8CHO4FT835</v>
      </c>
    </row>
    <row r="314" spans="1:13" hidden="1" x14ac:dyDescent="0.25">
      <c r="A314" t="s">
        <v>147</v>
      </c>
      <c r="B314" s="86" t="s">
        <v>50</v>
      </c>
      <c r="C314" t="s">
        <v>111</v>
      </c>
      <c r="D314" t="s">
        <v>1406</v>
      </c>
      <c r="E314">
        <v>2</v>
      </c>
      <c r="F314" cm="1">
        <f t="array" ref="F314">_xlfn.IFS(Lutron_CFlex_Lookup[[#This Row],[Kit Lamp Qty]]=1,24,Lutron_CFlex_Lookup[[#This Row],[Kit Lamp Qty]]=2,12,Lutron_CFlex_Lookup[[#This Row],[Kit Lamp Qty]]=3,8)</f>
        <v>12</v>
      </c>
      <c r="G314" s="81">
        <v>4000</v>
      </c>
      <c r="H314">
        <v>4365</v>
      </c>
      <c r="I314" t="s">
        <v>632</v>
      </c>
      <c r="J314" t="s">
        <v>1619</v>
      </c>
      <c r="L31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14"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LED-T8CHO4FT840</v>
      </c>
    </row>
    <row r="315" spans="1:13" hidden="1" x14ac:dyDescent="0.25">
      <c r="A315" t="s">
        <v>318</v>
      </c>
      <c r="B315" s="86" t="s">
        <v>1405</v>
      </c>
      <c r="C315" t="s">
        <v>111</v>
      </c>
      <c r="D315" t="s">
        <v>1406</v>
      </c>
      <c r="E315">
        <v>2</v>
      </c>
      <c r="F315" cm="1">
        <f t="array" ref="F315">_xlfn.IFS(Lutron_CFlex_Lookup[[#This Row],[Kit Lamp Qty]]=1,24,Lutron_CFlex_Lookup[[#This Row],[Kit Lamp Qty]]=2,12,Lutron_CFlex_Lookup[[#This Row],[Kit Lamp Qty]]=3,8)</f>
        <v>12</v>
      </c>
      <c r="G315" s="81">
        <v>4000</v>
      </c>
      <c r="H315">
        <v>4365</v>
      </c>
      <c r="I315" t="s">
        <v>632</v>
      </c>
      <c r="J315" t="s">
        <v>1607</v>
      </c>
      <c r="K315" t="s">
        <v>2133</v>
      </c>
      <c r="L315"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315"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LED-T8CHO4FT840</v>
      </c>
    </row>
    <row r="316" spans="1:13" hidden="1" x14ac:dyDescent="0.25">
      <c r="A316" t="s">
        <v>1830</v>
      </c>
      <c r="B316" s="79" t="s">
        <v>50</v>
      </c>
      <c r="C316" s="3" t="s">
        <v>111</v>
      </c>
      <c r="D316" s="3">
        <v>4</v>
      </c>
      <c r="E316">
        <v>2</v>
      </c>
      <c r="F316" cm="1">
        <f t="array" ref="F316">_xlfn.IFS(Lutron_CFlex_Lookup[[#This Row],[Kit Lamp Qty]]=1,24,Lutron_CFlex_Lookup[[#This Row],[Kit Lamp Qty]]=2,12,Lutron_CFlex_Lookup[[#This Row],[Kit Lamp Qty]]=3,8)</f>
        <v>12</v>
      </c>
      <c r="G316" s="81">
        <v>5000</v>
      </c>
      <c r="H316">
        <v>4365</v>
      </c>
      <c r="I316" s="3" t="s">
        <v>632</v>
      </c>
      <c r="J316" t="s">
        <v>1930</v>
      </c>
      <c r="L31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16"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LED-T8CHO4FT850</v>
      </c>
    </row>
    <row r="317" spans="1:13" hidden="1" x14ac:dyDescent="0.25">
      <c r="A317" t="s">
        <v>1745</v>
      </c>
      <c r="B317" s="79" t="s">
        <v>1405</v>
      </c>
      <c r="C317" t="s">
        <v>111</v>
      </c>
      <c r="D317">
        <v>4</v>
      </c>
      <c r="E317">
        <v>2</v>
      </c>
      <c r="F317" cm="1">
        <f t="array" ref="F317">_xlfn.IFS(Lutron_CFlex_Lookup[[#This Row],[Kit Lamp Qty]]=1,24,Lutron_CFlex_Lookup[[#This Row],[Kit Lamp Qty]]=2,12,Lutron_CFlex_Lookup[[#This Row],[Kit Lamp Qty]]=3,8)</f>
        <v>12</v>
      </c>
      <c r="G317" s="81">
        <v>5000</v>
      </c>
      <c r="H317">
        <v>4365</v>
      </c>
      <c r="I317" t="s">
        <v>632</v>
      </c>
      <c r="J317" t="s">
        <v>1886</v>
      </c>
      <c r="K317" s="2" t="s">
        <v>2190</v>
      </c>
      <c r="L317"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317"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LED-T8CHO4FT850</v>
      </c>
    </row>
    <row r="318" spans="1:13" hidden="1" x14ac:dyDescent="0.25">
      <c r="A318" t="s">
        <v>277</v>
      </c>
      <c r="B318" s="79" t="s">
        <v>50</v>
      </c>
      <c r="C318" s="3" t="s">
        <v>111</v>
      </c>
      <c r="D318" s="3">
        <v>4</v>
      </c>
      <c r="E318">
        <v>3</v>
      </c>
      <c r="F318" cm="1">
        <f t="array" ref="F318">_xlfn.IFS(Lutron_CFlex_Lookup[[#This Row],[Kit Lamp Qty]]=1,24,Lutron_CFlex_Lookup[[#This Row],[Kit Lamp Qty]]=2,12,Lutron_CFlex_Lookup[[#This Row],[Kit Lamp Qty]]=3,8)</f>
        <v>8</v>
      </c>
      <c r="G318" s="81">
        <v>3000</v>
      </c>
      <c r="H318">
        <v>6547</v>
      </c>
      <c r="I318" s="3" t="s">
        <v>632</v>
      </c>
      <c r="J318" t="s">
        <v>2119</v>
      </c>
      <c r="L31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18"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LED-T8CHO4FT830</v>
      </c>
    </row>
    <row r="319" spans="1:13" hidden="1" x14ac:dyDescent="0.25">
      <c r="A319" t="s">
        <v>495</v>
      </c>
      <c r="B319" s="79" t="s">
        <v>1405</v>
      </c>
      <c r="C319" t="s">
        <v>111</v>
      </c>
      <c r="D319">
        <v>4</v>
      </c>
      <c r="E319">
        <v>3</v>
      </c>
      <c r="F319" cm="1">
        <f t="array" ref="F319">_xlfn.IFS(Lutron_CFlex_Lookup[[#This Row],[Kit Lamp Qty]]=1,24,Lutron_CFlex_Lookup[[#This Row],[Kit Lamp Qty]]=2,12,Lutron_CFlex_Lookup[[#This Row],[Kit Lamp Qty]]=3,8)</f>
        <v>8</v>
      </c>
      <c r="G319" s="81">
        <v>3000</v>
      </c>
      <c r="H319">
        <v>6547</v>
      </c>
      <c r="I319" t="s">
        <v>632</v>
      </c>
      <c r="J319" t="s">
        <v>2095</v>
      </c>
      <c r="K319" s="2" t="s">
        <v>2156</v>
      </c>
      <c r="L319"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319"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LED-T8CHO4FT830</v>
      </c>
    </row>
    <row r="320" spans="1:13" hidden="1" x14ac:dyDescent="0.25">
      <c r="A320" t="s">
        <v>278</v>
      </c>
      <c r="B320" s="79" t="s">
        <v>50</v>
      </c>
      <c r="C320" s="3" t="s">
        <v>111</v>
      </c>
      <c r="D320" s="3">
        <v>4</v>
      </c>
      <c r="E320">
        <v>3</v>
      </c>
      <c r="F320" cm="1">
        <f t="array" ref="F320">_xlfn.IFS(Lutron_CFlex_Lookup[[#This Row],[Kit Lamp Qty]]=1,24,Lutron_CFlex_Lookup[[#This Row],[Kit Lamp Qty]]=2,12,Lutron_CFlex_Lookup[[#This Row],[Kit Lamp Qty]]=3,8)</f>
        <v>8</v>
      </c>
      <c r="G320" s="81">
        <v>3500</v>
      </c>
      <c r="H320">
        <v>6547</v>
      </c>
      <c r="I320" s="3" t="s">
        <v>632</v>
      </c>
      <c r="J320" t="s">
        <v>2120</v>
      </c>
      <c r="L32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20"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LED-T8CHO4FT835</v>
      </c>
    </row>
    <row r="321" spans="1:13" hidden="1" x14ac:dyDescent="0.25">
      <c r="A321" t="s">
        <v>496</v>
      </c>
      <c r="B321" s="79" t="s">
        <v>1405</v>
      </c>
      <c r="C321" t="s">
        <v>111</v>
      </c>
      <c r="D321">
        <v>4</v>
      </c>
      <c r="E321">
        <v>3</v>
      </c>
      <c r="F321" cm="1">
        <f t="array" ref="F321">_xlfn.IFS(Lutron_CFlex_Lookup[[#This Row],[Kit Lamp Qty]]=1,24,Lutron_CFlex_Lookup[[#This Row],[Kit Lamp Qty]]=2,12,Lutron_CFlex_Lookup[[#This Row],[Kit Lamp Qty]]=3,8)</f>
        <v>8</v>
      </c>
      <c r="G321" s="81">
        <v>3500</v>
      </c>
      <c r="H321">
        <v>6547</v>
      </c>
      <c r="I321" t="s">
        <v>632</v>
      </c>
      <c r="J321" t="s">
        <v>2096</v>
      </c>
      <c r="K321" s="2" t="s">
        <v>2157</v>
      </c>
      <c r="L321"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321"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LED-T8CHO4FT835</v>
      </c>
    </row>
    <row r="322" spans="1:13" hidden="1" x14ac:dyDescent="0.25">
      <c r="A322" t="s">
        <v>279</v>
      </c>
      <c r="B322" s="79" t="s">
        <v>50</v>
      </c>
      <c r="C322" s="3" t="s">
        <v>111</v>
      </c>
      <c r="D322" s="3">
        <v>4</v>
      </c>
      <c r="E322">
        <v>3</v>
      </c>
      <c r="F322" cm="1">
        <f t="array" ref="F322">_xlfn.IFS(Lutron_CFlex_Lookup[[#This Row],[Kit Lamp Qty]]=1,24,Lutron_CFlex_Lookup[[#This Row],[Kit Lamp Qty]]=2,12,Lutron_CFlex_Lookup[[#This Row],[Kit Lamp Qty]]=3,8)</f>
        <v>8</v>
      </c>
      <c r="G322" s="81">
        <v>4000</v>
      </c>
      <c r="H322">
        <v>6547</v>
      </c>
      <c r="I322" s="3" t="s">
        <v>632</v>
      </c>
      <c r="J322" t="s">
        <v>2121</v>
      </c>
      <c r="L32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2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LED-T8CHO4FT840</v>
      </c>
    </row>
    <row r="323" spans="1:13" hidden="1" x14ac:dyDescent="0.25">
      <c r="A323" t="s">
        <v>497</v>
      </c>
      <c r="B323" s="79" t="s">
        <v>1405</v>
      </c>
      <c r="C323" t="s">
        <v>111</v>
      </c>
      <c r="D323">
        <v>4</v>
      </c>
      <c r="E323">
        <v>3</v>
      </c>
      <c r="F323" cm="1">
        <f t="array" ref="F323">_xlfn.IFS(Lutron_CFlex_Lookup[[#This Row],[Kit Lamp Qty]]=1,24,Lutron_CFlex_Lookup[[#This Row],[Kit Lamp Qty]]=2,12,Lutron_CFlex_Lookup[[#This Row],[Kit Lamp Qty]]=3,8)</f>
        <v>8</v>
      </c>
      <c r="G323" s="81">
        <v>4000</v>
      </c>
      <c r="H323">
        <v>6547</v>
      </c>
      <c r="I323" t="s">
        <v>632</v>
      </c>
      <c r="J323" t="s">
        <v>2097</v>
      </c>
      <c r="K323" s="2" t="s">
        <v>2158</v>
      </c>
      <c r="L323"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323"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LED-T8CHO4FT840</v>
      </c>
    </row>
    <row r="324" spans="1:13" hidden="1" x14ac:dyDescent="0.25">
      <c r="A324" t="s">
        <v>1831</v>
      </c>
      <c r="B324" s="79" t="s">
        <v>50</v>
      </c>
      <c r="C324" s="3" t="s">
        <v>111</v>
      </c>
      <c r="D324" s="3">
        <v>4</v>
      </c>
      <c r="E324">
        <v>3</v>
      </c>
      <c r="F324" cm="1">
        <f t="array" ref="F324">_xlfn.IFS(Lutron_CFlex_Lookup[[#This Row],[Kit Lamp Qty]]=1,24,Lutron_CFlex_Lookup[[#This Row],[Kit Lamp Qty]]=2,12,Lutron_CFlex_Lookup[[#This Row],[Kit Lamp Qty]]=3,8)</f>
        <v>8</v>
      </c>
      <c r="G324" s="81">
        <v>5000</v>
      </c>
      <c r="H324">
        <v>6547</v>
      </c>
      <c r="I324" s="3" t="s">
        <v>632</v>
      </c>
      <c r="J324" t="s">
        <v>2122</v>
      </c>
      <c r="L32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24"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LED-T8CHO4FT850</v>
      </c>
    </row>
    <row r="325" spans="1:13" hidden="1" x14ac:dyDescent="0.25">
      <c r="A325" t="s">
        <v>1746</v>
      </c>
      <c r="B325" s="79" t="s">
        <v>1405</v>
      </c>
      <c r="C325" s="90" t="s">
        <v>111</v>
      </c>
      <c r="D325">
        <v>4</v>
      </c>
      <c r="E325">
        <v>3</v>
      </c>
      <c r="F325" cm="1">
        <f t="array" ref="F325">_xlfn.IFS(Lutron_CFlex_Lookup[[#This Row],[Kit Lamp Qty]]=1,24,Lutron_CFlex_Lookup[[#This Row],[Kit Lamp Qty]]=2,12,Lutron_CFlex_Lookup[[#This Row],[Kit Lamp Qty]]=3,8)</f>
        <v>8</v>
      </c>
      <c r="G325" s="81">
        <v>5000</v>
      </c>
      <c r="H325">
        <v>6547</v>
      </c>
      <c r="I325" t="s">
        <v>632</v>
      </c>
      <c r="J325" t="s">
        <v>2098</v>
      </c>
      <c r="K325" s="2" t="s">
        <v>2159</v>
      </c>
      <c r="L325"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325"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LED-T8CHO4FT850</v>
      </c>
    </row>
    <row r="326" spans="1:13" hidden="1" x14ac:dyDescent="0.25">
      <c r="A326" t="s">
        <v>1832</v>
      </c>
      <c r="B326" s="79" t="s">
        <v>50</v>
      </c>
      <c r="C326" s="3" t="s">
        <v>1761</v>
      </c>
      <c r="D326" s="3">
        <v>4</v>
      </c>
      <c r="E326">
        <v>1</v>
      </c>
      <c r="F326" cm="1">
        <f t="array" ref="F326">_xlfn.IFS(Lutron_CFlex_Lookup[[#This Row],[Kit Lamp Qty]]=1,24,Lutron_CFlex_Lookup[[#This Row],[Kit Lamp Qty]]=2,12,Lutron_CFlex_Lookup[[#This Row],[Kit Lamp Qty]]=3,8)</f>
        <v>24</v>
      </c>
      <c r="G326" s="81">
        <v>3000</v>
      </c>
      <c r="I326" s="3" t="s">
        <v>632</v>
      </c>
      <c r="J326" t="s">
        <v>2072</v>
      </c>
      <c r="L32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26"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LED-T8CHO4FT830</v>
      </c>
    </row>
    <row r="327" spans="1:13" hidden="1" x14ac:dyDescent="0.25">
      <c r="A327" t="s">
        <v>1747</v>
      </c>
      <c r="B327" s="79" t="s">
        <v>1405</v>
      </c>
      <c r="C327" t="s">
        <v>1761</v>
      </c>
      <c r="D327">
        <v>4</v>
      </c>
      <c r="E327">
        <v>1</v>
      </c>
      <c r="F327" cm="1">
        <f t="array" ref="F327">_xlfn.IFS(Lutron_CFlex_Lookup[[#This Row],[Kit Lamp Qty]]=1,24,Lutron_CFlex_Lookup[[#This Row],[Kit Lamp Qty]]=2,12,Lutron_CFlex_Lookup[[#This Row],[Kit Lamp Qty]]=3,8)</f>
        <v>24</v>
      </c>
      <c r="G327" s="81">
        <v>3000</v>
      </c>
      <c r="I327" t="s">
        <v>632</v>
      </c>
      <c r="J327" t="s">
        <v>2002</v>
      </c>
      <c r="K327" s="2" t="s">
        <v>2226</v>
      </c>
      <c r="L327"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327"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LED-T8CHO4FT830</v>
      </c>
    </row>
    <row r="328" spans="1:13" hidden="1" x14ac:dyDescent="0.25">
      <c r="A328" t="s">
        <v>1833</v>
      </c>
      <c r="B328" s="79" t="s">
        <v>50</v>
      </c>
      <c r="C328" s="3" t="s">
        <v>1761</v>
      </c>
      <c r="D328" s="3">
        <v>4</v>
      </c>
      <c r="E328">
        <v>1</v>
      </c>
      <c r="F328" cm="1">
        <f t="array" ref="F328">_xlfn.IFS(Lutron_CFlex_Lookup[[#This Row],[Kit Lamp Qty]]=1,24,Lutron_CFlex_Lookup[[#This Row],[Kit Lamp Qty]]=2,12,Lutron_CFlex_Lookup[[#This Row],[Kit Lamp Qty]]=3,8)</f>
        <v>24</v>
      </c>
      <c r="G328" s="81">
        <v>3500</v>
      </c>
      <c r="I328" s="3" t="s">
        <v>632</v>
      </c>
      <c r="J328" t="s">
        <v>2073</v>
      </c>
      <c r="L32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28"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LED-T8CHO4FT835</v>
      </c>
    </row>
    <row r="329" spans="1:13" hidden="1" x14ac:dyDescent="0.25">
      <c r="A329" t="s">
        <v>1748</v>
      </c>
      <c r="B329" s="79" t="s">
        <v>1405</v>
      </c>
      <c r="C329" t="s">
        <v>1761</v>
      </c>
      <c r="D329">
        <v>4</v>
      </c>
      <c r="E329">
        <v>1</v>
      </c>
      <c r="F329" cm="1">
        <f t="array" ref="F329">_xlfn.IFS(Lutron_CFlex_Lookup[[#This Row],[Kit Lamp Qty]]=1,24,Lutron_CFlex_Lookup[[#This Row],[Kit Lamp Qty]]=2,12,Lutron_CFlex_Lookup[[#This Row],[Kit Lamp Qty]]=3,8)</f>
        <v>24</v>
      </c>
      <c r="G329" s="81">
        <v>3500</v>
      </c>
      <c r="I329" t="s">
        <v>632</v>
      </c>
      <c r="J329" t="s">
        <v>2003</v>
      </c>
      <c r="K329" s="2" t="s">
        <v>2227</v>
      </c>
      <c r="L329"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329"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LED-T8CHO4FT835</v>
      </c>
    </row>
    <row r="330" spans="1:13" hidden="1" x14ac:dyDescent="0.25">
      <c r="A330" t="s">
        <v>1834</v>
      </c>
      <c r="B330" s="79" t="s">
        <v>50</v>
      </c>
      <c r="C330" s="3" t="s">
        <v>1761</v>
      </c>
      <c r="D330" s="3">
        <v>4</v>
      </c>
      <c r="E330">
        <v>1</v>
      </c>
      <c r="F330" cm="1">
        <f t="array" ref="F330">_xlfn.IFS(Lutron_CFlex_Lookup[[#This Row],[Kit Lamp Qty]]=1,24,Lutron_CFlex_Lookup[[#This Row],[Kit Lamp Qty]]=2,12,Lutron_CFlex_Lookup[[#This Row],[Kit Lamp Qty]]=3,8)</f>
        <v>24</v>
      </c>
      <c r="G330" s="81">
        <v>4000</v>
      </c>
      <c r="I330" s="3" t="s">
        <v>632</v>
      </c>
      <c r="J330" t="s">
        <v>2072</v>
      </c>
      <c r="L33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30"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LED-T8CHO4FT840</v>
      </c>
    </row>
    <row r="331" spans="1:13" hidden="1" x14ac:dyDescent="0.25">
      <c r="A331" t="s">
        <v>1749</v>
      </c>
      <c r="B331" s="79" t="s">
        <v>1405</v>
      </c>
      <c r="C331" t="s">
        <v>1761</v>
      </c>
      <c r="D331">
        <v>4</v>
      </c>
      <c r="E331">
        <v>1</v>
      </c>
      <c r="F331" cm="1">
        <f t="array" ref="F331">_xlfn.IFS(Lutron_CFlex_Lookup[[#This Row],[Kit Lamp Qty]]=1,24,Lutron_CFlex_Lookup[[#This Row],[Kit Lamp Qty]]=2,12,Lutron_CFlex_Lookup[[#This Row],[Kit Lamp Qty]]=3,8)</f>
        <v>24</v>
      </c>
      <c r="G331" s="81">
        <v>4000</v>
      </c>
      <c r="I331" t="s">
        <v>632</v>
      </c>
      <c r="J331" t="s">
        <v>2002</v>
      </c>
      <c r="K331" s="2" t="s">
        <v>2226</v>
      </c>
      <c r="L331"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331"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LED-T8CHO4FT840</v>
      </c>
    </row>
    <row r="332" spans="1:13" hidden="1" x14ac:dyDescent="0.25">
      <c r="A332" t="s">
        <v>1835</v>
      </c>
      <c r="B332" s="79" t="s">
        <v>50</v>
      </c>
      <c r="C332" s="3" t="s">
        <v>1761</v>
      </c>
      <c r="D332" s="3">
        <v>4</v>
      </c>
      <c r="E332">
        <v>1</v>
      </c>
      <c r="F332" cm="1">
        <f t="array" ref="F332">_xlfn.IFS(Lutron_CFlex_Lookup[[#This Row],[Kit Lamp Qty]]=1,24,Lutron_CFlex_Lookup[[#This Row],[Kit Lamp Qty]]=2,12,Lutron_CFlex_Lookup[[#This Row],[Kit Lamp Qty]]=3,8)</f>
        <v>24</v>
      </c>
      <c r="G332" s="81">
        <v>5000</v>
      </c>
      <c r="I332" s="3" t="s">
        <v>632</v>
      </c>
      <c r="J332" t="s">
        <v>2074</v>
      </c>
      <c r="L332"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3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LED-T8CHO4FT850</v>
      </c>
    </row>
    <row r="333" spans="1:13" hidden="1" x14ac:dyDescent="0.25">
      <c r="A333" t="s">
        <v>1750</v>
      </c>
      <c r="B333" s="82" t="s">
        <v>1405</v>
      </c>
      <c r="C333" t="s">
        <v>1761</v>
      </c>
      <c r="D333">
        <v>4</v>
      </c>
      <c r="E333">
        <v>1</v>
      </c>
      <c r="F333" cm="1">
        <f t="array" ref="F333">_xlfn.IFS(Lutron_CFlex_Lookup[[#This Row],[Kit Lamp Qty]]=1,24,Lutron_CFlex_Lookup[[#This Row],[Kit Lamp Qty]]=2,12,Lutron_CFlex_Lookup[[#This Row],[Kit Lamp Qty]]=3,8)</f>
        <v>24</v>
      </c>
      <c r="G333" s="81">
        <v>5000</v>
      </c>
      <c r="I333" t="s">
        <v>632</v>
      </c>
      <c r="J333" t="s">
        <v>2004</v>
      </c>
      <c r="K333" s="2" t="s">
        <v>2228</v>
      </c>
      <c r="L333" s="2" t="str">
        <f>_xlfn.XLOOKUP(Lutron_CFlex_Lookup[[#This Row],[C-FLEX Individual Kit]],Grackle_LED_Map[LED EcoSystem SKU],Grackle_LED_Map[EcoSystem Drivers],"",0)&amp;_xlfn.XLOOKUP(Lutron_CFlex_Lookup[[#This Row],[C-FLEX Individual Kit]],Grackle_LED_Map[LED 3W SKU with and without BMF],Grackle_LED_Map[3W Drivers],"",0)</f>
        <v>LDE3MNTA-1</v>
      </c>
      <c r="M333"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LED-T8CHO4FT850</v>
      </c>
    </row>
    <row r="334" spans="1:13" hidden="1" x14ac:dyDescent="0.25">
      <c r="A334" t="s">
        <v>1836</v>
      </c>
      <c r="B334" s="79" t="s">
        <v>50</v>
      </c>
      <c r="C334" s="80" t="s">
        <v>1761</v>
      </c>
      <c r="D334" s="3">
        <v>4</v>
      </c>
      <c r="E334">
        <v>2</v>
      </c>
      <c r="F334" cm="1">
        <f t="array" ref="F334">_xlfn.IFS(Lutron_CFlex_Lookup[[#This Row],[Kit Lamp Qty]]=1,24,Lutron_CFlex_Lookup[[#This Row],[Kit Lamp Qty]]=2,12,Lutron_CFlex_Lookup[[#This Row],[Kit Lamp Qty]]=3,8)</f>
        <v>12</v>
      </c>
      <c r="G334" s="81">
        <v>3000</v>
      </c>
      <c r="I334" s="3" t="s">
        <v>632</v>
      </c>
      <c r="J334" t="s">
        <v>1931</v>
      </c>
      <c r="L334"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34"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LED-T8CHO4FT830</v>
      </c>
    </row>
    <row r="335" spans="1:13" hidden="1" x14ac:dyDescent="0.25">
      <c r="A335" t="s">
        <v>1751</v>
      </c>
      <c r="B335" s="79" t="s">
        <v>1405</v>
      </c>
      <c r="C335" s="90" t="s">
        <v>1761</v>
      </c>
      <c r="D335">
        <v>4</v>
      </c>
      <c r="E335">
        <v>2</v>
      </c>
      <c r="F335" cm="1">
        <f t="array" ref="F335">_xlfn.IFS(Lutron_CFlex_Lookup[[#This Row],[Kit Lamp Qty]]=1,24,Lutron_CFlex_Lookup[[#This Row],[Kit Lamp Qty]]=2,12,Lutron_CFlex_Lookup[[#This Row],[Kit Lamp Qty]]=3,8)</f>
        <v>12</v>
      </c>
      <c r="G335" s="81">
        <v>3000</v>
      </c>
      <c r="I335" t="s">
        <v>632</v>
      </c>
      <c r="J335" t="s">
        <v>1887</v>
      </c>
      <c r="K335" s="2" t="s">
        <v>2191</v>
      </c>
      <c r="L335"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335"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LED-T8CHO4FT830</v>
      </c>
    </row>
    <row r="336" spans="1:13" hidden="1" x14ac:dyDescent="0.25">
      <c r="A336" t="s">
        <v>1837</v>
      </c>
      <c r="B336" s="79" t="s">
        <v>50</v>
      </c>
      <c r="C336" s="80" t="s">
        <v>1761</v>
      </c>
      <c r="D336" s="3">
        <v>4</v>
      </c>
      <c r="E336">
        <v>2</v>
      </c>
      <c r="F336" cm="1">
        <f t="array" ref="F336">_xlfn.IFS(Lutron_CFlex_Lookup[[#This Row],[Kit Lamp Qty]]=1,24,Lutron_CFlex_Lookup[[#This Row],[Kit Lamp Qty]]=2,12,Lutron_CFlex_Lookup[[#This Row],[Kit Lamp Qty]]=3,8)</f>
        <v>12</v>
      </c>
      <c r="G336" s="81">
        <v>3500</v>
      </c>
      <c r="I336" s="3" t="s">
        <v>632</v>
      </c>
      <c r="J336" t="s">
        <v>1932</v>
      </c>
      <c r="L336"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36"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LED-T8CHO4FT835</v>
      </c>
    </row>
    <row r="337" spans="1:14" hidden="1" x14ac:dyDescent="0.25">
      <c r="A337" t="s">
        <v>1752</v>
      </c>
      <c r="B337" s="79" t="s">
        <v>1405</v>
      </c>
      <c r="C337" s="90" t="s">
        <v>1761</v>
      </c>
      <c r="D337">
        <v>4</v>
      </c>
      <c r="E337">
        <v>2</v>
      </c>
      <c r="F337" cm="1">
        <f t="array" ref="F337">_xlfn.IFS(Lutron_CFlex_Lookup[[#This Row],[Kit Lamp Qty]]=1,24,Lutron_CFlex_Lookup[[#This Row],[Kit Lamp Qty]]=2,12,Lutron_CFlex_Lookup[[#This Row],[Kit Lamp Qty]]=3,8)</f>
        <v>12</v>
      </c>
      <c r="G337" s="81">
        <v>3500</v>
      </c>
      <c r="I337" t="s">
        <v>632</v>
      </c>
      <c r="J337" t="s">
        <v>1888</v>
      </c>
      <c r="K337" s="2" t="s">
        <v>2192</v>
      </c>
      <c r="L337"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337"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LED-T8CHO4FT835</v>
      </c>
    </row>
    <row r="338" spans="1:14" hidden="1" x14ac:dyDescent="0.25">
      <c r="A338" t="s">
        <v>1838</v>
      </c>
      <c r="B338" s="79" t="s">
        <v>50</v>
      </c>
      <c r="C338" s="80" t="s">
        <v>1761</v>
      </c>
      <c r="D338" s="3">
        <v>4</v>
      </c>
      <c r="E338">
        <v>2</v>
      </c>
      <c r="F338" cm="1">
        <f t="array" ref="F338">_xlfn.IFS(Lutron_CFlex_Lookup[[#This Row],[Kit Lamp Qty]]=1,24,Lutron_CFlex_Lookup[[#This Row],[Kit Lamp Qty]]=2,12,Lutron_CFlex_Lookup[[#This Row],[Kit Lamp Qty]]=3,8)</f>
        <v>12</v>
      </c>
      <c r="G338" s="81">
        <v>4000</v>
      </c>
      <c r="I338" s="3" t="s">
        <v>632</v>
      </c>
      <c r="J338" t="s">
        <v>1933</v>
      </c>
      <c r="L338"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38"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LED-T8CHO4FT840</v>
      </c>
    </row>
    <row r="339" spans="1:14" hidden="1" x14ac:dyDescent="0.25">
      <c r="A339" t="s">
        <v>1753</v>
      </c>
      <c r="B339" s="79" t="s">
        <v>1405</v>
      </c>
      <c r="C339" s="90" t="s">
        <v>1761</v>
      </c>
      <c r="D339">
        <v>4</v>
      </c>
      <c r="E339">
        <v>2</v>
      </c>
      <c r="F339" cm="1">
        <f t="array" ref="F339">_xlfn.IFS(Lutron_CFlex_Lookup[[#This Row],[Kit Lamp Qty]]=1,24,Lutron_CFlex_Lookup[[#This Row],[Kit Lamp Qty]]=2,12,Lutron_CFlex_Lookup[[#This Row],[Kit Lamp Qty]]=3,8)</f>
        <v>12</v>
      </c>
      <c r="G339" s="81">
        <v>4000</v>
      </c>
      <c r="I339" t="s">
        <v>632</v>
      </c>
      <c r="J339" t="s">
        <v>1889</v>
      </c>
      <c r="K339" s="2" t="s">
        <v>2193</v>
      </c>
      <c r="L339"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339"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LED-T8CHO4FT840</v>
      </c>
    </row>
    <row r="340" spans="1:14" hidden="1" x14ac:dyDescent="0.25">
      <c r="A340" t="s">
        <v>1839</v>
      </c>
      <c r="B340" s="79" t="s">
        <v>50</v>
      </c>
      <c r="C340" s="80" t="s">
        <v>1761</v>
      </c>
      <c r="D340" s="3">
        <v>4</v>
      </c>
      <c r="E340">
        <v>2</v>
      </c>
      <c r="F340" cm="1">
        <f t="array" ref="F340">_xlfn.IFS(Lutron_CFlex_Lookup[[#This Row],[Kit Lamp Qty]]=1,24,Lutron_CFlex_Lookup[[#This Row],[Kit Lamp Qty]]=2,12,Lutron_CFlex_Lookup[[#This Row],[Kit Lamp Qty]]=3,8)</f>
        <v>12</v>
      </c>
      <c r="G340" s="81">
        <v>5000</v>
      </c>
      <c r="I340" s="3" t="s">
        <v>632</v>
      </c>
      <c r="J340" t="s">
        <v>1934</v>
      </c>
      <c r="L340" t="str">
        <f>_xlfn.XLOOKUP(Lutron_CFlex_Lookup[[#This Row],[C-FLEX Individual Kit]],Grackle_LED_Map[LED EcoSystem SKU],Grackle_LED_Map[EcoSystem Drivers],"",0)&amp;_xlfn.XLOOKUP(Lutron_CFlex_Lookup[[#This Row],[C-FLEX Individual Kit]],Grackle_LED_Map[LED 3W SKU with and without BMF],Grackle_LED_Map[3W Drivers],"",0)</f>
        <v>L3DA4MN3A-1</v>
      </c>
      <c r="M340"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LED-T8CHO4FT850</v>
      </c>
    </row>
    <row r="341" spans="1:14" hidden="1" x14ac:dyDescent="0.25">
      <c r="A341" t="s">
        <v>1754</v>
      </c>
      <c r="B341" s="79" t="s">
        <v>1405</v>
      </c>
      <c r="C341" s="90" t="s">
        <v>1761</v>
      </c>
      <c r="D341">
        <v>4</v>
      </c>
      <c r="E341">
        <v>2</v>
      </c>
      <c r="F341" cm="1">
        <f t="array" ref="F341">_xlfn.IFS(Lutron_CFlex_Lookup[[#This Row],[Kit Lamp Qty]]=1,24,Lutron_CFlex_Lookup[[#This Row],[Kit Lamp Qty]]=2,12,Lutron_CFlex_Lookup[[#This Row],[Kit Lamp Qty]]=3,8)</f>
        <v>12</v>
      </c>
      <c r="G341" s="81">
        <v>5000</v>
      </c>
      <c r="I341" t="s">
        <v>632</v>
      </c>
      <c r="J341" t="s">
        <v>1890</v>
      </c>
      <c r="K341" s="2" t="s">
        <v>2194</v>
      </c>
      <c r="L341" s="2" t="str">
        <f>_xlfn.XLOOKUP(Lutron_CFlex_Lookup[[#This Row],[C-FLEX Individual Kit]],Grackle_LED_Map[LED EcoSystem SKU],Grackle_LED_Map[EcoSystem Drivers],"",0)&amp;_xlfn.XLOOKUP(Lutron_CFlex_Lookup[[#This Row],[C-FLEX Individual Kit]],Grackle_LED_Map[LED 3W SKU with and without BMF],Grackle_LED_Map[3W Drivers],"",0)</f>
        <v>LDE5MNUA-1</v>
      </c>
      <c r="M341"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LED-T8CHO4FT850</v>
      </c>
    </row>
    <row r="342" spans="1:14" hidden="1" x14ac:dyDescent="0.25">
      <c r="A342" t="s">
        <v>1755</v>
      </c>
      <c r="B342" s="79" t="s">
        <v>1405</v>
      </c>
      <c r="C342" s="90" t="s">
        <v>1761</v>
      </c>
      <c r="D342">
        <v>4</v>
      </c>
      <c r="E342">
        <v>3</v>
      </c>
      <c r="F342" cm="1">
        <f t="array" ref="F342">_xlfn.IFS(Lutron_CFlex_Lookup[[#This Row],[Kit Lamp Qty]]=1,24,Lutron_CFlex_Lookup[[#This Row],[Kit Lamp Qty]]=2,12,Lutron_CFlex_Lookup[[#This Row],[Kit Lamp Qty]]=3,8)</f>
        <v>8</v>
      </c>
      <c r="G342" s="81">
        <v>3000</v>
      </c>
      <c r="I342" t="s">
        <v>632</v>
      </c>
      <c r="J342" t="s">
        <v>2099</v>
      </c>
      <c r="K342" s="2"/>
      <c r="L342" s="2" t="str">
        <f>_xlfn.XLOOKUP(Lutron_CFlex_Lookup[[#This Row],[C-FLEX Individual Kit]],Grackle_LED_Map[LED EcoSystem SKU],Grackle_LED_Map[EcoSystem Drivers],"",0)&amp;_xlfn.XLOOKUP(Lutron_CFlex_Lookup[[#This Row],[C-FLEX Individual Kit]],Grackle_LED_Map[LED 3W SKU with and without BMF],Grackle_LED_Map[3W Drivers],"",0)</f>
        <v>LDE7MNVA-1</v>
      </c>
      <c r="M342"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LED-T8CHO4FT830</v>
      </c>
    </row>
    <row r="343" spans="1:14" hidden="1" x14ac:dyDescent="0.25">
      <c r="A343" t="s">
        <v>1756</v>
      </c>
      <c r="B343" s="79" t="s">
        <v>1405</v>
      </c>
      <c r="C343" s="90" t="s">
        <v>1761</v>
      </c>
      <c r="D343">
        <v>4</v>
      </c>
      <c r="E343">
        <v>3</v>
      </c>
      <c r="F343" cm="1">
        <f t="array" ref="F343">_xlfn.IFS(Lutron_CFlex_Lookup[[#This Row],[Kit Lamp Qty]]=1,24,Lutron_CFlex_Lookup[[#This Row],[Kit Lamp Qty]]=2,12,Lutron_CFlex_Lookup[[#This Row],[Kit Lamp Qty]]=3,8)</f>
        <v>8</v>
      </c>
      <c r="G343" s="81">
        <v>3500</v>
      </c>
      <c r="I343" t="s">
        <v>632</v>
      </c>
      <c r="J343" t="s">
        <v>2100</v>
      </c>
      <c r="K343" s="2"/>
      <c r="L343" s="2" t="str">
        <f>_xlfn.XLOOKUP(Lutron_CFlex_Lookup[[#This Row],[C-FLEX Individual Kit]],Grackle_LED_Map[LED EcoSystem SKU],Grackle_LED_Map[EcoSystem Drivers],"",0)&amp;_xlfn.XLOOKUP(Lutron_CFlex_Lookup[[#This Row],[C-FLEX Individual Kit]],Grackle_LED_Map[LED 3W SKU with and without BMF],Grackle_LED_Map[3W Drivers],"",0)</f>
        <v>LDE7MNVA-1</v>
      </c>
      <c r="M343"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LED-T8CHO4FT835</v>
      </c>
    </row>
    <row r="344" spans="1:14" hidden="1" x14ac:dyDescent="0.25">
      <c r="A344" t="s">
        <v>1757</v>
      </c>
      <c r="B344" s="79" t="s">
        <v>1405</v>
      </c>
      <c r="C344" s="90" t="s">
        <v>1761</v>
      </c>
      <c r="D344">
        <v>4</v>
      </c>
      <c r="E344">
        <v>3</v>
      </c>
      <c r="F344" cm="1">
        <f t="array" ref="F344">_xlfn.IFS(Lutron_CFlex_Lookup[[#This Row],[Kit Lamp Qty]]=1,24,Lutron_CFlex_Lookup[[#This Row],[Kit Lamp Qty]]=2,12,Lutron_CFlex_Lookup[[#This Row],[Kit Lamp Qty]]=3,8)</f>
        <v>8</v>
      </c>
      <c r="G344" s="81">
        <v>4000</v>
      </c>
      <c r="I344" t="s">
        <v>632</v>
      </c>
      <c r="J344" t="s">
        <v>2101</v>
      </c>
      <c r="K344" s="2"/>
      <c r="L344" s="2" t="str">
        <f>_xlfn.XLOOKUP(Lutron_CFlex_Lookup[[#This Row],[C-FLEX Individual Kit]],Grackle_LED_Map[LED EcoSystem SKU],Grackle_LED_Map[EcoSystem Drivers],"",0)&amp;_xlfn.XLOOKUP(Lutron_CFlex_Lookup[[#This Row],[C-FLEX Individual Kit]],Grackle_LED_Map[LED 3W SKU with and without BMF],Grackle_LED_Map[3W Drivers],"",0)</f>
        <v>LDE7MNVA-1</v>
      </c>
      <c r="M344"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LED-T8CHO4FT840</v>
      </c>
    </row>
    <row r="345" spans="1:14" hidden="1" x14ac:dyDescent="0.25">
      <c r="A345" t="s">
        <v>1758</v>
      </c>
      <c r="B345" s="79" t="s">
        <v>1405</v>
      </c>
      <c r="C345" s="90" t="s">
        <v>1761</v>
      </c>
      <c r="D345">
        <v>4</v>
      </c>
      <c r="E345">
        <v>3</v>
      </c>
      <c r="F345" cm="1">
        <f t="array" ref="F345">_xlfn.IFS(Lutron_CFlex_Lookup[[#This Row],[Kit Lamp Qty]]=1,24,Lutron_CFlex_Lookup[[#This Row],[Kit Lamp Qty]]=2,12,Lutron_CFlex_Lookup[[#This Row],[Kit Lamp Qty]]=3,8)</f>
        <v>8</v>
      </c>
      <c r="G345" s="81">
        <v>5000</v>
      </c>
      <c r="I345" t="s">
        <v>632</v>
      </c>
      <c r="J345" t="s">
        <v>2102</v>
      </c>
      <c r="K345" s="2"/>
      <c r="L345" s="2" t="str">
        <f>_xlfn.XLOOKUP(Lutron_CFlex_Lookup[[#This Row],[C-FLEX Individual Kit]],Grackle_LED_Map[LED EcoSystem SKU],Grackle_LED_Map[EcoSystem Drivers],"",0)&amp;_xlfn.XLOOKUP(Lutron_CFlex_Lookup[[#This Row],[C-FLEX Individual Kit]],Grackle_LED_Map[LED 3W SKU with and without BMF],Grackle_LED_Map[3W Drivers],"",0)</f>
        <v>LDE7MNVA-1</v>
      </c>
      <c r="M345" s="2" t="str">
        <f>_xlfn.XLOOKUP(Lutron_CFlex_Lookup[[#This Row],[C-FLEX Individual Kit]],Grackle_LED_Map[LED EcoSystem SKU],Grackle_LED_Map[Lutron Lamp SKU],"",0)&amp;_xlfn.XLOOKUP(Lutron_CFlex_Lookup[[#This Row],[C-FLEX Individual Kit]],Grackle_LED_Map[LED 3W SKU with and without BMF],Grackle_LED_Map[Lutron Lamp SKU],"",0)</f>
        <v>LED-T8CHO4FT850</v>
      </c>
    </row>
    <row r="346" spans="1:14" x14ac:dyDescent="0.25">
      <c r="A346" s="91" t="s">
        <v>999</v>
      </c>
      <c r="B346" t="s">
        <v>50</v>
      </c>
      <c r="C346" s="3" t="s">
        <v>1759</v>
      </c>
      <c r="D346" t="s">
        <v>1690</v>
      </c>
      <c r="E346">
        <v>1</v>
      </c>
      <c r="F346" cm="1">
        <f t="array" ref="F346">_xlfn.IFS(Lutron_CFlex_Lookup[[#This Row],[Kit Lamp Qty]]=1,24,Lutron_CFlex_Lookup[[#This Row],[Kit Lamp Qty]]=2,12,Lutron_CFlex_Lookup[[#This Row],[Kit Lamp Qty]]=3,8)</f>
        <v>24</v>
      </c>
      <c r="G346" s="81">
        <v>3000</v>
      </c>
      <c r="H346">
        <v>2000</v>
      </c>
      <c r="I346" s="3" t="s">
        <v>150</v>
      </c>
      <c r="J346" t="s">
        <v>2017</v>
      </c>
      <c r="L346" t="str">
        <f>_xlfn.XLOOKUP(Lutron_CFlex_Lookup[[#This Row],[C-FLEX Individual Kit]],Grackle_LED_Map[LED EcoSystem SKU],Grackle_LED_Map[EcoSystem Drivers],"",0)&amp;_xlfn.XLOOKUP(Lutron_CFlex_Lookup[[#This Row],[C-FLEX Individual Kit]],Grackle_LED_Map[LED 3W SKU with and without BMF],Grackle_LED_Map[3W Drivers],"",0)</f>
        <v/>
      </c>
      <c r="M346" t="str">
        <f>_xlfn.XLOOKUP(Lutron_CFlex_Lookup[[#This Row],[C-FLEX Individual Kit]],Grackle_LED_Map[LED EcoSystem SKU],Grackle_LED_Map[Lutron Lamp SKU],"",0)&amp;_xlfn.XLOOKUP(Lutron_CFlex_Lookup[[#This Row],[C-FLEX Individual Kit]],Grackle_LED_Map[LED 3W SKU with and without BMF],Grackle_LED_Map[Lutron Lamp SKU],"",0)</f>
        <v/>
      </c>
      <c r="N346" t="s">
        <v>2285</v>
      </c>
    </row>
    <row r="347" spans="1:14" x14ac:dyDescent="0.25">
      <c r="A347" s="91" t="s">
        <v>994</v>
      </c>
      <c r="B347" t="s">
        <v>50</v>
      </c>
      <c r="C347" s="3" t="s">
        <v>1759</v>
      </c>
      <c r="D347" t="s">
        <v>1690</v>
      </c>
      <c r="E347">
        <v>1</v>
      </c>
      <c r="F347" cm="1">
        <f t="array" ref="F347">_xlfn.IFS(Lutron_CFlex_Lookup[[#This Row],[Kit Lamp Qty]]=1,24,Lutron_CFlex_Lookup[[#This Row],[Kit Lamp Qty]]=2,12,Lutron_CFlex_Lookup[[#This Row],[Kit Lamp Qty]]=3,8)</f>
        <v>24</v>
      </c>
      <c r="G347" s="81">
        <v>3000</v>
      </c>
      <c r="H347">
        <v>2000</v>
      </c>
      <c r="I347" s="3" t="s">
        <v>1666</v>
      </c>
      <c r="J347" t="s">
        <v>2018</v>
      </c>
      <c r="L347" t="str">
        <f>_xlfn.XLOOKUP(Lutron_CFlex_Lookup[[#This Row],[C-FLEX Individual Kit]],Grackle_LED_Map[LED EcoSystem SKU],Grackle_LED_Map[EcoSystem Drivers],"",0)&amp;_xlfn.XLOOKUP(Lutron_CFlex_Lookup[[#This Row],[C-FLEX Individual Kit]],Grackle_LED_Map[LED 3W SKU with and without BMF],Grackle_LED_Map[3W Drivers],"",0)</f>
        <v/>
      </c>
      <c r="M347" t="str">
        <f>_xlfn.XLOOKUP(Lutron_CFlex_Lookup[[#This Row],[C-FLEX Individual Kit]],Grackle_LED_Map[LED EcoSystem SKU],Grackle_LED_Map[Lutron Lamp SKU],"",0)&amp;_xlfn.XLOOKUP(Lutron_CFlex_Lookup[[#This Row],[C-FLEX Individual Kit]],Grackle_LED_Map[LED 3W SKU with and without BMF],Grackle_LED_Map[Lutron Lamp SKU],"",0)</f>
        <v/>
      </c>
      <c r="N347" t="s">
        <v>2285</v>
      </c>
    </row>
    <row r="348" spans="1:14" x14ac:dyDescent="0.25">
      <c r="A348" s="91" t="s">
        <v>2286</v>
      </c>
      <c r="B348" t="s">
        <v>1405</v>
      </c>
      <c r="C348" s="3" t="s">
        <v>1759</v>
      </c>
      <c r="D348" t="s">
        <v>1690</v>
      </c>
      <c r="E348">
        <v>1</v>
      </c>
      <c r="F348" cm="1">
        <f t="array" ref="F348">_xlfn.IFS(Lutron_CFlex_Lookup[[#This Row],[Kit Lamp Qty]]=1,24,Lutron_CFlex_Lookup[[#This Row],[Kit Lamp Qty]]=2,12,Lutron_CFlex_Lookup[[#This Row],[Kit Lamp Qty]]=3,8)</f>
        <v>24</v>
      </c>
      <c r="G348" s="81">
        <v>3000</v>
      </c>
      <c r="H348">
        <v>2000</v>
      </c>
      <c r="I348" s="3" t="s">
        <v>150</v>
      </c>
      <c r="J348" t="s">
        <v>1947</v>
      </c>
      <c r="L348" t="str">
        <f>_xlfn.XLOOKUP(Lutron_CFlex_Lookup[[#This Row],[C-FLEX Individual Kit]],Grackle_LED_Map[LED EcoSystem SKU],Grackle_LED_Map[EcoSystem Drivers],"",0)&amp;_xlfn.XLOOKUP(Lutron_CFlex_Lookup[[#This Row],[C-FLEX Individual Kit]],Grackle_LED_Map[LED 3W SKU with and without BMF],Grackle_LED_Map[3W Drivers],"",0)</f>
        <v/>
      </c>
      <c r="M348" t="str">
        <f>_xlfn.XLOOKUP(Lutron_CFlex_Lookup[[#This Row],[C-FLEX Individual Kit]],Grackle_LED_Map[LED EcoSystem SKU],Grackle_LED_Map[Lutron Lamp SKU],"",0)&amp;_xlfn.XLOOKUP(Lutron_CFlex_Lookup[[#This Row],[C-FLEX Individual Kit]],Grackle_LED_Map[LED 3W SKU with and without BMF],Grackle_LED_Map[Lutron Lamp SKU],"",0)</f>
        <v/>
      </c>
      <c r="N348" t="s">
        <v>2285</v>
      </c>
    </row>
    <row r="349" spans="1:14" x14ac:dyDescent="0.25">
      <c r="A349" s="91" t="s">
        <v>2289</v>
      </c>
      <c r="B349" t="s">
        <v>1405</v>
      </c>
      <c r="C349" s="3" t="s">
        <v>1759</v>
      </c>
      <c r="D349" t="s">
        <v>1690</v>
      </c>
      <c r="E349">
        <v>1</v>
      </c>
      <c r="F349" cm="1">
        <f t="array" ref="F349">_xlfn.IFS(Lutron_CFlex_Lookup[[#This Row],[Kit Lamp Qty]]=1,24,Lutron_CFlex_Lookup[[#This Row],[Kit Lamp Qty]]=2,12,Lutron_CFlex_Lookup[[#This Row],[Kit Lamp Qty]]=3,8)</f>
        <v>24</v>
      </c>
      <c r="G349" s="81">
        <v>3000</v>
      </c>
      <c r="H349">
        <v>2000</v>
      </c>
      <c r="I349" s="3" t="s">
        <v>1666</v>
      </c>
      <c r="J349" t="s">
        <v>1948</v>
      </c>
      <c r="L349" t="str">
        <f>_xlfn.XLOOKUP(Lutron_CFlex_Lookup[[#This Row],[C-FLEX Individual Kit]],Grackle_LED_Map[LED EcoSystem SKU],Grackle_LED_Map[EcoSystem Drivers],"",0)&amp;_xlfn.XLOOKUP(Lutron_CFlex_Lookup[[#This Row],[C-FLEX Individual Kit]],Grackle_LED_Map[LED 3W SKU with and without BMF],Grackle_LED_Map[3W Drivers],"",0)</f>
        <v/>
      </c>
      <c r="M349" t="str">
        <f>_xlfn.XLOOKUP(Lutron_CFlex_Lookup[[#This Row],[C-FLEX Individual Kit]],Grackle_LED_Map[LED EcoSystem SKU],Grackle_LED_Map[Lutron Lamp SKU],"",0)&amp;_xlfn.XLOOKUP(Lutron_CFlex_Lookup[[#This Row],[C-FLEX Individual Kit]],Grackle_LED_Map[LED 3W SKU with and without BMF],Grackle_LED_Map[Lutron Lamp SKU],"",0)</f>
        <v/>
      </c>
      <c r="N349" t="s">
        <v>2285</v>
      </c>
    </row>
    <row r="350" spans="1:14" x14ac:dyDescent="0.25">
      <c r="A350" s="91" t="s">
        <v>1000</v>
      </c>
      <c r="B350" t="s">
        <v>50</v>
      </c>
      <c r="C350" s="3" t="s">
        <v>1759</v>
      </c>
      <c r="D350" t="s">
        <v>1690</v>
      </c>
      <c r="E350">
        <v>1</v>
      </c>
      <c r="F350" cm="1">
        <f t="array" ref="F350">_xlfn.IFS(Lutron_CFlex_Lookup[[#This Row],[Kit Lamp Qty]]=1,24,Lutron_CFlex_Lookup[[#This Row],[Kit Lamp Qty]]=2,12,Lutron_CFlex_Lookup[[#This Row],[Kit Lamp Qty]]=3,8)</f>
        <v>24</v>
      </c>
      <c r="G350" s="81">
        <v>3500</v>
      </c>
      <c r="H350">
        <v>2000</v>
      </c>
      <c r="I350" s="3" t="s">
        <v>150</v>
      </c>
      <c r="J350" t="s">
        <v>2021</v>
      </c>
      <c r="L350" t="str">
        <f>_xlfn.XLOOKUP(Lutron_CFlex_Lookup[[#This Row],[C-FLEX Individual Kit]],Grackle_LED_Map[LED EcoSystem SKU],Grackle_LED_Map[EcoSystem Drivers],"",0)&amp;_xlfn.XLOOKUP(Lutron_CFlex_Lookup[[#This Row],[C-FLEX Individual Kit]],Grackle_LED_Map[LED 3W SKU with and without BMF],Grackle_LED_Map[3W Drivers],"",0)</f>
        <v/>
      </c>
      <c r="M350" t="str">
        <f>_xlfn.XLOOKUP(Lutron_CFlex_Lookup[[#This Row],[C-FLEX Individual Kit]],Grackle_LED_Map[LED EcoSystem SKU],Grackle_LED_Map[Lutron Lamp SKU],"",0)&amp;_xlfn.XLOOKUP(Lutron_CFlex_Lookup[[#This Row],[C-FLEX Individual Kit]],Grackle_LED_Map[LED 3W SKU with and without BMF],Grackle_LED_Map[Lutron Lamp SKU],"",0)</f>
        <v/>
      </c>
      <c r="N350" t="s">
        <v>2285</v>
      </c>
    </row>
    <row r="351" spans="1:14" x14ac:dyDescent="0.25">
      <c r="A351" s="91" t="s">
        <v>995</v>
      </c>
      <c r="B351" t="s">
        <v>50</v>
      </c>
      <c r="C351" s="3" t="s">
        <v>1759</v>
      </c>
      <c r="D351" t="s">
        <v>1690</v>
      </c>
      <c r="E351">
        <v>1</v>
      </c>
      <c r="F351" cm="1">
        <f t="array" ref="F351">_xlfn.IFS(Lutron_CFlex_Lookup[[#This Row],[Kit Lamp Qty]]=1,24,Lutron_CFlex_Lookup[[#This Row],[Kit Lamp Qty]]=2,12,Lutron_CFlex_Lookup[[#This Row],[Kit Lamp Qty]]=3,8)</f>
        <v>24</v>
      </c>
      <c r="G351" s="81">
        <v>3500</v>
      </c>
      <c r="H351">
        <v>2000</v>
      </c>
      <c r="I351" s="3" t="s">
        <v>1666</v>
      </c>
      <c r="J351" t="s">
        <v>2022</v>
      </c>
      <c r="L351" t="str">
        <f>_xlfn.XLOOKUP(Lutron_CFlex_Lookup[[#This Row],[C-FLEX Individual Kit]],Grackle_LED_Map[LED EcoSystem SKU],Grackle_LED_Map[EcoSystem Drivers],"",0)&amp;_xlfn.XLOOKUP(Lutron_CFlex_Lookup[[#This Row],[C-FLEX Individual Kit]],Grackle_LED_Map[LED 3W SKU with and without BMF],Grackle_LED_Map[3W Drivers],"",0)</f>
        <v/>
      </c>
      <c r="M351" t="str">
        <f>_xlfn.XLOOKUP(Lutron_CFlex_Lookup[[#This Row],[C-FLEX Individual Kit]],Grackle_LED_Map[LED EcoSystem SKU],Grackle_LED_Map[Lutron Lamp SKU],"",0)&amp;_xlfn.XLOOKUP(Lutron_CFlex_Lookup[[#This Row],[C-FLEX Individual Kit]],Grackle_LED_Map[LED 3W SKU with and without BMF],Grackle_LED_Map[Lutron Lamp SKU],"",0)</f>
        <v/>
      </c>
      <c r="N351" t="s">
        <v>2285</v>
      </c>
    </row>
    <row r="352" spans="1:14" x14ac:dyDescent="0.25">
      <c r="A352" s="91" t="s">
        <v>2287</v>
      </c>
      <c r="B352" t="s">
        <v>1405</v>
      </c>
      <c r="C352" s="3" t="s">
        <v>1759</v>
      </c>
      <c r="D352" t="s">
        <v>1690</v>
      </c>
      <c r="E352">
        <v>1</v>
      </c>
      <c r="F352" cm="1">
        <f t="array" ref="F352">_xlfn.IFS(Lutron_CFlex_Lookup[[#This Row],[Kit Lamp Qty]]=1,24,Lutron_CFlex_Lookup[[#This Row],[Kit Lamp Qty]]=2,12,Lutron_CFlex_Lookup[[#This Row],[Kit Lamp Qty]]=3,8)</f>
        <v>24</v>
      </c>
      <c r="G352" s="81">
        <v>3500</v>
      </c>
      <c r="H352">
        <v>2000</v>
      </c>
      <c r="I352" s="3" t="s">
        <v>150</v>
      </c>
      <c r="J352" t="s">
        <v>1951</v>
      </c>
      <c r="L352" t="str">
        <f>_xlfn.XLOOKUP(Lutron_CFlex_Lookup[[#This Row],[C-FLEX Individual Kit]],Grackle_LED_Map[LED EcoSystem SKU],Grackle_LED_Map[EcoSystem Drivers],"",0)&amp;_xlfn.XLOOKUP(Lutron_CFlex_Lookup[[#This Row],[C-FLEX Individual Kit]],Grackle_LED_Map[LED 3W SKU with and without BMF],Grackle_LED_Map[3W Drivers],"",0)</f>
        <v/>
      </c>
      <c r="M352" t="str">
        <f>_xlfn.XLOOKUP(Lutron_CFlex_Lookup[[#This Row],[C-FLEX Individual Kit]],Grackle_LED_Map[LED EcoSystem SKU],Grackle_LED_Map[Lutron Lamp SKU],"",0)&amp;_xlfn.XLOOKUP(Lutron_CFlex_Lookup[[#This Row],[C-FLEX Individual Kit]],Grackle_LED_Map[LED 3W SKU with and without BMF],Grackle_LED_Map[Lutron Lamp SKU],"",0)</f>
        <v/>
      </c>
      <c r="N352" t="s">
        <v>2285</v>
      </c>
    </row>
    <row r="353" spans="1:14" x14ac:dyDescent="0.25">
      <c r="A353" s="91" t="s">
        <v>2290</v>
      </c>
      <c r="B353" t="s">
        <v>1405</v>
      </c>
      <c r="C353" s="3" t="s">
        <v>1759</v>
      </c>
      <c r="D353" t="s">
        <v>1690</v>
      </c>
      <c r="E353">
        <v>1</v>
      </c>
      <c r="F353" cm="1">
        <f t="array" ref="F353">_xlfn.IFS(Lutron_CFlex_Lookup[[#This Row],[Kit Lamp Qty]]=1,24,Lutron_CFlex_Lookup[[#This Row],[Kit Lamp Qty]]=2,12,Lutron_CFlex_Lookup[[#This Row],[Kit Lamp Qty]]=3,8)</f>
        <v>24</v>
      </c>
      <c r="G353" s="81">
        <v>3500</v>
      </c>
      <c r="H353">
        <v>2000</v>
      </c>
      <c r="I353" s="3" t="s">
        <v>1666</v>
      </c>
      <c r="J353" t="s">
        <v>1952</v>
      </c>
      <c r="L353" t="str">
        <f>_xlfn.XLOOKUP(Lutron_CFlex_Lookup[[#This Row],[C-FLEX Individual Kit]],Grackle_LED_Map[LED EcoSystem SKU],Grackle_LED_Map[EcoSystem Drivers],"",0)&amp;_xlfn.XLOOKUP(Lutron_CFlex_Lookup[[#This Row],[C-FLEX Individual Kit]],Grackle_LED_Map[LED 3W SKU with and without BMF],Grackle_LED_Map[3W Drivers],"",0)</f>
        <v/>
      </c>
      <c r="M353" t="str">
        <f>_xlfn.XLOOKUP(Lutron_CFlex_Lookup[[#This Row],[C-FLEX Individual Kit]],Grackle_LED_Map[LED EcoSystem SKU],Grackle_LED_Map[Lutron Lamp SKU],"",0)&amp;_xlfn.XLOOKUP(Lutron_CFlex_Lookup[[#This Row],[C-FLEX Individual Kit]],Grackle_LED_Map[LED 3W SKU with and without BMF],Grackle_LED_Map[Lutron Lamp SKU],"",0)</f>
        <v/>
      </c>
      <c r="N353" t="s">
        <v>2285</v>
      </c>
    </row>
    <row r="354" spans="1:14" x14ac:dyDescent="0.25">
      <c r="A354" s="91" t="s">
        <v>1001</v>
      </c>
      <c r="B354" t="s">
        <v>50</v>
      </c>
      <c r="C354" s="3" t="s">
        <v>1759</v>
      </c>
      <c r="D354" t="s">
        <v>1690</v>
      </c>
      <c r="E354">
        <v>1</v>
      </c>
      <c r="F354" cm="1">
        <f t="array" ref="F354">_xlfn.IFS(Lutron_CFlex_Lookup[[#This Row],[Kit Lamp Qty]]=1,24,Lutron_CFlex_Lookup[[#This Row],[Kit Lamp Qty]]=2,12,Lutron_CFlex_Lookup[[#This Row],[Kit Lamp Qty]]=3,8)</f>
        <v>24</v>
      </c>
      <c r="G354" s="81">
        <v>4000</v>
      </c>
      <c r="H354">
        <v>2000</v>
      </c>
      <c r="I354" s="3" t="s">
        <v>150</v>
      </c>
      <c r="J354" t="s">
        <v>2025</v>
      </c>
      <c r="L354" t="str">
        <f>_xlfn.XLOOKUP(Lutron_CFlex_Lookup[[#This Row],[C-FLEX Individual Kit]],Grackle_LED_Map[LED EcoSystem SKU],Grackle_LED_Map[EcoSystem Drivers],"",0)&amp;_xlfn.XLOOKUP(Lutron_CFlex_Lookup[[#This Row],[C-FLEX Individual Kit]],Grackle_LED_Map[LED 3W SKU with and without BMF],Grackle_LED_Map[3W Drivers],"",0)</f>
        <v/>
      </c>
      <c r="M354" t="str">
        <f>_xlfn.XLOOKUP(Lutron_CFlex_Lookup[[#This Row],[C-FLEX Individual Kit]],Grackle_LED_Map[LED EcoSystem SKU],Grackle_LED_Map[Lutron Lamp SKU],"",0)&amp;_xlfn.XLOOKUP(Lutron_CFlex_Lookup[[#This Row],[C-FLEX Individual Kit]],Grackle_LED_Map[LED 3W SKU with and without BMF],Grackle_LED_Map[Lutron Lamp SKU],"",0)</f>
        <v/>
      </c>
      <c r="N354" t="s">
        <v>2285</v>
      </c>
    </row>
    <row r="355" spans="1:14" x14ac:dyDescent="0.25">
      <c r="A355" s="91" t="s">
        <v>996</v>
      </c>
      <c r="B355" t="s">
        <v>50</v>
      </c>
      <c r="C355" s="3" t="s">
        <v>1759</v>
      </c>
      <c r="D355" t="s">
        <v>1690</v>
      </c>
      <c r="E355">
        <v>1</v>
      </c>
      <c r="F355" cm="1">
        <f t="array" ref="F355">_xlfn.IFS(Lutron_CFlex_Lookup[[#This Row],[Kit Lamp Qty]]=1,24,Lutron_CFlex_Lookup[[#This Row],[Kit Lamp Qty]]=2,12,Lutron_CFlex_Lookup[[#This Row],[Kit Lamp Qty]]=3,8)</f>
        <v>24</v>
      </c>
      <c r="G355" s="81">
        <v>4000</v>
      </c>
      <c r="H355">
        <v>2000</v>
      </c>
      <c r="I355" s="3" t="s">
        <v>1666</v>
      </c>
      <c r="J355" t="s">
        <v>2026</v>
      </c>
      <c r="L355" t="str">
        <f>_xlfn.XLOOKUP(Lutron_CFlex_Lookup[[#This Row],[C-FLEX Individual Kit]],Grackle_LED_Map[LED EcoSystem SKU],Grackle_LED_Map[EcoSystem Drivers],"",0)&amp;_xlfn.XLOOKUP(Lutron_CFlex_Lookup[[#This Row],[C-FLEX Individual Kit]],Grackle_LED_Map[LED 3W SKU with and without BMF],Grackle_LED_Map[3W Drivers],"",0)</f>
        <v/>
      </c>
      <c r="M355" t="str">
        <f>_xlfn.XLOOKUP(Lutron_CFlex_Lookup[[#This Row],[C-FLEX Individual Kit]],Grackle_LED_Map[LED EcoSystem SKU],Grackle_LED_Map[Lutron Lamp SKU],"",0)&amp;_xlfn.XLOOKUP(Lutron_CFlex_Lookup[[#This Row],[C-FLEX Individual Kit]],Grackle_LED_Map[LED 3W SKU with and without BMF],Grackle_LED_Map[Lutron Lamp SKU],"",0)</f>
        <v/>
      </c>
      <c r="N355" t="s">
        <v>2285</v>
      </c>
    </row>
    <row r="356" spans="1:14" x14ac:dyDescent="0.25">
      <c r="A356" s="91" t="s">
        <v>2288</v>
      </c>
      <c r="B356" t="s">
        <v>1405</v>
      </c>
      <c r="C356" s="3" t="s">
        <v>1759</v>
      </c>
      <c r="D356" t="s">
        <v>1690</v>
      </c>
      <c r="E356">
        <v>1</v>
      </c>
      <c r="F356" cm="1">
        <f t="array" ref="F356">_xlfn.IFS(Lutron_CFlex_Lookup[[#This Row],[Kit Lamp Qty]]=1,24,Lutron_CFlex_Lookup[[#This Row],[Kit Lamp Qty]]=2,12,Lutron_CFlex_Lookup[[#This Row],[Kit Lamp Qty]]=3,8)</f>
        <v>24</v>
      </c>
      <c r="G356" s="81">
        <v>4000</v>
      </c>
      <c r="H356">
        <v>2000</v>
      </c>
      <c r="I356" s="3" t="s">
        <v>150</v>
      </c>
      <c r="J356" t="s">
        <v>1955</v>
      </c>
      <c r="L356" t="str">
        <f>_xlfn.XLOOKUP(Lutron_CFlex_Lookup[[#This Row],[C-FLEX Individual Kit]],Grackle_LED_Map[LED EcoSystem SKU],Grackle_LED_Map[EcoSystem Drivers],"",0)&amp;_xlfn.XLOOKUP(Lutron_CFlex_Lookup[[#This Row],[C-FLEX Individual Kit]],Grackle_LED_Map[LED 3W SKU with and without BMF],Grackle_LED_Map[3W Drivers],"",0)</f>
        <v/>
      </c>
      <c r="M356" t="str">
        <f>_xlfn.XLOOKUP(Lutron_CFlex_Lookup[[#This Row],[C-FLEX Individual Kit]],Grackle_LED_Map[LED EcoSystem SKU],Grackle_LED_Map[Lutron Lamp SKU],"",0)&amp;_xlfn.XLOOKUP(Lutron_CFlex_Lookup[[#This Row],[C-FLEX Individual Kit]],Grackle_LED_Map[LED 3W SKU with and without BMF],Grackle_LED_Map[Lutron Lamp SKU],"",0)</f>
        <v/>
      </c>
      <c r="N356" t="s">
        <v>2285</v>
      </c>
    </row>
    <row r="357" spans="1:14" x14ac:dyDescent="0.25">
      <c r="A357" s="91" t="s">
        <v>2291</v>
      </c>
      <c r="B357" t="s">
        <v>1405</v>
      </c>
      <c r="C357" s="3" t="s">
        <v>1759</v>
      </c>
      <c r="D357" t="s">
        <v>1690</v>
      </c>
      <c r="E357">
        <v>1</v>
      </c>
      <c r="F357" cm="1">
        <f t="array" ref="F357">_xlfn.IFS(Lutron_CFlex_Lookup[[#This Row],[Kit Lamp Qty]]=1,24,Lutron_CFlex_Lookup[[#This Row],[Kit Lamp Qty]]=2,12,Lutron_CFlex_Lookup[[#This Row],[Kit Lamp Qty]]=3,8)</f>
        <v>24</v>
      </c>
      <c r="G357" s="81">
        <v>4000</v>
      </c>
      <c r="H357">
        <v>2000</v>
      </c>
      <c r="I357" s="3" t="s">
        <v>1666</v>
      </c>
      <c r="J357" t="s">
        <v>1956</v>
      </c>
      <c r="L357" t="str">
        <f>_xlfn.XLOOKUP(Lutron_CFlex_Lookup[[#This Row],[C-FLEX Individual Kit]],Grackle_LED_Map[LED EcoSystem SKU],Grackle_LED_Map[EcoSystem Drivers],"",0)&amp;_xlfn.XLOOKUP(Lutron_CFlex_Lookup[[#This Row],[C-FLEX Individual Kit]],Grackle_LED_Map[LED 3W SKU with and without BMF],Grackle_LED_Map[3W Drivers],"",0)</f>
        <v/>
      </c>
      <c r="M357" t="str">
        <f>_xlfn.XLOOKUP(Lutron_CFlex_Lookup[[#This Row],[C-FLEX Individual Kit]],Grackle_LED_Map[LED EcoSystem SKU],Grackle_LED_Map[Lutron Lamp SKU],"",0)&amp;_xlfn.XLOOKUP(Lutron_CFlex_Lookup[[#This Row],[C-FLEX Individual Kit]],Grackle_LED_Map[LED 3W SKU with and without BMF],Grackle_LED_Map[Lutron Lamp SKU],"",0)</f>
        <v/>
      </c>
      <c r="N357" t="s">
        <v>2285</v>
      </c>
    </row>
  </sheetData>
  <phoneticPr fontId="2" type="noConversion"/>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51A45-A2F3-4F21-9332-398C9185CAA6}">
  <sheetPr codeName="Sheet3"/>
  <dimension ref="A1:A929"/>
  <sheetViews>
    <sheetView workbookViewId="0">
      <selection activeCell="N7" sqref="N7"/>
    </sheetView>
  </sheetViews>
  <sheetFormatPr defaultRowHeight="15" x14ac:dyDescent="0.25"/>
  <cols>
    <col min="1" max="1" width="18.42578125" customWidth="1"/>
  </cols>
  <sheetData>
    <row r="1" spans="1:1" x14ac:dyDescent="0.25">
      <c r="A1" s="59" t="s">
        <v>1464</v>
      </c>
    </row>
    <row r="2" spans="1:1" x14ac:dyDescent="0.25">
      <c r="A2" s="2" t="s">
        <v>86</v>
      </c>
    </row>
    <row r="3" spans="1:1" x14ac:dyDescent="0.25">
      <c r="A3" s="2" t="s">
        <v>90</v>
      </c>
    </row>
    <row r="4" spans="1:1" x14ac:dyDescent="0.25">
      <c r="A4" s="2" t="s">
        <v>92</v>
      </c>
    </row>
    <row r="5" spans="1:1" x14ac:dyDescent="0.25">
      <c r="A5" s="2" t="s">
        <v>93</v>
      </c>
    </row>
    <row r="6" spans="1:1" x14ac:dyDescent="0.25">
      <c r="A6" s="2" t="s">
        <v>94</v>
      </c>
    </row>
    <row r="7" spans="1:1" x14ac:dyDescent="0.25">
      <c r="A7" s="2" t="s">
        <v>95</v>
      </c>
    </row>
    <row r="8" spans="1:1" x14ac:dyDescent="0.25">
      <c r="A8" s="2" t="s">
        <v>96</v>
      </c>
    </row>
    <row r="9" spans="1:1" x14ac:dyDescent="0.25">
      <c r="A9" s="2" t="s">
        <v>97</v>
      </c>
    </row>
    <row r="10" spans="1:1" x14ac:dyDescent="0.25">
      <c r="A10" s="2" t="s">
        <v>98</v>
      </c>
    </row>
    <row r="11" spans="1:1" x14ac:dyDescent="0.25">
      <c r="A11" s="2" t="s">
        <v>99</v>
      </c>
    </row>
    <row r="12" spans="1:1" x14ac:dyDescent="0.25">
      <c r="A12" s="2" t="s">
        <v>100</v>
      </c>
    </row>
    <row r="13" spans="1:1" x14ac:dyDescent="0.25">
      <c r="A13" s="2" t="s">
        <v>101</v>
      </c>
    </row>
    <row r="14" spans="1:1" x14ac:dyDescent="0.25">
      <c r="A14" s="2" t="s">
        <v>102</v>
      </c>
    </row>
    <row r="15" spans="1:1" x14ac:dyDescent="0.25">
      <c r="A15" s="2" t="s">
        <v>103</v>
      </c>
    </row>
    <row r="16" spans="1:1" x14ac:dyDescent="0.25">
      <c r="A16" s="2" t="s">
        <v>104</v>
      </c>
    </row>
    <row r="17" spans="1:1" x14ac:dyDescent="0.25">
      <c r="A17" s="2" t="s">
        <v>105</v>
      </c>
    </row>
    <row r="18" spans="1:1" x14ac:dyDescent="0.25">
      <c r="A18" s="2" t="s">
        <v>107</v>
      </c>
    </row>
    <row r="19" spans="1:1" x14ac:dyDescent="0.25">
      <c r="A19" s="2" t="s">
        <v>108</v>
      </c>
    </row>
    <row r="20" spans="1:1" x14ac:dyDescent="0.25">
      <c r="A20" s="2" t="s">
        <v>109</v>
      </c>
    </row>
    <row r="21" spans="1:1" x14ac:dyDescent="0.25">
      <c r="A21" s="2" t="s">
        <v>110</v>
      </c>
    </row>
    <row r="22" spans="1:1" x14ac:dyDescent="0.25">
      <c r="A22" s="2" t="s">
        <v>114</v>
      </c>
    </row>
    <row r="23" spans="1:1" x14ac:dyDescent="0.25">
      <c r="A23" s="2" t="s">
        <v>116</v>
      </c>
    </row>
    <row r="24" spans="1:1" x14ac:dyDescent="0.25">
      <c r="A24" s="2" t="s">
        <v>117</v>
      </c>
    </row>
    <row r="25" spans="1:1" x14ac:dyDescent="0.25">
      <c r="A25" s="2" t="s">
        <v>119</v>
      </c>
    </row>
    <row r="26" spans="1:1" x14ac:dyDescent="0.25">
      <c r="A26" s="2" t="s">
        <v>120</v>
      </c>
    </row>
    <row r="27" spans="1:1" x14ac:dyDescent="0.25">
      <c r="A27" s="2" t="s">
        <v>121</v>
      </c>
    </row>
    <row r="28" spans="1:1" x14ac:dyDescent="0.25">
      <c r="A28" s="2" t="s">
        <v>122</v>
      </c>
    </row>
    <row r="29" spans="1:1" x14ac:dyDescent="0.25">
      <c r="A29" s="2" t="s">
        <v>127</v>
      </c>
    </row>
    <row r="30" spans="1:1" x14ac:dyDescent="0.25">
      <c r="A30" s="2" t="s">
        <v>131</v>
      </c>
    </row>
    <row r="31" spans="1:1" x14ac:dyDescent="0.25">
      <c r="A31" s="2" t="s">
        <v>132</v>
      </c>
    </row>
    <row r="32" spans="1:1" x14ac:dyDescent="0.25">
      <c r="A32" s="2" t="s">
        <v>133</v>
      </c>
    </row>
    <row r="33" spans="1:1" x14ac:dyDescent="0.25">
      <c r="A33" s="2" t="s">
        <v>137</v>
      </c>
    </row>
    <row r="34" spans="1:1" x14ac:dyDescent="0.25">
      <c r="A34" s="2" t="s">
        <v>141</v>
      </c>
    </row>
    <row r="35" spans="1:1" x14ac:dyDescent="0.25">
      <c r="A35" s="2" t="s">
        <v>142</v>
      </c>
    </row>
    <row r="36" spans="1:1" x14ac:dyDescent="0.25">
      <c r="A36" s="2" t="s">
        <v>143</v>
      </c>
    </row>
    <row r="37" spans="1:1" x14ac:dyDescent="0.25">
      <c r="A37" s="2" t="s">
        <v>148</v>
      </c>
    </row>
    <row r="38" spans="1:1" x14ac:dyDescent="0.25">
      <c r="A38" s="2" t="s">
        <v>157</v>
      </c>
    </row>
    <row r="39" spans="1:1" x14ac:dyDescent="0.25">
      <c r="A39" s="2" t="s">
        <v>164</v>
      </c>
    </row>
    <row r="40" spans="1:1" x14ac:dyDescent="0.25">
      <c r="A40" s="2" t="s">
        <v>165</v>
      </c>
    </row>
    <row r="41" spans="1:1" x14ac:dyDescent="0.25">
      <c r="A41" s="2" t="s">
        <v>166</v>
      </c>
    </row>
    <row r="42" spans="1:1" x14ac:dyDescent="0.25">
      <c r="A42" s="2" t="s">
        <v>167</v>
      </c>
    </row>
    <row r="43" spans="1:1" x14ac:dyDescent="0.25">
      <c r="A43" s="2" t="s">
        <v>174</v>
      </c>
    </row>
    <row r="44" spans="1:1" x14ac:dyDescent="0.25">
      <c r="A44" s="2" t="s">
        <v>175</v>
      </c>
    </row>
    <row r="45" spans="1:1" x14ac:dyDescent="0.25">
      <c r="A45" s="2" t="s">
        <v>182</v>
      </c>
    </row>
    <row r="46" spans="1:1" x14ac:dyDescent="0.25">
      <c r="A46" s="2" t="s">
        <v>183</v>
      </c>
    </row>
    <row r="47" spans="1:1" x14ac:dyDescent="0.25">
      <c r="A47" s="2" t="s">
        <v>184</v>
      </c>
    </row>
    <row r="48" spans="1:1" x14ac:dyDescent="0.25">
      <c r="A48" s="2" t="s">
        <v>185</v>
      </c>
    </row>
    <row r="49" spans="1:1" x14ac:dyDescent="0.25">
      <c r="A49" s="2" t="s">
        <v>186</v>
      </c>
    </row>
    <row r="50" spans="1:1" x14ac:dyDescent="0.25">
      <c r="A50" s="2" t="s">
        <v>187</v>
      </c>
    </row>
    <row r="51" spans="1:1" x14ac:dyDescent="0.25">
      <c r="A51" s="2" t="s">
        <v>188</v>
      </c>
    </row>
    <row r="52" spans="1:1" x14ac:dyDescent="0.25">
      <c r="A52" s="2" t="s">
        <v>189</v>
      </c>
    </row>
    <row r="53" spans="1:1" x14ac:dyDescent="0.25">
      <c r="A53" s="2" t="s">
        <v>197</v>
      </c>
    </row>
    <row r="54" spans="1:1" x14ac:dyDescent="0.25">
      <c r="A54" s="2" t="s">
        <v>198</v>
      </c>
    </row>
    <row r="55" spans="1:1" x14ac:dyDescent="0.25">
      <c r="A55" s="2" t="s">
        <v>205</v>
      </c>
    </row>
    <row r="56" spans="1:1" x14ac:dyDescent="0.25">
      <c r="A56" s="2" t="s">
        <v>206</v>
      </c>
    </row>
    <row r="57" spans="1:1" x14ac:dyDescent="0.25">
      <c r="A57" s="2" t="s">
        <v>207</v>
      </c>
    </row>
    <row r="58" spans="1:1" x14ac:dyDescent="0.25">
      <c r="A58" s="2" t="s">
        <v>208</v>
      </c>
    </row>
    <row r="59" spans="1:1" x14ac:dyDescent="0.25">
      <c r="A59" s="2" t="s">
        <v>209</v>
      </c>
    </row>
    <row r="60" spans="1:1" x14ac:dyDescent="0.25">
      <c r="A60" s="2" t="s">
        <v>210</v>
      </c>
    </row>
    <row r="61" spans="1:1" x14ac:dyDescent="0.25">
      <c r="A61" s="2" t="s">
        <v>211</v>
      </c>
    </row>
    <row r="62" spans="1:1" x14ac:dyDescent="0.25">
      <c r="A62" s="2" t="s">
        <v>212</v>
      </c>
    </row>
    <row r="63" spans="1:1" x14ac:dyDescent="0.25">
      <c r="A63" s="2" t="s">
        <v>213</v>
      </c>
    </row>
    <row r="64" spans="1:1" x14ac:dyDescent="0.25">
      <c r="A64" s="2" t="s">
        <v>214</v>
      </c>
    </row>
    <row r="65" spans="1:1" x14ac:dyDescent="0.25">
      <c r="A65" s="2" t="s">
        <v>218</v>
      </c>
    </row>
    <row r="66" spans="1:1" x14ac:dyDescent="0.25">
      <c r="A66" s="2" t="s">
        <v>219</v>
      </c>
    </row>
    <row r="67" spans="1:1" x14ac:dyDescent="0.25">
      <c r="A67" s="2" t="s">
        <v>221</v>
      </c>
    </row>
    <row r="68" spans="1:1" x14ac:dyDescent="0.25">
      <c r="A68" s="2" t="s">
        <v>222</v>
      </c>
    </row>
    <row r="69" spans="1:1" x14ac:dyDescent="0.25">
      <c r="A69" s="2" t="s">
        <v>223</v>
      </c>
    </row>
    <row r="70" spans="1:1" x14ac:dyDescent="0.25">
      <c r="A70" s="2" t="s">
        <v>224</v>
      </c>
    </row>
    <row r="71" spans="1:1" x14ac:dyDescent="0.25">
      <c r="A71" s="2" t="s">
        <v>232</v>
      </c>
    </row>
    <row r="72" spans="1:1" x14ac:dyDescent="0.25">
      <c r="A72" s="2" t="s">
        <v>239</v>
      </c>
    </row>
    <row r="73" spans="1:1" x14ac:dyDescent="0.25">
      <c r="A73" s="2" t="s">
        <v>243</v>
      </c>
    </row>
    <row r="74" spans="1:1" x14ac:dyDescent="0.25">
      <c r="A74" s="2" t="s">
        <v>247</v>
      </c>
    </row>
    <row r="75" spans="1:1" x14ac:dyDescent="0.25">
      <c r="A75" s="2" t="s">
        <v>248</v>
      </c>
    </row>
    <row r="76" spans="1:1" x14ac:dyDescent="0.25">
      <c r="A76" s="2" t="s">
        <v>249</v>
      </c>
    </row>
    <row r="77" spans="1:1" x14ac:dyDescent="0.25">
      <c r="A77" s="2" t="s">
        <v>250</v>
      </c>
    </row>
    <row r="78" spans="1:1" x14ac:dyDescent="0.25">
      <c r="A78" s="2" t="s">
        <v>254</v>
      </c>
    </row>
    <row r="79" spans="1:1" x14ac:dyDescent="0.25">
      <c r="A79" s="2" t="s">
        <v>258</v>
      </c>
    </row>
    <row r="80" spans="1:1" x14ac:dyDescent="0.25">
      <c r="A80" s="2" t="s">
        <v>262</v>
      </c>
    </row>
    <row r="81" spans="1:1" x14ac:dyDescent="0.25">
      <c r="A81" s="2" t="s">
        <v>263</v>
      </c>
    </row>
    <row r="82" spans="1:1" x14ac:dyDescent="0.25">
      <c r="A82" s="2" t="s">
        <v>267</v>
      </c>
    </row>
    <row r="83" spans="1:1" x14ac:dyDescent="0.25">
      <c r="A83" s="2" t="s">
        <v>268</v>
      </c>
    </row>
    <row r="84" spans="1:1" x14ac:dyDescent="0.25">
      <c r="A84" s="2" t="s">
        <v>269</v>
      </c>
    </row>
    <row r="85" spans="1:1" x14ac:dyDescent="0.25">
      <c r="A85" s="2" t="s">
        <v>270</v>
      </c>
    </row>
    <row r="86" spans="1:1" x14ac:dyDescent="0.25">
      <c r="A86" s="2" t="s">
        <v>271</v>
      </c>
    </row>
    <row r="87" spans="1:1" x14ac:dyDescent="0.25">
      <c r="A87" s="2" t="s">
        <v>272</v>
      </c>
    </row>
    <row r="88" spans="1:1" x14ac:dyDescent="0.25">
      <c r="A88" s="2" t="s">
        <v>273</v>
      </c>
    </row>
    <row r="89" spans="1:1" x14ac:dyDescent="0.25">
      <c r="A89" s="2" t="s">
        <v>274</v>
      </c>
    </row>
    <row r="90" spans="1:1" x14ac:dyDescent="0.25">
      <c r="A90" s="2" t="s">
        <v>275</v>
      </c>
    </row>
    <row r="91" spans="1:1" x14ac:dyDescent="0.25">
      <c r="A91" s="2" t="s">
        <v>276</v>
      </c>
    </row>
    <row r="92" spans="1:1" x14ac:dyDescent="0.25">
      <c r="A92" s="2" t="s">
        <v>280</v>
      </c>
    </row>
    <row r="93" spans="1:1" x14ac:dyDescent="0.25">
      <c r="A93" s="2" t="s">
        <v>281</v>
      </c>
    </row>
    <row r="94" spans="1:1" x14ac:dyDescent="0.25">
      <c r="A94" s="2" t="s">
        <v>289</v>
      </c>
    </row>
    <row r="95" spans="1:1" x14ac:dyDescent="0.25">
      <c r="A95" s="2" t="s">
        <v>311</v>
      </c>
    </row>
    <row r="96" spans="1:1" x14ac:dyDescent="0.25">
      <c r="A96" s="2" t="s">
        <v>315</v>
      </c>
    </row>
    <row r="97" spans="1:1" x14ac:dyDescent="0.25">
      <c r="A97" s="2" t="s">
        <v>319</v>
      </c>
    </row>
    <row r="98" spans="1:1" x14ac:dyDescent="0.25">
      <c r="A98" s="2" t="s">
        <v>324</v>
      </c>
    </row>
    <row r="99" spans="1:1" x14ac:dyDescent="0.25">
      <c r="A99" s="2" t="s">
        <v>328</v>
      </c>
    </row>
    <row r="100" spans="1:1" x14ac:dyDescent="0.25">
      <c r="A100" s="2" t="s">
        <v>329</v>
      </c>
    </row>
    <row r="101" spans="1:1" x14ac:dyDescent="0.25">
      <c r="A101" s="2" t="s">
        <v>331</v>
      </c>
    </row>
    <row r="102" spans="1:1" x14ac:dyDescent="0.25">
      <c r="A102" s="2" t="s">
        <v>334</v>
      </c>
    </row>
    <row r="103" spans="1:1" x14ac:dyDescent="0.25">
      <c r="A103" s="2" t="s">
        <v>336</v>
      </c>
    </row>
    <row r="104" spans="1:1" x14ac:dyDescent="0.25">
      <c r="A104" s="2" t="s">
        <v>340</v>
      </c>
    </row>
    <row r="105" spans="1:1" x14ac:dyDescent="0.25">
      <c r="A105" s="2" t="s">
        <v>344</v>
      </c>
    </row>
    <row r="106" spans="1:1" x14ac:dyDescent="0.25">
      <c r="A106" s="2" t="s">
        <v>345</v>
      </c>
    </row>
    <row r="107" spans="1:1" x14ac:dyDescent="0.25">
      <c r="A107" s="2" t="s">
        <v>347</v>
      </c>
    </row>
    <row r="108" spans="1:1" x14ac:dyDescent="0.25">
      <c r="A108" s="2" t="s">
        <v>348</v>
      </c>
    </row>
    <row r="109" spans="1:1" x14ac:dyDescent="0.25">
      <c r="A109" s="2" t="s">
        <v>351</v>
      </c>
    </row>
    <row r="110" spans="1:1" x14ac:dyDescent="0.25">
      <c r="A110" s="2" t="s">
        <v>352</v>
      </c>
    </row>
    <row r="111" spans="1:1" x14ac:dyDescent="0.25">
      <c r="A111" s="2" t="s">
        <v>354</v>
      </c>
    </row>
    <row r="112" spans="1:1" x14ac:dyDescent="0.25">
      <c r="A112" s="2" t="s">
        <v>361</v>
      </c>
    </row>
    <row r="113" spans="1:1" x14ac:dyDescent="0.25">
      <c r="A113" s="2" t="s">
        <v>368</v>
      </c>
    </row>
    <row r="114" spans="1:1" x14ac:dyDescent="0.25">
      <c r="A114" s="2" t="s">
        <v>369</v>
      </c>
    </row>
    <row r="115" spans="1:1" x14ac:dyDescent="0.25">
      <c r="A115" s="2" t="s">
        <v>370</v>
      </c>
    </row>
    <row r="116" spans="1:1" x14ac:dyDescent="0.25">
      <c r="A116" s="2" t="s">
        <v>372</v>
      </c>
    </row>
    <row r="117" spans="1:1" x14ac:dyDescent="0.25">
      <c r="A117" s="2" t="s">
        <v>375</v>
      </c>
    </row>
    <row r="118" spans="1:1" x14ac:dyDescent="0.25">
      <c r="A118" s="2" t="s">
        <v>377</v>
      </c>
    </row>
    <row r="119" spans="1:1" x14ac:dyDescent="0.25">
      <c r="A119" s="2" t="s">
        <v>378</v>
      </c>
    </row>
    <row r="120" spans="1:1" x14ac:dyDescent="0.25">
      <c r="A120" s="2" t="s">
        <v>378</v>
      </c>
    </row>
    <row r="121" spans="1:1" x14ac:dyDescent="0.25">
      <c r="A121" s="2" t="s">
        <v>379</v>
      </c>
    </row>
    <row r="122" spans="1:1" x14ac:dyDescent="0.25">
      <c r="A122" s="2" t="s">
        <v>380</v>
      </c>
    </row>
    <row r="123" spans="1:1" x14ac:dyDescent="0.25">
      <c r="A123" s="2" t="s">
        <v>381</v>
      </c>
    </row>
    <row r="124" spans="1:1" x14ac:dyDescent="0.25">
      <c r="A124" s="2" t="s">
        <v>49</v>
      </c>
    </row>
    <row r="125" spans="1:1" x14ac:dyDescent="0.25">
      <c r="A125" s="2" t="s">
        <v>383</v>
      </c>
    </row>
    <row r="126" spans="1:1" x14ac:dyDescent="0.25">
      <c r="A126" s="2" t="s">
        <v>384</v>
      </c>
    </row>
    <row r="127" spans="1:1" x14ac:dyDescent="0.25">
      <c r="A127" s="2" t="s">
        <v>387</v>
      </c>
    </row>
    <row r="128" spans="1:1" x14ac:dyDescent="0.25">
      <c r="A128" s="2" t="s">
        <v>388</v>
      </c>
    </row>
    <row r="129" spans="1:1" x14ac:dyDescent="0.25">
      <c r="A129" s="2" t="s">
        <v>389</v>
      </c>
    </row>
    <row r="130" spans="1:1" x14ac:dyDescent="0.25">
      <c r="A130" s="2" t="s">
        <v>390</v>
      </c>
    </row>
    <row r="131" spans="1:1" x14ac:dyDescent="0.25">
      <c r="A131" s="2" t="s">
        <v>391</v>
      </c>
    </row>
    <row r="132" spans="1:1" x14ac:dyDescent="0.25">
      <c r="A132" s="2" t="s">
        <v>392</v>
      </c>
    </row>
    <row r="133" spans="1:1" x14ac:dyDescent="0.25">
      <c r="A133" s="2" t="s">
        <v>395</v>
      </c>
    </row>
    <row r="134" spans="1:1" x14ac:dyDescent="0.25">
      <c r="A134" s="2" t="s">
        <v>396</v>
      </c>
    </row>
    <row r="135" spans="1:1" x14ac:dyDescent="0.25">
      <c r="A135" s="2" t="s">
        <v>397</v>
      </c>
    </row>
    <row r="136" spans="1:1" x14ac:dyDescent="0.25">
      <c r="A136" s="78" t="s">
        <v>402</v>
      </c>
    </row>
    <row r="137" spans="1:1" x14ac:dyDescent="0.25">
      <c r="A137" s="78" t="s">
        <v>403</v>
      </c>
    </row>
    <row r="138" spans="1:1" x14ac:dyDescent="0.25">
      <c r="A138" s="2" t="s">
        <v>404</v>
      </c>
    </row>
    <row r="139" spans="1:1" x14ac:dyDescent="0.25">
      <c r="A139" s="2" t="s">
        <v>411</v>
      </c>
    </row>
    <row r="140" spans="1:1" x14ac:dyDescent="0.25">
      <c r="A140" s="2" t="s">
        <v>421</v>
      </c>
    </row>
    <row r="141" spans="1:1" x14ac:dyDescent="0.25">
      <c r="A141" s="2" t="s">
        <v>428</v>
      </c>
    </row>
    <row r="142" spans="1:1" x14ac:dyDescent="0.25">
      <c r="A142" s="2" t="s">
        <v>431</v>
      </c>
    </row>
    <row r="143" spans="1:1" x14ac:dyDescent="0.25">
      <c r="A143" s="2" t="s">
        <v>432</v>
      </c>
    </row>
    <row r="144" spans="1:1" x14ac:dyDescent="0.25">
      <c r="A144" s="2" t="s">
        <v>433</v>
      </c>
    </row>
    <row r="145" spans="1:1" x14ac:dyDescent="0.25">
      <c r="A145" s="2" t="s">
        <v>439</v>
      </c>
    </row>
    <row r="146" spans="1:1" x14ac:dyDescent="0.25">
      <c r="A146" s="2" t="s">
        <v>440</v>
      </c>
    </row>
    <row r="147" spans="1:1" x14ac:dyDescent="0.25">
      <c r="A147" s="2" t="s">
        <v>441</v>
      </c>
    </row>
    <row r="148" spans="1:1" x14ac:dyDescent="0.25">
      <c r="A148" s="2" t="s">
        <v>442</v>
      </c>
    </row>
    <row r="149" spans="1:1" x14ac:dyDescent="0.25">
      <c r="A149" s="2" t="s">
        <v>444</v>
      </c>
    </row>
    <row r="150" spans="1:1" x14ac:dyDescent="0.25">
      <c r="A150" s="2" t="s">
        <v>445</v>
      </c>
    </row>
    <row r="151" spans="1:1" x14ac:dyDescent="0.25">
      <c r="A151" s="2" t="s">
        <v>446</v>
      </c>
    </row>
    <row r="152" spans="1:1" x14ac:dyDescent="0.25">
      <c r="A152" s="2" t="s">
        <v>449</v>
      </c>
    </row>
    <row r="153" spans="1:1" x14ac:dyDescent="0.25">
      <c r="A153" s="2" t="s">
        <v>450</v>
      </c>
    </row>
    <row r="154" spans="1:1" x14ac:dyDescent="0.25">
      <c r="A154" s="2" t="s">
        <v>451</v>
      </c>
    </row>
    <row r="155" spans="1:1" x14ac:dyDescent="0.25">
      <c r="A155" s="2" t="s">
        <v>452</v>
      </c>
    </row>
    <row r="156" spans="1:1" x14ac:dyDescent="0.25">
      <c r="A156" s="2" t="s">
        <v>453</v>
      </c>
    </row>
    <row r="157" spans="1:1" x14ac:dyDescent="0.25">
      <c r="A157" s="2" t="s">
        <v>455</v>
      </c>
    </row>
    <row r="158" spans="1:1" x14ac:dyDescent="0.25">
      <c r="A158" s="2" t="s">
        <v>461</v>
      </c>
    </row>
    <row r="159" spans="1:1" x14ac:dyDescent="0.25">
      <c r="A159" s="2" t="s">
        <v>465</v>
      </c>
    </row>
    <row r="160" spans="1:1" x14ac:dyDescent="0.25">
      <c r="A160" s="2" t="s">
        <v>469</v>
      </c>
    </row>
    <row r="161" spans="1:1" x14ac:dyDescent="0.25">
      <c r="A161" s="2" t="s">
        <v>470</v>
      </c>
    </row>
    <row r="162" spans="1:1" x14ac:dyDescent="0.25">
      <c r="A162" s="2" t="s">
        <v>472</v>
      </c>
    </row>
    <row r="163" spans="1:1" x14ac:dyDescent="0.25">
      <c r="A163" s="2" t="s">
        <v>475</v>
      </c>
    </row>
    <row r="164" spans="1:1" x14ac:dyDescent="0.25">
      <c r="A164" s="2" t="s">
        <v>477</v>
      </c>
    </row>
    <row r="165" spans="1:1" x14ac:dyDescent="0.25">
      <c r="A165" s="2" t="s">
        <v>481</v>
      </c>
    </row>
    <row r="166" spans="1:1" x14ac:dyDescent="0.25">
      <c r="A166" s="2" t="s">
        <v>485</v>
      </c>
    </row>
    <row r="167" spans="1:1" x14ac:dyDescent="0.25">
      <c r="A167" s="2" t="s">
        <v>486</v>
      </c>
    </row>
    <row r="168" spans="1:1" x14ac:dyDescent="0.25">
      <c r="A168" s="2" t="s">
        <v>488</v>
      </c>
    </row>
    <row r="169" spans="1:1" x14ac:dyDescent="0.25">
      <c r="A169" s="2" t="s">
        <v>491</v>
      </c>
    </row>
    <row r="170" spans="1:1" x14ac:dyDescent="0.25">
      <c r="A170" s="2" t="s">
        <v>493</v>
      </c>
    </row>
    <row r="171" spans="1:1" x14ac:dyDescent="0.25">
      <c r="A171" s="2" t="s">
        <v>494</v>
      </c>
    </row>
    <row r="172" spans="1:1" x14ac:dyDescent="0.25">
      <c r="A172" s="2" t="s">
        <v>498</v>
      </c>
    </row>
    <row r="173" spans="1:1" x14ac:dyDescent="0.25">
      <c r="A173" s="2" t="s">
        <v>499</v>
      </c>
    </row>
    <row r="174" spans="1:1" x14ac:dyDescent="0.25">
      <c r="A174" s="2" t="s">
        <v>500</v>
      </c>
    </row>
    <row r="175" spans="1:1" x14ac:dyDescent="0.25">
      <c r="A175" s="2" t="s">
        <v>501</v>
      </c>
    </row>
    <row r="176" spans="1:1" x14ac:dyDescent="0.25">
      <c r="A176" s="2" t="s">
        <v>502</v>
      </c>
    </row>
    <row r="177" spans="1:1" x14ac:dyDescent="0.25">
      <c r="A177" s="2" t="s">
        <v>504</v>
      </c>
    </row>
    <row r="178" spans="1:1" x14ac:dyDescent="0.25">
      <c r="A178" s="2" t="s">
        <v>505</v>
      </c>
    </row>
    <row r="179" spans="1:1" x14ac:dyDescent="0.25">
      <c r="A179" s="2" t="s">
        <v>507</v>
      </c>
    </row>
    <row r="180" spans="1:1" x14ac:dyDescent="0.25">
      <c r="A180" s="2" t="s">
        <v>508</v>
      </c>
    </row>
    <row r="181" spans="1:1" x14ac:dyDescent="0.25">
      <c r="A181" s="2" t="s">
        <v>509</v>
      </c>
    </row>
    <row r="182" spans="1:1" x14ac:dyDescent="0.25">
      <c r="A182" s="2" t="s">
        <v>512</v>
      </c>
    </row>
    <row r="183" spans="1:1" x14ac:dyDescent="0.25">
      <c r="A183" s="2" t="s">
        <v>513</v>
      </c>
    </row>
    <row r="184" spans="1:1" x14ac:dyDescent="0.25">
      <c r="A184" s="2" t="s">
        <v>514</v>
      </c>
    </row>
    <row r="185" spans="1:1" x14ac:dyDescent="0.25">
      <c r="A185" s="2" t="s">
        <v>515</v>
      </c>
    </row>
    <row r="186" spans="1:1" x14ac:dyDescent="0.25">
      <c r="A186" s="2" t="s">
        <v>516</v>
      </c>
    </row>
    <row r="187" spans="1:1" x14ac:dyDescent="0.25">
      <c r="A187" s="2" t="s">
        <v>517</v>
      </c>
    </row>
    <row r="188" spans="1:1" x14ac:dyDescent="0.25">
      <c r="A188" s="2" t="s">
        <v>518</v>
      </c>
    </row>
    <row r="189" spans="1:1" x14ac:dyDescent="0.25">
      <c r="A189" s="2" t="s">
        <v>519</v>
      </c>
    </row>
    <row r="190" spans="1:1" x14ac:dyDescent="0.25">
      <c r="A190" s="2" t="s">
        <v>520</v>
      </c>
    </row>
    <row r="191" spans="1:1" x14ac:dyDescent="0.25">
      <c r="A191" s="2" t="s">
        <v>522</v>
      </c>
    </row>
    <row r="192" spans="1:1" x14ac:dyDescent="0.25">
      <c r="A192" s="2" t="s">
        <v>523</v>
      </c>
    </row>
    <row r="193" spans="1:1" x14ac:dyDescent="0.25">
      <c r="A193" s="2" t="s">
        <v>526</v>
      </c>
    </row>
    <row r="194" spans="1:1" x14ac:dyDescent="0.25">
      <c r="A194" s="2" t="s">
        <v>527</v>
      </c>
    </row>
    <row r="195" spans="1:1" x14ac:dyDescent="0.25">
      <c r="A195" s="2" t="s">
        <v>528</v>
      </c>
    </row>
    <row r="196" spans="1:1" x14ac:dyDescent="0.25">
      <c r="A196" s="2" t="s">
        <v>534</v>
      </c>
    </row>
    <row r="197" spans="1:1" x14ac:dyDescent="0.25">
      <c r="A197" s="2" t="s">
        <v>536</v>
      </c>
    </row>
    <row r="198" spans="1:1" x14ac:dyDescent="0.25">
      <c r="A198" s="2" t="s">
        <v>537</v>
      </c>
    </row>
    <row r="199" spans="1:1" x14ac:dyDescent="0.25">
      <c r="A199" s="2" t="s">
        <v>538</v>
      </c>
    </row>
    <row r="200" spans="1:1" x14ac:dyDescent="0.25">
      <c r="A200" s="2" t="s">
        <v>539</v>
      </c>
    </row>
    <row r="201" spans="1:1" x14ac:dyDescent="0.25">
      <c r="A201" s="2" t="s">
        <v>540</v>
      </c>
    </row>
    <row r="202" spans="1:1" x14ac:dyDescent="0.25">
      <c r="A202" s="2" t="s">
        <v>541</v>
      </c>
    </row>
    <row r="203" spans="1:1" x14ac:dyDescent="0.25">
      <c r="A203" s="2" t="s">
        <v>542</v>
      </c>
    </row>
    <row r="204" spans="1:1" x14ac:dyDescent="0.25">
      <c r="A204" s="2" t="s">
        <v>543</v>
      </c>
    </row>
    <row r="205" spans="1:1" x14ac:dyDescent="0.25">
      <c r="A205" s="2" t="s">
        <v>544</v>
      </c>
    </row>
    <row r="206" spans="1:1" x14ac:dyDescent="0.25">
      <c r="A206" s="2" t="s">
        <v>545</v>
      </c>
    </row>
    <row r="207" spans="1:1" x14ac:dyDescent="0.25">
      <c r="A207" s="2" t="s">
        <v>546</v>
      </c>
    </row>
    <row r="208" spans="1:1" x14ac:dyDescent="0.25">
      <c r="A208" s="2" t="s">
        <v>547</v>
      </c>
    </row>
    <row r="209" spans="1:1" x14ac:dyDescent="0.25">
      <c r="A209" s="2" t="s">
        <v>548</v>
      </c>
    </row>
    <row r="210" spans="1:1" x14ac:dyDescent="0.25">
      <c r="A210" s="2" t="s">
        <v>549</v>
      </c>
    </row>
    <row r="211" spans="1:1" x14ac:dyDescent="0.25">
      <c r="A211" s="2" t="s">
        <v>550</v>
      </c>
    </row>
    <row r="212" spans="1:1" x14ac:dyDescent="0.25">
      <c r="A212" s="2" t="s">
        <v>551</v>
      </c>
    </row>
    <row r="213" spans="1:1" x14ac:dyDescent="0.25">
      <c r="A213" s="2" t="s">
        <v>552</v>
      </c>
    </row>
    <row r="214" spans="1:1" x14ac:dyDescent="0.25">
      <c r="A214" s="2" t="s">
        <v>553</v>
      </c>
    </row>
    <row r="215" spans="1:1" x14ac:dyDescent="0.25">
      <c r="A215" s="2" t="s">
        <v>554</v>
      </c>
    </row>
    <row r="216" spans="1:1" x14ac:dyDescent="0.25">
      <c r="A216" s="2" t="s">
        <v>555</v>
      </c>
    </row>
    <row r="217" spans="1:1" x14ac:dyDescent="0.25">
      <c r="A217" s="2" t="s">
        <v>556</v>
      </c>
    </row>
    <row r="218" spans="1:1" x14ac:dyDescent="0.25">
      <c r="A218" s="2" t="s">
        <v>557</v>
      </c>
    </row>
    <row r="219" spans="1:1" x14ac:dyDescent="0.25">
      <c r="A219" s="2" t="s">
        <v>558</v>
      </c>
    </row>
    <row r="220" spans="1:1" x14ac:dyDescent="0.25">
      <c r="A220" s="2" t="s">
        <v>559</v>
      </c>
    </row>
    <row r="221" spans="1:1" x14ac:dyDescent="0.25">
      <c r="A221" s="2" t="s">
        <v>560</v>
      </c>
    </row>
    <row r="222" spans="1:1" x14ac:dyDescent="0.25">
      <c r="A222" s="2" t="s">
        <v>561</v>
      </c>
    </row>
    <row r="223" spans="1:1" x14ac:dyDescent="0.25">
      <c r="A223" s="2" t="s">
        <v>562</v>
      </c>
    </row>
    <row r="224" spans="1:1" x14ac:dyDescent="0.25">
      <c r="A224" s="2" t="s">
        <v>563</v>
      </c>
    </row>
    <row r="225" spans="1:1" x14ac:dyDescent="0.25">
      <c r="A225" s="2" t="s">
        <v>564</v>
      </c>
    </row>
    <row r="226" spans="1:1" x14ac:dyDescent="0.25">
      <c r="A226" s="2" t="s">
        <v>565</v>
      </c>
    </row>
    <row r="227" spans="1:1" x14ac:dyDescent="0.25">
      <c r="A227" s="2" t="s">
        <v>566</v>
      </c>
    </row>
    <row r="228" spans="1:1" x14ac:dyDescent="0.25">
      <c r="A228" s="2" t="s">
        <v>567</v>
      </c>
    </row>
    <row r="229" spans="1:1" x14ac:dyDescent="0.25">
      <c r="A229" s="2" t="s">
        <v>568</v>
      </c>
    </row>
    <row r="230" spans="1:1" x14ac:dyDescent="0.25">
      <c r="A230" s="2" t="s">
        <v>569</v>
      </c>
    </row>
    <row r="231" spans="1:1" x14ac:dyDescent="0.25">
      <c r="A231" s="2" t="s">
        <v>570</v>
      </c>
    </row>
    <row r="232" spans="1:1" x14ac:dyDescent="0.25">
      <c r="A232" s="2" t="s">
        <v>571</v>
      </c>
    </row>
    <row r="233" spans="1:1" x14ac:dyDescent="0.25">
      <c r="A233" s="2" t="s">
        <v>572</v>
      </c>
    </row>
    <row r="234" spans="1:1" x14ac:dyDescent="0.25">
      <c r="A234" s="2" t="s">
        <v>573</v>
      </c>
    </row>
    <row r="235" spans="1:1" x14ac:dyDescent="0.25">
      <c r="A235" s="2" t="s">
        <v>574</v>
      </c>
    </row>
    <row r="236" spans="1:1" x14ac:dyDescent="0.25">
      <c r="A236" s="2" t="s">
        <v>575</v>
      </c>
    </row>
    <row r="237" spans="1:1" x14ac:dyDescent="0.25">
      <c r="A237" s="2" t="s">
        <v>576</v>
      </c>
    </row>
    <row r="238" spans="1:1" x14ac:dyDescent="0.25">
      <c r="A238" s="2" t="s">
        <v>577</v>
      </c>
    </row>
    <row r="239" spans="1:1" x14ac:dyDescent="0.25">
      <c r="A239" s="2" t="s">
        <v>578</v>
      </c>
    </row>
    <row r="240" spans="1:1" x14ac:dyDescent="0.25">
      <c r="A240" s="2" t="s">
        <v>579</v>
      </c>
    </row>
    <row r="241" spans="1:1" x14ac:dyDescent="0.25">
      <c r="A241" s="2" t="s">
        <v>580</v>
      </c>
    </row>
    <row r="242" spans="1:1" x14ac:dyDescent="0.25">
      <c r="A242" s="2" t="s">
        <v>581</v>
      </c>
    </row>
    <row r="243" spans="1:1" x14ac:dyDescent="0.25">
      <c r="A243" s="2" t="s">
        <v>582</v>
      </c>
    </row>
    <row r="244" spans="1:1" x14ac:dyDescent="0.25">
      <c r="A244" s="2" t="s">
        <v>583</v>
      </c>
    </row>
    <row r="245" spans="1:1" x14ac:dyDescent="0.25">
      <c r="A245" s="2" t="s">
        <v>584</v>
      </c>
    </row>
    <row r="246" spans="1:1" x14ac:dyDescent="0.25">
      <c r="A246" s="2" t="s">
        <v>585</v>
      </c>
    </row>
    <row r="247" spans="1:1" x14ac:dyDescent="0.25">
      <c r="A247" s="2" t="s">
        <v>586</v>
      </c>
    </row>
    <row r="248" spans="1:1" x14ac:dyDescent="0.25">
      <c r="A248" s="2" t="s">
        <v>587</v>
      </c>
    </row>
    <row r="249" spans="1:1" x14ac:dyDescent="0.25">
      <c r="A249" s="2" t="s">
        <v>588</v>
      </c>
    </row>
    <row r="250" spans="1:1" x14ac:dyDescent="0.25">
      <c r="A250" s="2" t="s">
        <v>589</v>
      </c>
    </row>
    <row r="251" spans="1:1" x14ac:dyDescent="0.25">
      <c r="A251" s="2" t="s">
        <v>590</v>
      </c>
    </row>
    <row r="252" spans="1:1" x14ac:dyDescent="0.25">
      <c r="A252" s="2" t="s">
        <v>591</v>
      </c>
    </row>
    <row r="253" spans="1:1" x14ac:dyDescent="0.25">
      <c r="A253" s="2" t="s">
        <v>592</v>
      </c>
    </row>
    <row r="254" spans="1:1" x14ac:dyDescent="0.25">
      <c r="A254" s="2" t="s">
        <v>593</v>
      </c>
    </row>
    <row r="255" spans="1:1" x14ac:dyDescent="0.25">
      <c r="A255" s="2" t="s">
        <v>594</v>
      </c>
    </row>
    <row r="256" spans="1:1" x14ac:dyDescent="0.25">
      <c r="A256" s="2" t="s">
        <v>595</v>
      </c>
    </row>
    <row r="257" spans="1:1" x14ac:dyDescent="0.25">
      <c r="A257" s="2" t="s">
        <v>596</v>
      </c>
    </row>
    <row r="258" spans="1:1" x14ac:dyDescent="0.25">
      <c r="A258" s="2" t="s">
        <v>597</v>
      </c>
    </row>
    <row r="259" spans="1:1" x14ac:dyDescent="0.25">
      <c r="A259" s="2" t="s">
        <v>598</v>
      </c>
    </row>
    <row r="260" spans="1:1" x14ac:dyDescent="0.25">
      <c r="A260" s="2" t="s">
        <v>599</v>
      </c>
    </row>
    <row r="261" spans="1:1" x14ac:dyDescent="0.25">
      <c r="A261" s="2" t="s">
        <v>600</v>
      </c>
    </row>
    <row r="262" spans="1:1" x14ac:dyDescent="0.25">
      <c r="A262" s="2" t="s">
        <v>601</v>
      </c>
    </row>
    <row r="263" spans="1:1" x14ac:dyDescent="0.25">
      <c r="A263" s="2" t="s">
        <v>603</v>
      </c>
    </row>
    <row r="264" spans="1:1" x14ac:dyDescent="0.25">
      <c r="A264" s="2" t="s">
        <v>604</v>
      </c>
    </row>
    <row r="265" spans="1:1" x14ac:dyDescent="0.25">
      <c r="A265" s="2" t="s">
        <v>605</v>
      </c>
    </row>
    <row r="266" spans="1:1" x14ac:dyDescent="0.25">
      <c r="A266" s="2" t="s">
        <v>606</v>
      </c>
    </row>
    <row r="267" spans="1:1" x14ac:dyDescent="0.25">
      <c r="A267" s="2" t="s">
        <v>607</v>
      </c>
    </row>
    <row r="268" spans="1:1" x14ac:dyDescent="0.25">
      <c r="A268" s="2" t="s">
        <v>608</v>
      </c>
    </row>
    <row r="269" spans="1:1" x14ac:dyDescent="0.25">
      <c r="A269" s="2" t="s">
        <v>609</v>
      </c>
    </row>
    <row r="270" spans="1:1" x14ac:dyDescent="0.25">
      <c r="A270" s="2" t="s">
        <v>610</v>
      </c>
    </row>
    <row r="271" spans="1:1" x14ac:dyDescent="0.25">
      <c r="A271" s="2" t="s">
        <v>611</v>
      </c>
    </row>
    <row r="272" spans="1:1" x14ac:dyDescent="0.25">
      <c r="A272" s="2" t="s">
        <v>612</v>
      </c>
    </row>
    <row r="273" spans="1:1" x14ac:dyDescent="0.25">
      <c r="A273" s="2" t="s">
        <v>613</v>
      </c>
    </row>
    <row r="274" spans="1:1" x14ac:dyDescent="0.25">
      <c r="A274" s="2" t="s">
        <v>614</v>
      </c>
    </row>
    <row r="275" spans="1:1" x14ac:dyDescent="0.25">
      <c r="A275" s="2" t="s">
        <v>615</v>
      </c>
    </row>
    <row r="276" spans="1:1" x14ac:dyDescent="0.25">
      <c r="A276" s="2" t="s">
        <v>616</v>
      </c>
    </row>
    <row r="277" spans="1:1" x14ac:dyDescent="0.25">
      <c r="A277" s="2" t="s">
        <v>617</v>
      </c>
    </row>
    <row r="278" spans="1:1" x14ac:dyDescent="0.25">
      <c r="A278" s="2" t="s">
        <v>618</v>
      </c>
    </row>
    <row r="279" spans="1:1" x14ac:dyDescent="0.25">
      <c r="A279" s="2" t="s">
        <v>619</v>
      </c>
    </row>
    <row r="280" spans="1:1" x14ac:dyDescent="0.25">
      <c r="A280" s="2" t="s">
        <v>620</v>
      </c>
    </row>
    <row r="281" spans="1:1" x14ac:dyDescent="0.25">
      <c r="A281" s="2" t="s">
        <v>621</v>
      </c>
    </row>
    <row r="282" spans="1:1" x14ac:dyDescent="0.25">
      <c r="A282" s="2" t="s">
        <v>622</v>
      </c>
    </row>
    <row r="283" spans="1:1" x14ac:dyDescent="0.25">
      <c r="A283" s="2" t="s">
        <v>623</v>
      </c>
    </row>
    <row r="284" spans="1:1" x14ac:dyDescent="0.25">
      <c r="A284" s="2" t="s">
        <v>624</v>
      </c>
    </row>
    <row r="285" spans="1:1" x14ac:dyDescent="0.25">
      <c r="A285" s="2" t="s">
        <v>625</v>
      </c>
    </row>
    <row r="286" spans="1:1" x14ac:dyDescent="0.25">
      <c r="A286" s="2" t="s">
        <v>626</v>
      </c>
    </row>
    <row r="287" spans="1:1" x14ac:dyDescent="0.25">
      <c r="A287" s="2" t="s">
        <v>627</v>
      </c>
    </row>
    <row r="288" spans="1:1" x14ac:dyDescent="0.25">
      <c r="A288" s="2" t="s">
        <v>628</v>
      </c>
    </row>
    <row r="289" spans="1:1" x14ac:dyDescent="0.25">
      <c r="A289" s="2" t="s">
        <v>629</v>
      </c>
    </row>
    <row r="290" spans="1:1" x14ac:dyDescent="0.25">
      <c r="A290" s="2" t="s">
        <v>630</v>
      </c>
    </row>
    <row r="291" spans="1:1" x14ac:dyDescent="0.25">
      <c r="A291" s="2" t="s">
        <v>633</v>
      </c>
    </row>
    <row r="292" spans="1:1" x14ac:dyDescent="0.25">
      <c r="A292" s="2" t="s">
        <v>634</v>
      </c>
    </row>
    <row r="293" spans="1:1" x14ac:dyDescent="0.25">
      <c r="A293" s="2" t="s">
        <v>635</v>
      </c>
    </row>
    <row r="294" spans="1:1" x14ac:dyDescent="0.25">
      <c r="A294" s="2" t="s">
        <v>636</v>
      </c>
    </row>
    <row r="295" spans="1:1" x14ac:dyDescent="0.25">
      <c r="A295" s="2" t="s">
        <v>637</v>
      </c>
    </row>
    <row r="296" spans="1:1" x14ac:dyDescent="0.25">
      <c r="A296" s="2" t="s">
        <v>638</v>
      </c>
    </row>
    <row r="297" spans="1:1" x14ac:dyDescent="0.25">
      <c r="A297" s="2" t="s">
        <v>639</v>
      </c>
    </row>
    <row r="298" spans="1:1" x14ac:dyDescent="0.25">
      <c r="A298" s="2" t="s">
        <v>641</v>
      </c>
    </row>
    <row r="299" spans="1:1" x14ac:dyDescent="0.25">
      <c r="A299" s="2" t="s">
        <v>642</v>
      </c>
    </row>
    <row r="300" spans="1:1" x14ac:dyDescent="0.25">
      <c r="A300" s="2" t="s">
        <v>644</v>
      </c>
    </row>
    <row r="301" spans="1:1" x14ac:dyDescent="0.25">
      <c r="A301" s="2" t="s">
        <v>645</v>
      </c>
    </row>
    <row r="302" spans="1:1" x14ac:dyDescent="0.25">
      <c r="A302" s="2" t="s">
        <v>647</v>
      </c>
    </row>
    <row r="303" spans="1:1" x14ac:dyDescent="0.25">
      <c r="A303" s="2" t="s">
        <v>648</v>
      </c>
    </row>
    <row r="304" spans="1:1" x14ac:dyDescent="0.25">
      <c r="A304" s="2" t="s">
        <v>649</v>
      </c>
    </row>
    <row r="305" spans="1:1" x14ac:dyDescent="0.25">
      <c r="A305" s="2" t="s">
        <v>650</v>
      </c>
    </row>
    <row r="306" spans="1:1" x14ac:dyDescent="0.25">
      <c r="A306" s="2" t="s">
        <v>651</v>
      </c>
    </row>
    <row r="307" spans="1:1" x14ac:dyDescent="0.25">
      <c r="A307" s="2" t="s">
        <v>652</v>
      </c>
    </row>
    <row r="308" spans="1:1" x14ac:dyDescent="0.25">
      <c r="A308" s="2" t="s">
        <v>653</v>
      </c>
    </row>
    <row r="309" spans="1:1" x14ac:dyDescent="0.25">
      <c r="A309" s="2" t="s">
        <v>654</v>
      </c>
    </row>
    <row r="310" spans="1:1" x14ac:dyDescent="0.25">
      <c r="A310" s="2" t="s">
        <v>655</v>
      </c>
    </row>
    <row r="311" spans="1:1" x14ac:dyDescent="0.25">
      <c r="A311" s="2" t="s">
        <v>656</v>
      </c>
    </row>
    <row r="312" spans="1:1" x14ac:dyDescent="0.25">
      <c r="A312" s="2" t="s">
        <v>657</v>
      </c>
    </row>
    <row r="313" spans="1:1" x14ac:dyDescent="0.25">
      <c r="A313" s="2" t="s">
        <v>658</v>
      </c>
    </row>
    <row r="314" spans="1:1" x14ac:dyDescent="0.25">
      <c r="A314" s="2" t="s">
        <v>659</v>
      </c>
    </row>
    <row r="315" spans="1:1" x14ac:dyDescent="0.25">
      <c r="A315" s="2" t="s">
        <v>660</v>
      </c>
    </row>
    <row r="316" spans="1:1" x14ac:dyDescent="0.25">
      <c r="A316" s="2" t="s">
        <v>661</v>
      </c>
    </row>
    <row r="317" spans="1:1" x14ac:dyDescent="0.25">
      <c r="A317" s="2" t="s">
        <v>662</v>
      </c>
    </row>
    <row r="318" spans="1:1" x14ac:dyDescent="0.25">
      <c r="A318" s="2" t="s">
        <v>663</v>
      </c>
    </row>
    <row r="319" spans="1:1" x14ac:dyDescent="0.25">
      <c r="A319" s="2" t="s">
        <v>664</v>
      </c>
    </row>
    <row r="320" spans="1:1" x14ac:dyDescent="0.25">
      <c r="A320" s="2" t="s">
        <v>665</v>
      </c>
    </row>
    <row r="321" spans="1:1" x14ac:dyDescent="0.25">
      <c r="A321" s="2" t="s">
        <v>666</v>
      </c>
    </row>
    <row r="322" spans="1:1" x14ac:dyDescent="0.25">
      <c r="A322" s="2" t="s">
        <v>667</v>
      </c>
    </row>
    <row r="323" spans="1:1" x14ac:dyDescent="0.25">
      <c r="A323" s="2" t="s">
        <v>668</v>
      </c>
    </row>
    <row r="324" spans="1:1" x14ac:dyDescent="0.25">
      <c r="A324" s="2" t="s">
        <v>669</v>
      </c>
    </row>
    <row r="325" spans="1:1" x14ac:dyDescent="0.25">
      <c r="A325" s="2" t="s">
        <v>670</v>
      </c>
    </row>
    <row r="326" spans="1:1" x14ac:dyDescent="0.25">
      <c r="A326" s="2" t="s">
        <v>671</v>
      </c>
    </row>
    <row r="327" spans="1:1" x14ac:dyDescent="0.25">
      <c r="A327" s="2" t="s">
        <v>672</v>
      </c>
    </row>
    <row r="328" spans="1:1" x14ac:dyDescent="0.25">
      <c r="A328" s="2" t="s">
        <v>673</v>
      </c>
    </row>
    <row r="329" spans="1:1" x14ac:dyDescent="0.25">
      <c r="A329" s="2" t="s">
        <v>674</v>
      </c>
    </row>
    <row r="330" spans="1:1" x14ac:dyDescent="0.25">
      <c r="A330" s="2" t="s">
        <v>675</v>
      </c>
    </row>
    <row r="331" spans="1:1" x14ac:dyDescent="0.25">
      <c r="A331" s="2" t="s">
        <v>676</v>
      </c>
    </row>
    <row r="332" spans="1:1" x14ac:dyDescent="0.25">
      <c r="A332" s="2" t="s">
        <v>677</v>
      </c>
    </row>
    <row r="333" spans="1:1" x14ac:dyDescent="0.25">
      <c r="A333" s="2" t="s">
        <v>678</v>
      </c>
    </row>
    <row r="334" spans="1:1" x14ac:dyDescent="0.25">
      <c r="A334" s="2" t="s">
        <v>679</v>
      </c>
    </row>
    <row r="335" spans="1:1" x14ac:dyDescent="0.25">
      <c r="A335" s="2" t="s">
        <v>680</v>
      </c>
    </row>
    <row r="336" spans="1:1" x14ac:dyDescent="0.25">
      <c r="A336" s="2" t="s">
        <v>681</v>
      </c>
    </row>
    <row r="337" spans="1:1" x14ac:dyDescent="0.25">
      <c r="A337" s="2" t="s">
        <v>682</v>
      </c>
    </row>
    <row r="338" spans="1:1" x14ac:dyDescent="0.25">
      <c r="A338" s="2" t="s">
        <v>683</v>
      </c>
    </row>
    <row r="339" spans="1:1" x14ac:dyDescent="0.25">
      <c r="A339" s="2" t="s">
        <v>684</v>
      </c>
    </row>
    <row r="340" spans="1:1" x14ac:dyDescent="0.25">
      <c r="A340" s="2" t="s">
        <v>685</v>
      </c>
    </row>
    <row r="341" spans="1:1" x14ac:dyDescent="0.25">
      <c r="A341" s="2" t="s">
        <v>686</v>
      </c>
    </row>
    <row r="342" spans="1:1" x14ac:dyDescent="0.25">
      <c r="A342" s="2" t="s">
        <v>687</v>
      </c>
    </row>
    <row r="343" spans="1:1" x14ac:dyDescent="0.25">
      <c r="A343" s="2" t="s">
        <v>688</v>
      </c>
    </row>
    <row r="344" spans="1:1" x14ac:dyDescent="0.25">
      <c r="A344" s="2" t="s">
        <v>689</v>
      </c>
    </row>
    <row r="345" spans="1:1" x14ac:dyDescent="0.25">
      <c r="A345" s="2" t="s">
        <v>690</v>
      </c>
    </row>
    <row r="346" spans="1:1" x14ac:dyDescent="0.25">
      <c r="A346" s="2" t="s">
        <v>691</v>
      </c>
    </row>
    <row r="347" spans="1:1" x14ac:dyDescent="0.25">
      <c r="A347" s="2" t="s">
        <v>692</v>
      </c>
    </row>
    <row r="348" spans="1:1" x14ac:dyDescent="0.25">
      <c r="A348" s="2" t="s">
        <v>693</v>
      </c>
    </row>
    <row r="349" spans="1:1" x14ac:dyDescent="0.25">
      <c r="A349" s="2" t="s">
        <v>694</v>
      </c>
    </row>
    <row r="350" spans="1:1" x14ac:dyDescent="0.25">
      <c r="A350" s="2" t="s">
        <v>695</v>
      </c>
    </row>
    <row r="351" spans="1:1" x14ac:dyDescent="0.25">
      <c r="A351" s="2" t="s">
        <v>696</v>
      </c>
    </row>
    <row r="352" spans="1:1" x14ac:dyDescent="0.25">
      <c r="A352" s="2" t="s">
        <v>697</v>
      </c>
    </row>
    <row r="353" spans="1:1" x14ac:dyDescent="0.25">
      <c r="A353" s="2" t="s">
        <v>698</v>
      </c>
    </row>
    <row r="354" spans="1:1" x14ac:dyDescent="0.25">
      <c r="A354" s="2" t="s">
        <v>699</v>
      </c>
    </row>
    <row r="355" spans="1:1" x14ac:dyDescent="0.25">
      <c r="A355" s="2" t="s">
        <v>700</v>
      </c>
    </row>
    <row r="356" spans="1:1" x14ac:dyDescent="0.25">
      <c r="A356" s="2" t="s">
        <v>701</v>
      </c>
    </row>
    <row r="357" spans="1:1" x14ac:dyDescent="0.25">
      <c r="A357" s="2" t="s">
        <v>702</v>
      </c>
    </row>
    <row r="358" spans="1:1" x14ac:dyDescent="0.25">
      <c r="A358" s="2" t="s">
        <v>703</v>
      </c>
    </row>
    <row r="359" spans="1:1" x14ac:dyDescent="0.25">
      <c r="A359" s="2" t="s">
        <v>704</v>
      </c>
    </row>
    <row r="360" spans="1:1" x14ac:dyDescent="0.25">
      <c r="A360" s="2" t="s">
        <v>705</v>
      </c>
    </row>
    <row r="361" spans="1:1" x14ac:dyDescent="0.25">
      <c r="A361" s="2" t="s">
        <v>706</v>
      </c>
    </row>
    <row r="362" spans="1:1" x14ac:dyDescent="0.25">
      <c r="A362" s="2" t="s">
        <v>707</v>
      </c>
    </row>
    <row r="363" spans="1:1" x14ac:dyDescent="0.25">
      <c r="A363" s="2" t="s">
        <v>708</v>
      </c>
    </row>
    <row r="364" spans="1:1" x14ac:dyDescent="0.25">
      <c r="A364" s="2" t="s">
        <v>709</v>
      </c>
    </row>
    <row r="365" spans="1:1" x14ac:dyDescent="0.25">
      <c r="A365" s="2" t="s">
        <v>710</v>
      </c>
    </row>
    <row r="366" spans="1:1" x14ac:dyDescent="0.25">
      <c r="A366" s="2" t="s">
        <v>711</v>
      </c>
    </row>
    <row r="367" spans="1:1" x14ac:dyDescent="0.25">
      <c r="A367" s="2" t="s">
        <v>712</v>
      </c>
    </row>
    <row r="368" spans="1:1" x14ac:dyDescent="0.25">
      <c r="A368" s="2" t="s">
        <v>713</v>
      </c>
    </row>
    <row r="369" spans="1:1" x14ac:dyDescent="0.25">
      <c r="A369" s="2" t="s">
        <v>714</v>
      </c>
    </row>
    <row r="370" spans="1:1" x14ac:dyDescent="0.25">
      <c r="A370" s="2" t="s">
        <v>715</v>
      </c>
    </row>
    <row r="371" spans="1:1" x14ac:dyDescent="0.25">
      <c r="A371" s="2" t="s">
        <v>716</v>
      </c>
    </row>
    <row r="372" spans="1:1" x14ac:dyDescent="0.25">
      <c r="A372" s="2" t="s">
        <v>717</v>
      </c>
    </row>
    <row r="373" spans="1:1" x14ac:dyDescent="0.25">
      <c r="A373" s="2" t="s">
        <v>718</v>
      </c>
    </row>
    <row r="374" spans="1:1" x14ac:dyDescent="0.25">
      <c r="A374" s="2" t="s">
        <v>719</v>
      </c>
    </row>
    <row r="375" spans="1:1" x14ac:dyDescent="0.25">
      <c r="A375" s="2" t="s">
        <v>720</v>
      </c>
    </row>
    <row r="376" spans="1:1" x14ac:dyDescent="0.25">
      <c r="A376" s="2" t="s">
        <v>721</v>
      </c>
    </row>
    <row r="377" spans="1:1" x14ac:dyDescent="0.25">
      <c r="A377" s="2" t="s">
        <v>722</v>
      </c>
    </row>
    <row r="378" spans="1:1" x14ac:dyDescent="0.25">
      <c r="A378" s="2" t="s">
        <v>723</v>
      </c>
    </row>
    <row r="379" spans="1:1" x14ac:dyDescent="0.25">
      <c r="A379" s="2" t="s">
        <v>724</v>
      </c>
    </row>
    <row r="380" spans="1:1" x14ac:dyDescent="0.25">
      <c r="A380" s="2" t="s">
        <v>725</v>
      </c>
    </row>
    <row r="381" spans="1:1" x14ac:dyDescent="0.25">
      <c r="A381" s="2" t="s">
        <v>726</v>
      </c>
    </row>
    <row r="382" spans="1:1" x14ac:dyDescent="0.25">
      <c r="A382" s="2" t="s">
        <v>727</v>
      </c>
    </row>
    <row r="383" spans="1:1" x14ac:dyDescent="0.25">
      <c r="A383" s="2" t="s">
        <v>728</v>
      </c>
    </row>
    <row r="384" spans="1:1" x14ac:dyDescent="0.25">
      <c r="A384" s="2" t="s">
        <v>729</v>
      </c>
    </row>
    <row r="385" spans="1:1" x14ac:dyDescent="0.25">
      <c r="A385" s="2" t="s">
        <v>730</v>
      </c>
    </row>
    <row r="386" spans="1:1" x14ac:dyDescent="0.25">
      <c r="A386" s="2" t="s">
        <v>731</v>
      </c>
    </row>
    <row r="387" spans="1:1" x14ac:dyDescent="0.25">
      <c r="A387" s="2" t="s">
        <v>732</v>
      </c>
    </row>
    <row r="388" spans="1:1" x14ac:dyDescent="0.25">
      <c r="A388" s="2" t="s">
        <v>733</v>
      </c>
    </row>
    <row r="389" spans="1:1" x14ac:dyDescent="0.25">
      <c r="A389" s="2" t="s">
        <v>734</v>
      </c>
    </row>
    <row r="390" spans="1:1" x14ac:dyDescent="0.25">
      <c r="A390" s="2" t="s">
        <v>735</v>
      </c>
    </row>
    <row r="391" spans="1:1" x14ac:dyDescent="0.25">
      <c r="A391" s="2" t="s">
        <v>736</v>
      </c>
    </row>
    <row r="392" spans="1:1" x14ac:dyDescent="0.25">
      <c r="A392" s="2" t="s">
        <v>737</v>
      </c>
    </row>
    <row r="393" spans="1:1" x14ac:dyDescent="0.25">
      <c r="A393" s="2" t="s">
        <v>738</v>
      </c>
    </row>
    <row r="394" spans="1:1" x14ac:dyDescent="0.25">
      <c r="A394" s="2" t="s">
        <v>739</v>
      </c>
    </row>
    <row r="395" spans="1:1" x14ac:dyDescent="0.25">
      <c r="A395" s="2" t="s">
        <v>740</v>
      </c>
    </row>
    <row r="396" spans="1:1" x14ac:dyDescent="0.25">
      <c r="A396" s="2" t="s">
        <v>741</v>
      </c>
    </row>
    <row r="397" spans="1:1" x14ac:dyDescent="0.25">
      <c r="A397" s="2" t="s">
        <v>742</v>
      </c>
    </row>
    <row r="398" spans="1:1" x14ac:dyDescent="0.25">
      <c r="A398" s="2" t="s">
        <v>743</v>
      </c>
    </row>
    <row r="399" spans="1:1" x14ac:dyDescent="0.25">
      <c r="A399" s="2" t="s">
        <v>744</v>
      </c>
    </row>
    <row r="400" spans="1:1" x14ac:dyDescent="0.25">
      <c r="A400" s="2" t="s">
        <v>745</v>
      </c>
    </row>
    <row r="401" spans="1:1" x14ac:dyDescent="0.25">
      <c r="A401" s="2" t="s">
        <v>746</v>
      </c>
    </row>
    <row r="402" spans="1:1" x14ac:dyDescent="0.25">
      <c r="A402" s="2" t="s">
        <v>747</v>
      </c>
    </row>
    <row r="403" spans="1:1" x14ac:dyDescent="0.25">
      <c r="A403" s="2" t="s">
        <v>748</v>
      </c>
    </row>
    <row r="404" spans="1:1" x14ac:dyDescent="0.25">
      <c r="A404" s="2" t="s">
        <v>749</v>
      </c>
    </row>
    <row r="405" spans="1:1" x14ac:dyDescent="0.25">
      <c r="A405" s="2" t="s">
        <v>750</v>
      </c>
    </row>
    <row r="406" spans="1:1" x14ac:dyDescent="0.25">
      <c r="A406" s="2" t="s">
        <v>751</v>
      </c>
    </row>
    <row r="407" spans="1:1" x14ac:dyDescent="0.25">
      <c r="A407" s="2" t="s">
        <v>752</v>
      </c>
    </row>
    <row r="408" spans="1:1" x14ac:dyDescent="0.25">
      <c r="A408" s="2" t="s">
        <v>753</v>
      </c>
    </row>
    <row r="409" spans="1:1" x14ac:dyDescent="0.25">
      <c r="A409" s="2" t="s">
        <v>754</v>
      </c>
    </row>
    <row r="410" spans="1:1" x14ac:dyDescent="0.25">
      <c r="A410" s="2" t="s">
        <v>755</v>
      </c>
    </row>
    <row r="411" spans="1:1" x14ac:dyDescent="0.25">
      <c r="A411" s="2" t="s">
        <v>756</v>
      </c>
    </row>
    <row r="412" spans="1:1" x14ac:dyDescent="0.25">
      <c r="A412" s="2" t="s">
        <v>757</v>
      </c>
    </row>
    <row r="413" spans="1:1" x14ac:dyDescent="0.25">
      <c r="A413" s="2" t="s">
        <v>758</v>
      </c>
    </row>
    <row r="414" spans="1:1" x14ac:dyDescent="0.25">
      <c r="A414" s="2" t="s">
        <v>759</v>
      </c>
    </row>
    <row r="415" spans="1:1" x14ac:dyDescent="0.25">
      <c r="A415" s="2" t="s">
        <v>760</v>
      </c>
    </row>
    <row r="416" spans="1:1" x14ac:dyDescent="0.25">
      <c r="A416" s="2" t="s">
        <v>761</v>
      </c>
    </row>
    <row r="417" spans="1:1" x14ac:dyDescent="0.25">
      <c r="A417" s="2" t="s">
        <v>762</v>
      </c>
    </row>
    <row r="418" spans="1:1" x14ac:dyDescent="0.25">
      <c r="A418" s="2" t="s">
        <v>763</v>
      </c>
    </row>
    <row r="419" spans="1:1" x14ac:dyDescent="0.25">
      <c r="A419" s="2" t="s">
        <v>764</v>
      </c>
    </row>
    <row r="420" spans="1:1" x14ac:dyDescent="0.25">
      <c r="A420" s="2" t="s">
        <v>765</v>
      </c>
    </row>
    <row r="421" spans="1:1" x14ac:dyDescent="0.25">
      <c r="A421" s="2" t="s">
        <v>766</v>
      </c>
    </row>
    <row r="422" spans="1:1" x14ac:dyDescent="0.25">
      <c r="A422" s="2" t="s">
        <v>767</v>
      </c>
    </row>
    <row r="423" spans="1:1" x14ac:dyDescent="0.25">
      <c r="A423" s="2" t="s">
        <v>768</v>
      </c>
    </row>
    <row r="424" spans="1:1" x14ac:dyDescent="0.25">
      <c r="A424" s="2" t="s">
        <v>769</v>
      </c>
    </row>
    <row r="425" spans="1:1" x14ac:dyDescent="0.25">
      <c r="A425" s="2" t="s">
        <v>770</v>
      </c>
    </row>
    <row r="426" spans="1:1" x14ac:dyDescent="0.25">
      <c r="A426" s="2" t="s">
        <v>771</v>
      </c>
    </row>
    <row r="427" spans="1:1" x14ac:dyDescent="0.25">
      <c r="A427" s="2" t="s">
        <v>772</v>
      </c>
    </row>
    <row r="428" spans="1:1" x14ac:dyDescent="0.25">
      <c r="A428" s="2" t="s">
        <v>773</v>
      </c>
    </row>
    <row r="429" spans="1:1" x14ac:dyDescent="0.25">
      <c r="A429" s="2" t="s">
        <v>774</v>
      </c>
    </row>
    <row r="430" spans="1:1" x14ac:dyDescent="0.25">
      <c r="A430" s="2" t="s">
        <v>775</v>
      </c>
    </row>
    <row r="431" spans="1:1" x14ac:dyDescent="0.25">
      <c r="A431" s="2" t="s">
        <v>776</v>
      </c>
    </row>
    <row r="432" spans="1:1" x14ac:dyDescent="0.25">
      <c r="A432" s="2" t="s">
        <v>777</v>
      </c>
    </row>
    <row r="433" spans="1:1" x14ac:dyDescent="0.25">
      <c r="A433" s="2" t="s">
        <v>778</v>
      </c>
    </row>
    <row r="434" spans="1:1" x14ac:dyDescent="0.25">
      <c r="A434" s="2" t="s">
        <v>779</v>
      </c>
    </row>
    <row r="435" spans="1:1" x14ac:dyDescent="0.25">
      <c r="A435" s="2" t="s">
        <v>780</v>
      </c>
    </row>
    <row r="436" spans="1:1" x14ac:dyDescent="0.25">
      <c r="A436" s="2" t="s">
        <v>781</v>
      </c>
    </row>
    <row r="437" spans="1:1" x14ac:dyDescent="0.25">
      <c r="A437" s="2" t="s">
        <v>782</v>
      </c>
    </row>
    <row r="438" spans="1:1" x14ac:dyDescent="0.25">
      <c r="A438" s="2" t="s">
        <v>783</v>
      </c>
    </row>
    <row r="439" spans="1:1" x14ac:dyDescent="0.25">
      <c r="A439" s="2" t="s">
        <v>784</v>
      </c>
    </row>
    <row r="440" spans="1:1" x14ac:dyDescent="0.25">
      <c r="A440" s="2" t="s">
        <v>785</v>
      </c>
    </row>
    <row r="441" spans="1:1" x14ac:dyDescent="0.25">
      <c r="A441" s="2" t="s">
        <v>786</v>
      </c>
    </row>
    <row r="442" spans="1:1" x14ac:dyDescent="0.25">
      <c r="A442" s="2" t="s">
        <v>787</v>
      </c>
    </row>
    <row r="443" spans="1:1" x14ac:dyDescent="0.25">
      <c r="A443" s="2" t="s">
        <v>788</v>
      </c>
    </row>
    <row r="444" spans="1:1" x14ac:dyDescent="0.25">
      <c r="A444" s="2" t="s">
        <v>789</v>
      </c>
    </row>
    <row r="445" spans="1:1" x14ac:dyDescent="0.25">
      <c r="A445" s="2" t="s">
        <v>790</v>
      </c>
    </row>
    <row r="446" spans="1:1" x14ac:dyDescent="0.25">
      <c r="A446" s="2" t="s">
        <v>791</v>
      </c>
    </row>
    <row r="447" spans="1:1" x14ac:dyDescent="0.25">
      <c r="A447" s="2" t="s">
        <v>792</v>
      </c>
    </row>
    <row r="448" spans="1:1" x14ac:dyDescent="0.25">
      <c r="A448" s="2" t="s">
        <v>793</v>
      </c>
    </row>
    <row r="449" spans="1:1" x14ac:dyDescent="0.25">
      <c r="A449" s="2" t="s">
        <v>794</v>
      </c>
    </row>
    <row r="450" spans="1:1" x14ac:dyDescent="0.25">
      <c r="A450" s="2" t="s">
        <v>795</v>
      </c>
    </row>
    <row r="451" spans="1:1" x14ac:dyDescent="0.25">
      <c r="A451" s="2" t="s">
        <v>796</v>
      </c>
    </row>
    <row r="452" spans="1:1" x14ac:dyDescent="0.25">
      <c r="A452" s="2" t="s">
        <v>797</v>
      </c>
    </row>
    <row r="453" spans="1:1" x14ac:dyDescent="0.25">
      <c r="A453" s="2" t="s">
        <v>798</v>
      </c>
    </row>
    <row r="454" spans="1:1" x14ac:dyDescent="0.25">
      <c r="A454" s="2" t="s">
        <v>799</v>
      </c>
    </row>
    <row r="455" spans="1:1" x14ac:dyDescent="0.25">
      <c r="A455" s="2" t="s">
        <v>800</v>
      </c>
    </row>
    <row r="456" spans="1:1" x14ac:dyDescent="0.25">
      <c r="A456" s="2" t="s">
        <v>801</v>
      </c>
    </row>
    <row r="457" spans="1:1" x14ac:dyDescent="0.25">
      <c r="A457" s="2" t="s">
        <v>802</v>
      </c>
    </row>
    <row r="458" spans="1:1" x14ac:dyDescent="0.25">
      <c r="A458" s="2" t="s">
        <v>803</v>
      </c>
    </row>
    <row r="459" spans="1:1" x14ac:dyDescent="0.25">
      <c r="A459" s="2" t="s">
        <v>804</v>
      </c>
    </row>
    <row r="460" spans="1:1" x14ac:dyDescent="0.25">
      <c r="A460" s="2" t="s">
        <v>805</v>
      </c>
    </row>
    <row r="461" spans="1:1" x14ac:dyDescent="0.25">
      <c r="A461" s="2" t="s">
        <v>806</v>
      </c>
    </row>
    <row r="462" spans="1:1" x14ac:dyDescent="0.25">
      <c r="A462" s="2" t="s">
        <v>807</v>
      </c>
    </row>
    <row r="463" spans="1:1" x14ac:dyDescent="0.25">
      <c r="A463" s="2" t="s">
        <v>808</v>
      </c>
    </row>
    <row r="464" spans="1:1" x14ac:dyDescent="0.25">
      <c r="A464" s="2" t="s">
        <v>809</v>
      </c>
    </row>
    <row r="465" spans="1:1" x14ac:dyDescent="0.25">
      <c r="A465" s="2" t="s">
        <v>810</v>
      </c>
    </row>
    <row r="466" spans="1:1" x14ac:dyDescent="0.25">
      <c r="A466" s="2" t="s">
        <v>811</v>
      </c>
    </row>
    <row r="467" spans="1:1" x14ac:dyDescent="0.25">
      <c r="A467" s="2" t="s">
        <v>812</v>
      </c>
    </row>
    <row r="468" spans="1:1" x14ac:dyDescent="0.25">
      <c r="A468" s="2" t="s">
        <v>813</v>
      </c>
    </row>
    <row r="469" spans="1:1" x14ac:dyDescent="0.25">
      <c r="A469" s="2" t="s">
        <v>814</v>
      </c>
    </row>
    <row r="470" spans="1:1" x14ac:dyDescent="0.25">
      <c r="A470" s="2" t="s">
        <v>815</v>
      </c>
    </row>
    <row r="471" spans="1:1" x14ac:dyDescent="0.25">
      <c r="A471" s="2" t="s">
        <v>816</v>
      </c>
    </row>
    <row r="472" spans="1:1" x14ac:dyDescent="0.25">
      <c r="A472" s="2" t="s">
        <v>817</v>
      </c>
    </row>
    <row r="473" spans="1:1" x14ac:dyDescent="0.25">
      <c r="A473" s="2" t="s">
        <v>818</v>
      </c>
    </row>
    <row r="474" spans="1:1" x14ac:dyDescent="0.25">
      <c r="A474" s="2" t="s">
        <v>819</v>
      </c>
    </row>
    <row r="475" spans="1:1" x14ac:dyDescent="0.25">
      <c r="A475" s="2" t="s">
        <v>820</v>
      </c>
    </row>
    <row r="476" spans="1:1" x14ac:dyDescent="0.25">
      <c r="A476" s="2" t="s">
        <v>821</v>
      </c>
    </row>
    <row r="477" spans="1:1" x14ac:dyDescent="0.25">
      <c r="A477" s="2" t="s">
        <v>822</v>
      </c>
    </row>
    <row r="478" spans="1:1" x14ac:dyDescent="0.25">
      <c r="A478" s="2" t="s">
        <v>823</v>
      </c>
    </row>
    <row r="479" spans="1:1" x14ac:dyDescent="0.25">
      <c r="A479" s="2" t="s">
        <v>824</v>
      </c>
    </row>
    <row r="480" spans="1:1" x14ac:dyDescent="0.25">
      <c r="A480" s="2" t="s">
        <v>825</v>
      </c>
    </row>
    <row r="481" spans="1:1" x14ac:dyDescent="0.25">
      <c r="A481" s="2" t="s">
        <v>826</v>
      </c>
    </row>
    <row r="482" spans="1:1" x14ac:dyDescent="0.25">
      <c r="A482" s="2" t="s">
        <v>827</v>
      </c>
    </row>
    <row r="483" spans="1:1" x14ac:dyDescent="0.25">
      <c r="A483" s="2" t="s">
        <v>828</v>
      </c>
    </row>
    <row r="484" spans="1:1" x14ac:dyDescent="0.25">
      <c r="A484" s="2" t="s">
        <v>829</v>
      </c>
    </row>
    <row r="485" spans="1:1" x14ac:dyDescent="0.25">
      <c r="A485" s="2" t="s">
        <v>830</v>
      </c>
    </row>
    <row r="486" spans="1:1" x14ac:dyDescent="0.25">
      <c r="A486" s="2" t="s">
        <v>831</v>
      </c>
    </row>
    <row r="487" spans="1:1" x14ac:dyDescent="0.25">
      <c r="A487" s="2" t="s">
        <v>832</v>
      </c>
    </row>
    <row r="488" spans="1:1" x14ac:dyDescent="0.25">
      <c r="A488" s="2" t="s">
        <v>833</v>
      </c>
    </row>
    <row r="489" spans="1:1" x14ac:dyDescent="0.25">
      <c r="A489" s="2" t="s">
        <v>834</v>
      </c>
    </row>
    <row r="490" spans="1:1" x14ac:dyDescent="0.25">
      <c r="A490" s="2" t="s">
        <v>835</v>
      </c>
    </row>
    <row r="491" spans="1:1" x14ac:dyDescent="0.25">
      <c r="A491" s="2" t="s">
        <v>836</v>
      </c>
    </row>
    <row r="492" spans="1:1" x14ac:dyDescent="0.25">
      <c r="A492" s="2" t="s">
        <v>837</v>
      </c>
    </row>
    <row r="493" spans="1:1" x14ac:dyDescent="0.25">
      <c r="A493" s="2" t="s">
        <v>838</v>
      </c>
    </row>
    <row r="494" spans="1:1" x14ac:dyDescent="0.25">
      <c r="A494" s="2" t="s">
        <v>839</v>
      </c>
    </row>
    <row r="495" spans="1:1" x14ac:dyDescent="0.25">
      <c r="A495" s="2" t="s">
        <v>840</v>
      </c>
    </row>
    <row r="496" spans="1:1" x14ac:dyDescent="0.25">
      <c r="A496" s="2" t="s">
        <v>841</v>
      </c>
    </row>
    <row r="497" spans="1:1" x14ac:dyDescent="0.25">
      <c r="A497" s="2" t="s">
        <v>842</v>
      </c>
    </row>
    <row r="498" spans="1:1" x14ac:dyDescent="0.25">
      <c r="A498" s="2" t="s">
        <v>843</v>
      </c>
    </row>
    <row r="499" spans="1:1" x14ac:dyDescent="0.25">
      <c r="A499" s="2" t="s">
        <v>844</v>
      </c>
    </row>
    <row r="500" spans="1:1" x14ac:dyDescent="0.25">
      <c r="A500" s="2" t="s">
        <v>845</v>
      </c>
    </row>
    <row r="501" spans="1:1" x14ac:dyDescent="0.25">
      <c r="A501" s="2" t="s">
        <v>846</v>
      </c>
    </row>
    <row r="502" spans="1:1" x14ac:dyDescent="0.25">
      <c r="A502" s="2" t="s">
        <v>847</v>
      </c>
    </row>
    <row r="503" spans="1:1" x14ac:dyDescent="0.25">
      <c r="A503" s="2" t="s">
        <v>848</v>
      </c>
    </row>
    <row r="504" spans="1:1" x14ac:dyDescent="0.25">
      <c r="A504" s="2" t="s">
        <v>849</v>
      </c>
    </row>
    <row r="505" spans="1:1" x14ac:dyDescent="0.25">
      <c r="A505" s="2" t="s">
        <v>850</v>
      </c>
    </row>
    <row r="506" spans="1:1" x14ac:dyDescent="0.25">
      <c r="A506" s="2" t="s">
        <v>851</v>
      </c>
    </row>
    <row r="507" spans="1:1" x14ac:dyDescent="0.25">
      <c r="A507" s="2" t="s">
        <v>852</v>
      </c>
    </row>
    <row r="508" spans="1:1" x14ac:dyDescent="0.25">
      <c r="A508" s="2" t="s">
        <v>853</v>
      </c>
    </row>
    <row r="509" spans="1:1" x14ac:dyDescent="0.25">
      <c r="A509" s="2" t="s">
        <v>854</v>
      </c>
    </row>
    <row r="510" spans="1:1" x14ac:dyDescent="0.25">
      <c r="A510" s="2" t="s">
        <v>855</v>
      </c>
    </row>
    <row r="511" spans="1:1" x14ac:dyDescent="0.25">
      <c r="A511" s="2" t="s">
        <v>856</v>
      </c>
    </row>
    <row r="512" spans="1:1" x14ac:dyDescent="0.25">
      <c r="A512" s="2" t="s">
        <v>857</v>
      </c>
    </row>
    <row r="513" spans="1:1" x14ac:dyDescent="0.25">
      <c r="A513" s="2" t="s">
        <v>858</v>
      </c>
    </row>
    <row r="514" spans="1:1" x14ac:dyDescent="0.25">
      <c r="A514" s="2" t="s">
        <v>859</v>
      </c>
    </row>
    <row r="515" spans="1:1" x14ac:dyDescent="0.25">
      <c r="A515" s="2" t="s">
        <v>860</v>
      </c>
    </row>
    <row r="516" spans="1:1" x14ac:dyDescent="0.25">
      <c r="A516" s="2" t="s">
        <v>861</v>
      </c>
    </row>
    <row r="517" spans="1:1" x14ac:dyDescent="0.25">
      <c r="A517" s="2" t="s">
        <v>862</v>
      </c>
    </row>
    <row r="518" spans="1:1" x14ac:dyDescent="0.25">
      <c r="A518" s="2" t="s">
        <v>863</v>
      </c>
    </row>
    <row r="519" spans="1:1" x14ac:dyDescent="0.25">
      <c r="A519" s="2" t="s">
        <v>864</v>
      </c>
    </row>
    <row r="520" spans="1:1" x14ac:dyDescent="0.25">
      <c r="A520" s="2" t="s">
        <v>865</v>
      </c>
    </row>
    <row r="521" spans="1:1" x14ac:dyDescent="0.25">
      <c r="A521" s="2" t="s">
        <v>866</v>
      </c>
    </row>
    <row r="522" spans="1:1" x14ac:dyDescent="0.25">
      <c r="A522" s="2" t="s">
        <v>867</v>
      </c>
    </row>
    <row r="523" spans="1:1" x14ac:dyDescent="0.25">
      <c r="A523" s="2" t="s">
        <v>868</v>
      </c>
    </row>
    <row r="524" spans="1:1" x14ac:dyDescent="0.25">
      <c r="A524" s="2" t="s">
        <v>869</v>
      </c>
    </row>
    <row r="525" spans="1:1" x14ac:dyDescent="0.25">
      <c r="A525" s="2" t="s">
        <v>870</v>
      </c>
    </row>
    <row r="526" spans="1:1" x14ac:dyDescent="0.25">
      <c r="A526" s="2" t="s">
        <v>871</v>
      </c>
    </row>
    <row r="527" spans="1:1" x14ac:dyDescent="0.25">
      <c r="A527" s="2" t="s">
        <v>872</v>
      </c>
    </row>
    <row r="528" spans="1:1" x14ac:dyDescent="0.25">
      <c r="A528" s="2" t="s">
        <v>873</v>
      </c>
    </row>
    <row r="529" spans="1:1" x14ac:dyDescent="0.25">
      <c r="A529" s="2" t="s">
        <v>874</v>
      </c>
    </row>
    <row r="530" spans="1:1" x14ac:dyDescent="0.25">
      <c r="A530" s="2" t="s">
        <v>875</v>
      </c>
    </row>
    <row r="531" spans="1:1" x14ac:dyDescent="0.25">
      <c r="A531" s="2" t="s">
        <v>876</v>
      </c>
    </row>
    <row r="532" spans="1:1" x14ac:dyDescent="0.25">
      <c r="A532" s="2" t="s">
        <v>877</v>
      </c>
    </row>
    <row r="533" spans="1:1" x14ac:dyDescent="0.25">
      <c r="A533" s="2" t="s">
        <v>878</v>
      </c>
    </row>
    <row r="534" spans="1:1" x14ac:dyDescent="0.25">
      <c r="A534" s="2" t="s">
        <v>882</v>
      </c>
    </row>
    <row r="535" spans="1:1" x14ac:dyDescent="0.25">
      <c r="A535" s="2" t="s">
        <v>883</v>
      </c>
    </row>
    <row r="536" spans="1:1" x14ac:dyDescent="0.25">
      <c r="A536" s="2" t="s">
        <v>884</v>
      </c>
    </row>
    <row r="537" spans="1:1" x14ac:dyDescent="0.25">
      <c r="A537" s="2" t="s">
        <v>885</v>
      </c>
    </row>
    <row r="538" spans="1:1" x14ac:dyDescent="0.25">
      <c r="A538" s="2" t="s">
        <v>887</v>
      </c>
    </row>
    <row r="539" spans="1:1" x14ac:dyDescent="0.25">
      <c r="A539" s="2" t="s">
        <v>888</v>
      </c>
    </row>
    <row r="540" spans="1:1" x14ac:dyDescent="0.25">
      <c r="A540" s="2" t="s">
        <v>889</v>
      </c>
    </row>
    <row r="541" spans="1:1" x14ac:dyDescent="0.25">
      <c r="A541" s="2" t="s">
        <v>890</v>
      </c>
    </row>
    <row r="542" spans="1:1" x14ac:dyDescent="0.25">
      <c r="A542" s="2" t="s">
        <v>891</v>
      </c>
    </row>
    <row r="543" spans="1:1" x14ac:dyDescent="0.25">
      <c r="A543" s="2" t="s">
        <v>893</v>
      </c>
    </row>
    <row r="544" spans="1:1" x14ac:dyDescent="0.25">
      <c r="A544" s="2" t="s">
        <v>894</v>
      </c>
    </row>
    <row r="545" spans="1:1" x14ac:dyDescent="0.25">
      <c r="A545" s="2" t="s">
        <v>895</v>
      </c>
    </row>
    <row r="546" spans="1:1" x14ac:dyDescent="0.25">
      <c r="A546" s="2" t="s">
        <v>896</v>
      </c>
    </row>
    <row r="547" spans="1:1" x14ac:dyDescent="0.25">
      <c r="A547" s="2" t="s">
        <v>897</v>
      </c>
    </row>
    <row r="548" spans="1:1" x14ac:dyDescent="0.25">
      <c r="A548" s="2" t="s">
        <v>898</v>
      </c>
    </row>
    <row r="549" spans="1:1" x14ac:dyDescent="0.25">
      <c r="A549" s="2" t="s">
        <v>899</v>
      </c>
    </row>
    <row r="550" spans="1:1" x14ac:dyDescent="0.25">
      <c r="A550" s="2" t="s">
        <v>900</v>
      </c>
    </row>
    <row r="551" spans="1:1" x14ac:dyDescent="0.25">
      <c r="A551" s="2" t="s">
        <v>901</v>
      </c>
    </row>
    <row r="552" spans="1:1" x14ac:dyDescent="0.25">
      <c r="A552" s="2" t="s">
        <v>902</v>
      </c>
    </row>
    <row r="553" spans="1:1" x14ac:dyDescent="0.25">
      <c r="A553" s="2" t="s">
        <v>903</v>
      </c>
    </row>
    <row r="554" spans="1:1" x14ac:dyDescent="0.25">
      <c r="A554" s="2" t="s">
        <v>904</v>
      </c>
    </row>
    <row r="555" spans="1:1" x14ac:dyDescent="0.25">
      <c r="A555" s="2" t="s">
        <v>905</v>
      </c>
    </row>
    <row r="556" spans="1:1" x14ac:dyDescent="0.25">
      <c r="A556" s="2" t="s">
        <v>906</v>
      </c>
    </row>
    <row r="557" spans="1:1" x14ac:dyDescent="0.25">
      <c r="A557" s="2" t="s">
        <v>907</v>
      </c>
    </row>
    <row r="558" spans="1:1" x14ac:dyDescent="0.25">
      <c r="A558" s="2" t="s">
        <v>908</v>
      </c>
    </row>
    <row r="559" spans="1:1" x14ac:dyDescent="0.25">
      <c r="A559" s="2" t="s">
        <v>909</v>
      </c>
    </row>
    <row r="560" spans="1:1" x14ac:dyDescent="0.25">
      <c r="A560" s="2" t="s">
        <v>910</v>
      </c>
    </row>
    <row r="561" spans="1:1" x14ac:dyDescent="0.25">
      <c r="A561" s="2" t="s">
        <v>911</v>
      </c>
    </row>
    <row r="562" spans="1:1" x14ac:dyDescent="0.25">
      <c r="A562" s="2" t="s">
        <v>912</v>
      </c>
    </row>
    <row r="563" spans="1:1" x14ac:dyDescent="0.25">
      <c r="A563" s="2" t="s">
        <v>913</v>
      </c>
    </row>
    <row r="564" spans="1:1" x14ac:dyDescent="0.25">
      <c r="A564" s="2" t="s">
        <v>914</v>
      </c>
    </row>
    <row r="565" spans="1:1" x14ac:dyDescent="0.25">
      <c r="A565" s="2" t="s">
        <v>915</v>
      </c>
    </row>
    <row r="566" spans="1:1" x14ac:dyDescent="0.25">
      <c r="A566" s="2" t="s">
        <v>916</v>
      </c>
    </row>
    <row r="567" spans="1:1" x14ac:dyDescent="0.25">
      <c r="A567" s="2" t="s">
        <v>917</v>
      </c>
    </row>
    <row r="568" spans="1:1" x14ac:dyDescent="0.25">
      <c r="A568" s="2" t="s">
        <v>918</v>
      </c>
    </row>
    <row r="569" spans="1:1" x14ac:dyDescent="0.25">
      <c r="A569" s="2" t="s">
        <v>919</v>
      </c>
    </row>
    <row r="570" spans="1:1" x14ac:dyDescent="0.25">
      <c r="A570" s="2" t="s">
        <v>920</v>
      </c>
    </row>
    <row r="571" spans="1:1" x14ac:dyDescent="0.25">
      <c r="A571" s="2" t="s">
        <v>922</v>
      </c>
    </row>
    <row r="572" spans="1:1" x14ac:dyDescent="0.25">
      <c r="A572" s="2" t="s">
        <v>924</v>
      </c>
    </row>
    <row r="573" spans="1:1" x14ac:dyDescent="0.25">
      <c r="A573" s="2" t="s">
        <v>926</v>
      </c>
    </row>
    <row r="574" spans="1:1" x14ac:dyDescent="0.25">
      <c r="A574" s="2" t="s">
        <v>927</v>
      </c>
    </row>
    <row r="575" spans="1:1" x14ac:dyDescent="0.25">
      <c r="A575" s="2" t="s">
        <v>928</v>
      </c>
    </row>
    <row r="576" spans="1:1" x14ac:dyDescent="0.25">
      <c r="A576" s="2" t="s">
        <v>929</v>
      </c>
    </row>
    <row r="577" spans="1:1" x14ac:dyDescent="0.25">
      <c r="A577" s="2" t="s">
        <v>930</v>
      </c>
    </row>
    <row r="578" spans="1:1" x14ac:dyDescent="0.25">
      <c r="A578" s="2" t="s">
        <v>931</v>
      </c>
    </row>
    <row r="579" spans="1:1" x14ac:dyDescent="0.25">
      <c r="A579" s="2" t="s">
        <v>932</v>
      </c>
    </row>
    <row r="580" spans="1:1" x14ac:dyDescent="0.25">
      <c r="A580" s="2" t="s">
        <v>933</v>
      </c>
    </row>
    <row r="581" spans="1:1" x14ac:dyDescent="0.25">
      <c r="A581" s="2" t="s">
        <v>934</v>
      </c>
    </row>
    <row r="582" spans="1:1" x14ac:dyDescent="0.25">
      <c r="A582" s="2" t="s">
        <v>935</v>
      </c>
    </row>
    <row r="583" spans="1:1" x14ac:dyDescent="0.25">
      <c r="A583" s="2" t="s">
        <v>936</v>
      </c>
    </row>
    <row r="584" spans="1:1" x14ac:dyDescent="0.25">
      <c r="A584" s="2" t="s">
        <v>937</v>
      </c>
    </row>
    <row r="585" spans="1:1" x14ac:dyDescent="0.25">
      <c r="A585" s="2" t="s">
        <v>938</v>
      </c>
    </row>
    <row r="586" spans="1:1" x14ac:dyDescent="0.25">
      <c r="A586" s="2" t="s">
        <v>939</v>
      </c>
    </row>
    <row r="587" spans="1:1" x14ac:dyDescent="0.25">
      <c r="A587" s="2" t="s">
        <v>940</v>
      </c>
    </row>
    <row r="588" spans="1:1" x14ac:dyDescent="0.25">
      <c r="A588" s="2" t="s">
        <v>941</v>
      </c>
    </row>
    <row r="589" spans="1:1" x14ac:dyDescent="0.25">
      <c r="A589" s="2" t="s">
        <v>942</v>
      </c>
    </row>
    <row r="590" spans="1:1" x14ac:dyDescent="0.25">
      <c r="A590" s="2" t="s">
        <v>943</v>
      </c>
    </row>
    <row r="591" spans="1:1" x14ac:dyDescent="0.25">
      <c r="A591" s="2" t="s">
        <v>944</v>
      </c>
    </row>
    <row r="592" spans="1:1" x14ac:dyDescent="0.25">
      <c r="A592" s="2" t="s">
        <v>945</v>
      </c>
    </row>
    <row r="593" spans="1:1" x14ac:dyDescent="0.25">
      <c r="A593" s="2" t="s">
        <v>946</v>
      </c>
    </row>
    <row r="594" spans="1:1" x14ac:dyDescent="0.25">
      <c r="A594" s="2" t="s">
        <v>947</v>
      </c>
    </row>
    <row r="595" spans="1:1" x14ac:dyDescent="0.25">
      <c r="A595" s="2" t="s">
        <v>951</v>
      </c>
    </row>
    <row r="596" spans="1:1" x14ac:dyDescent="0.25">
      <c r="A596" s="2" t="s">
        <v>955</v>
      </c>
    </row>
    <row r="597" spans="1:1" x14ac:dyDescent="0.25">
      <c r="A597" s="2" t="s">
        <v>956</v>
      </c>
    </row>
    <row r="598" spans="1:1" x14ac:dyDescent="0.25">
      <c r="A598" s="2" t="s">
        <v>957</v>
      </c>
    </row>
    <row r="599" spans="1:1" x14ac:dyDescent="0.25">
      <c r="A599" s="2" t="s">
        <v>958</v>
      </c>
    </row>
    <row r="600" spans="1:1" x14ac:dyDescent="0.25">
      <c r="A600" s="2" t="s">
        <v>959</v>
      </c>
    </row>
    <row r="601" spans="1:1" x14ac:dyDescent="0.25">
      <c r="A601" s="2" t="s">
        <v>960</v>
      </c>
    </row>
    <row r="602" spans="1:1" x14ac:dyDescent="0.25">
      <c r="A602" s="2" t="s">
        <v>961</v>
      </c>
    </row>
    <row r="603" spans="1:1" x14ac:dyDescent="0.25">
      <c r="A603" s="2" t="s">
        <v>962</v>
      </c>
    </row>
    <row r="604" spans="1:1" x14ac:dyDescent="0.25">
      <c r="A604" s="2" t="s">
        <v>963</v>
      </c>
    </row>
    <row r="605" spans="1:1" x14ac:dyDescent="0.25">
      <c r="A605" s="2" t="s">
        <v>964</v>
      </c>
    </row>
    <row r="606" spans="1:1" x14ac:dyDescent="0.25">
      <c r="A606" s="2" t="s">
        <v>965</v>
      </c>
    </row>
    <row r="607" spans="1:1" x14ac:dyDescent="0.25">
      <c r="A607" s="2" t="s">
        <v>966</v>
      </c>
    </row>
    <row r="608" spans="1:1" x14ac:dyDescent="0.25">
      <c r="A608" s="2" t="s">
        <v>967</v>
      </c>
    </row>
    <row r="609" spans="1:1" x14ac:dyDescent="0.25">
      <c r="A609" s="2" t="s">
        <v>968</v>
      </c>
    </row>
    <row r="610" spans="1:1" x14ac:dyDescent="0.25">
      <c r="A610" s="2" t="s">
        <v>969</v>
      </c>
    </row>
    <row r="611" spans="1:1" x14ac:dyDescent="0.25">
      <c r="A611" s="2" t="s">
        <v>970</v>
      </c>
    </row>
    <row r="612" spans="1:1" x14ac:dyDescent="0.25">
      <c r="A612" s="2" t="s">
        <v>971</v>
      </c>
    </row>
    <row r="613" spans="1:1" x14ac:dyDescent="0.25">
      <c r="A613" s="2" t="s">
        <v>972</v>
      </c>
    </row>
    <row r="614" spans="1:1" x14ac:dyDescent="0.25">
      <c r="A614" s="2" t="s">
        <v>973</v>
      </c>
    </row>
    <row r="615" spans="1:1" x14ac:dyDescent="0.25">
      <c r="A615" s="2" t="s">
        <v>974</v>
      </c>
    </row>
    <row r="616" spans="1:1" x14ac:dyDescent="0.25">
      <c r="A616" s="2" t="s">
        <v>975</v>
      </c>
    </row>
    <row r="617" spans="1:1" x14ac:dyDescent="0.25">
      <c r="A617" s="2" t="s">
        <v>976</v>
      </c>
    </row>
    <row r="618" spans="1:1" x14ac:dyDescent="0.25">
      <c r="A618" s="2" t="s">
        <v>977</v>
      </c>
    </row>
    <row r="619" spans="1:1" x14ac:dyDescent="0.25">
      <c r="A619" s="2" t="s">
        <v>978</v>
      </c>
    </row>
    <row r="620" spans="1:1" x14ac:dyDescent="0.25">
      <c r="A620" s="2" t="s">
        <v>979</v>
      </c>
    </row>
    <row r="621" spans="1:1" x14ac:dyDescent="0.25">
      <c r="A621" s="2" t="s">
        <v>980</v>
      </c>
    </row>
    <row r="622" spans="1:1" x14ac:dyDescent="0.25">
      <c r="A622" s="2" t="s">
        <v>981</v>
      </c>
    </row>
    <row r="623" spans="1:1" x14ac:dyDescent="0.25">
      <c r="A623" s="2" t="s">
        <v>982</v>
      </c>
    </row>
    <row r="624" spans="1:1" x14ac:dyDescent="0.25">
      <c r="A624" s="2" t="s">
        <v>983</v>
      </c>
    </row>
    <row r="625" spans="1:1" x14ac:dyDescent="0.25">
      <c r="A625" s="2" t="s">
        <v>984</v>
      </c>
    </row>
    <row r="626" spans="1:1" x14ac:dyDescent="0.25">
      <c r="A626" s="2" t="s">
        <v>985</v>
      </c>
    </row>
    <row r="627" spans="1:1" x14ac:dyDescent="0.25">
      <c r="A627" s="2" t="s">
        <v>986</v>
      </c>
    </row>
    <row r="628" spans="1:1" x14ac:dyDescent="0.25">
      <c r="A628" s="2" t="s">
        <v>987</v>
      </c>
    </row>
    <row r="629" spans="1:1" x14ac:dyDescent="0.25">
      <c r="A629" s="2" t="s">
        <v>988</v>
      </c>
    </row>
    <row r="630" spans="1:1" x14ac:dyDescent="0.25">
      <c r="A630" s="2" t="s">
        <v>989</v>
      </c>
    </row>
    <row r="631" spans="1:1" x14ac:dyDescent="0.25">
      <c r="A631" s="2" t="s">
        <v>990</v>
      </c>
    </row>
    <row r="632" spans="1:1" x14ac:dyDescent="0.25">
      <c r="A632" s="2" t="s">
        <v>991</v>
      </c>
    </row>
    <row r="633" spans="1:1" x14ac:dyDescent="0.25">
      <c r="A633" s="2" t="s">
        <v>992</v>
      </c>
    </row>
    <row r="634" spans="1:1" x14ac:dyDescent="0.25">
      <c r="A634" s="2" t="s">
        <v>993</v>
      </c>
    </row>
    <row r="635" spans="1:1" x14ac:dyDescent="0.25">
      <c r="A635" s="2" t="s">
        <v>997</v>
      </c>
    </row>
    <row r="636" spans="1:1" x14ac:dyDescent="0.25">
      <c r="A636" s="2" t="s">
        <v>998</v>
      </c>
    </row>
    <row r="637" spans="1:1" x14ac:dyDescent="0.25">
      <c r="A637" s="2" t="s">
        <v>1002</v>
      </c>
    </row>
    <row r="638" spans="1:1" x14ac:dyDescent="0.25">
      <c r="A638" s="2" t="s">
        <v>1003</v>
      </c>
    </row>
    <row r="639" spans="1:1" x14ac:dyDescent="0.25">
      <c r="A639" s="2" t="s">
        <v>1004</v>
      </c>
    </row>
    <row r="640" spans="1:1" x14ac:dyDescent="0.25">
      <c r="A640" s="2" t="s">
        <v>1005</v>
      </c>
    </row>
    <row r="641" spans="1:1" x14ac:dyDescent="0.25">
      <c r="A641" s="2" t="s">
        <v>1006</v>
      </c>
    </row>
    <row r="642" spans="1:1" x14ac:dyDescent="0.25">
      <c r="A642" s="2" t="s">
        <v>1007</v>
      </c>
    </row>
    <row r="643" spans="1:1" x14ac:dyDescent="0.25">
      <c r="A643" s="2" t="s">
        <v>1008</v>
      </c>
    </row>
    <row r="644" spans="1:1" x14ac:dyDescent="0.25">
      <c r="A644" s="2" t="s">
        <v>1009</v>
      </c>
    </row>
    <row r="645" spans="1:1" x14ac:dyDescent="0.25">
      <c r="A645" s="2" t="s">
        <v>1010</v>
      </c>
    </row>
    <row r="646" spans="1:1" x14ac:dyDescent="0.25">
      <c r="A646" s="2" t="s">
        <v>1011</v>
      </c>
    </row>
    <row r="647" spans="1:1" x14ac:dyDescent="0.25">
      <c r="A647" s="2" t="s">
        <v>1012</v>
      </c>
    </row>
    <row r="648" spans="1:1" x14ac:dyDescent="0.25">
      <c r="A648" s="2" t="s">
        <v>1013</v>
      </c>
    </row>
    <row r="649" spans="1:1" x14ac:dyDescent="0.25">
      <c r="A649" s="2" t="s">
        <v>1014</v>
      </c>
    </row>
    <row r="650" spans="1:1" x14ac:dyDescent="0.25">
      <c r="A650" s="2" t="s">
        <v>1015</v>
      </c>
    </row>
    <row r="651" spans="1:1" x14ac:dyDescent="0.25">
      <c r="A651" s="2" t="s">
        <v>1016</v>
      </c>
    </row>
    <row r="652" spans="1:1" x14ac:dyDescent="0.25">
      <c r="A652" s="2" t="s">
        <v>1017</v>
      </c>
    </row>
    <row r="653" spans="1:1" x14ac:dyDescent="0.25">
      <c r="A653" s="2" t="s">
        <v>1018</v>
      </c>
    </row>
    <row r="654" spans="1:1" x14ac:dyDescent="0.25">
      <c r="A654" s="2" t="s">
        <v>1019</v>
      </c>
    </row>
    <row r="655" spans="1:1" x14ac:dyDescent="0.25">
      <c r="A655" s="2" t="s">
        <v>1020</v>
      </c>
    </row>
    <row r="656" spans="1:1" x14ac:dyDescent="0.25">
      <c r="A656" s="2" t="s">
        <v>1021</v>
      </c>
    </row>
    <row r="657" spans="1:1" x14ac:dyDescent="0.25">
      <c r="A657" s="2" t="s">
        <v>1022</v>
      </c>
    </row>
    <row r="658" spans="1:1" x14ac:dyDescent="0.25">
      <c r="A658" s="2" t="s">
        <v>1023</v>
      </c>
    </row>
    <row r="659" spans="1:1" x14ac:dyDescent="0.25">
      <c r="A659" s="2" t="s">
        <v>1024</v>
      </c>
    </row>
    <row r="660" spans="1:1" x14ac:dyDescent="0.25">
      <c r="A660" s="2" t="s">
        <v>1025</v>
      </c>
    </row>
    <row r="661" spans="1:1" x14ac:dyDescent="0.25">
      <c r="A661" s="2" t="s">
        <v>1026</v>
      </c>
    </row>
    <row r="662" spans="1:1" x14ac:dyDescent="0.25">
      <c r="A662" s="2" t="s">
        <v>1027</v>
      </c>
    </row>
    <row r="663" spans="1:1" x14ac:dyDescent="0.25">
      <c r="A663" s="2" t="s">
        <v>1028</v>
      </c>
    </row>
    <row r="664" spans="1:1" x14ac:dyDescent="0.25">
      <c r="A664" s="2" t="s">
        <v>1029</v>
      </c>
    </row>
    <row r="665" spans="1:1" x14ac:dyDescent="0.25">
      <c r="A665" s="2" t="s">
        <v>1030</v>
      </c>
    </row>
    <row r="666" spans="1:1" x14ac:dyDescent="0.25">
      <c r="A666" s="2" t="s">
        <v>1031</v>
      </c>
    </row>
    <row r="667" spans="1:1" x14ac:dyDescent="0.25">
      <c r="A667" s="2" t="s">
        <v>1032</v>
      </c>
    </row>
    <row r="668" spans="1:1" x14ac:dyDescent="0.25">
      <c r="A668" s="2" t="s">
        <v>1033</v>
      </c>
    </row>
    <row r="669" spans="1:1" x14ac:dyDescent="0.25">
      <c r="A669" s="2" t="s">
        <v>1034</v>
      </c>
    </row>
    <row r="670" spans="1:1" x14ac:dyDescent="0.25">
      <c r="A670" s="2" t="s">
        <v>1035</v>
      </c>
    </row>
    <row r="671" spans="1:1" x14ac:dyDescent="0.25">
      <c r="A671" s="2" t="s">
        <v>1036</v>
      </c>
    </row>
    <row r="672" spans="1:1" x14ac:dyDescent="0.25">
      <c r="A672" s="2" t="s">
        <v>1037</v>
      </c>
    </row>
    <row r="673" spans="1:1" x14ac:dyDescent="0.25">
      <c r="A673" s="2" t="s">
        <v>1038</v>
      </c>
    </row>
    <row r="674" spans="1:1" x14ac:dyDescent="0.25">
      <c r="A674" s="2" t="s">
        <v>1039</v>
      </c>
    </row>
    <row r="675" spans="1:1" x14ac:dyDescent="0.25">
      <c r="A675" s="2" t="s">
        <v>1040</v>
      </c>
    </row>
    <row r="676" spans="1:1" x14ac:dyDescent="0.25">
      <c r="A676" s="2" t="s">
        <v>1041</v>
      </c>
    </row>
    <row r="677" spans="1:1" x14ac:dyDescent="0.25">
      <c r="A677" s="2" t="s">
        <v>1042</v>
      </c>
    </row>
    <row r="678" spans="1:1" x14ac:dyDescent="0.25">
      <c r="A678" s="2" t="s">
        <v>1043</v>
      </c>
    </row>
    <row r="679" spans="1:1" x14ac:dyDescent="0.25">
      <c r="A679" s="2" t="s">
        <v>1044</v>
      </c>
    </row>
    <row r="680" spans="1:1" x14ac:dyDescent="0.25">
      <c r="A680" s="2" t="s">
        <v>1045</v>
      </c>
    </row>
    <row r="681" spans="1:1" x14ac:dyDescent="0.25">
      <c r="A681" s="2" t="s">
        <v>1046</v>
      </c>
    </row>
    <row r="682" spans="1:1" x14ac:dyDescent="0.25">
      <c r="A682" s="2" t="s">
        <v>1047</v>
      </c>
    </row>
    <row r="683" spans="1:1" x14ac:dyDescent="0.25">
      <c r="A683" s="2" t="s">
        <v>1048</v>
      </c>
    </row>
    <row r="684" spans="1:1" x14ac:dyDescent="0.25">
      <c r="A684" s="2" t="s">
        <v>1049</v>
      </c>
    </row>
    <row r="685" spans="1:1" x14ac:dyDescent="0.25">
      <c r="A685" s="2" t="s">
        <v>1050</v>
      </c>
    </row>
    <row r="686" spans="1:1" x14ac:dyDescent="0.25">
      <c r="A686" s="2" t="s">
        <v>1051</v>
      </c>
    </row>
    <row r="687" spans="1:1" x14ac:dyDescent="0.25">
      <c r="A687" s="2" t="s">
        <v>1052</v>
      </c>
    </row>
    <row r="688" spans="1:1" x14ac:dyDescent="0.25">
      <c r="A688" s="2" t="s">
        <v>1053</v>
      </c>
    </row>
    <row r="689" spans="1:1" x14ac:dyDescent="0.25">
      <c r="A689" s="2" t="s">
        <v>1054</v>
      </c>
    </row>
    <row r="690" spans="1:1" x14ac:dyDescent="0.25">
      <c r="A690" s="2" t="s">
        <v>1055</v>
      </c>
    </row>
    <row r="691" spans="1:1" x14ac:dyDescent="0.25">
      <c r="A691" s="2" t="s">
        <v>1056</v>
      </c>
    </row>
    <row r="692" spans="1:1" x14ac:dyDescent="0.25">
      <c r="A692" s="2" t="s">
        <v>1057</v>
      </c>
    </row>
    <row r="693" spans="1:1" x14ac:dyDescent="0.25">
      <c r="A693" s="2" t="s">
        <v>1058</v>
      </c>
    </row>
    <row r="694" spans="1:1" x14ac:dyDescent="0.25">
      <c r="A694" s="2" t="s">
        <v>1059</v>
      </c>
    </row>
    <row r="695" spans="1:1" x14ac:dyDescent="0.25">
      <c r="A695" s="2" t="s">
        <v>1060</v>
      </c>
    </row>
    <row r="696" spans="1:1" x14ac:dyDescent="0.25">
      <c r="A696" s="2" t="s">
        <v>1061</v>
      </c>
    </row>
    <row r="697" spans="1:1" x14ac:dyDescent="0.25">
      <c r="A697" s="2" t="s">
        <v>1062</v>
      </c>
    </row>
    <row r="698" spans="1:1" x14ac:dyDescent="0.25">
      <c r="A698" s="2" t="s">
        <v>1063</v>
      </c>
    </row>
    <row r="699" spans="1:1" x14ac:dyDescent="0.25">
      <c r="A699" s="2" t="s">
        <v>1064</v>
      </c>
    </row>
    <row r="700" spans="1:1" x14ac:dyDescent="0.25">
      <c r="A700" s="2" t="s">
        <v>1065</v>
      </c>
    </row>
    <row r="701" spans="1:1" x14ac:dyDescent="0.25">
      <c r="A701" s="2" t="s">
        <v>1066</v>
      </c>
    </row>
    <row r="702" spans="1:1" x14ac:dyDescent="0.25">
      <c r="A702" s="2" t="s">
        <v>1067</v>
      </c>
    </row>
    <row r="703" spans="1:1" x14ac:dyDescent="0.25">
      <c r="A703" s="2" t="s">
        <v>1068</v>
      </c>
    </row>
    <row r="704" spans="1:1" x14ac:dyDescent="0.25">
      <c r="A704" s="2" t="s">
        <v>1069</v>
      </c>
    </row>
    <row r="705" spans="1:1" x14ac:dyDescent="0.25">
      <c r="A705" s="2" t="s">
        <v>1070</v>
      </c>
    </row>
    <row r="706" spans="1:1" x14ac:dyDescent="0.25">
      <c r="A706" s="2" t="s">
        <v>1071</v>
      </c>
    </row>
    <row r="707" spans="1:1" x14ac:dyDescent="0.25">
      <c r="A707" s="2" t="s">
        <v>1072</v>
      </c>
    </row>
    <row r="708" spans="1:1" x14ac:dyDescent="0.25">
      <c r="A708" s="2" t="s">
        <v>1073</v>
      </c>
    </row>
    <row r="709" spans="1:1" x14ac:dyDescent="0.25">
      <c r="A709" s="2" t="s">
        <v>1074</v>
      </c>
    </row>
    <row r="710" spans="1:1" x14ac:dyDescent="0.25">
      <c r="A710" s="2" t="s">
        <v>1075</v>
      </c>
    </row>
    <row r="711" spans="1:1" x14ac:dyDescent="0.25">
      <c r="A711" s="2" t="s">
        <v>1076</v>
      </c>
    </row>
    <row r="712" spans="1:1" x14ac:dyDescent="0.25">
      <c r="A712" s="2" t="s">
        <v>1077</v>
      </c>
    </row>
    <row r="713" spans="1:1" x14ac:dyDescent="0.25">
      <c r="A713" s="2" t="s">
        <v>1078</v>
      </c>
    </row>
    <row r="714" spans="1:1" x14ac:dyDescent="0.25">
      <c r="A714" s="2" t="s">
        <v>1079</v>
      </c>
    </row>
    <row r="715" spans="1:1" x14ac:dyDescent="0.25">
      <c r="A715" s="2" t="s">
        <v>1080</v>
      </c>
    </row>
    <row r="716" spans="1:1" x14ac:dyDescent="0.25">
      <c r="A716" s="2" t="s">
        <v>1081</v>
      </c>
    </row>
    <row r="717" spans="1:1" x14ac:dyDescent="0.25">
      <c r="A717" s="2" t="s">
        <v>1082</v>
      </c>
    </row>
    <row r="718" spans="1:1" x14ac:dyDescent="0.25">
      <c r="A718" s="2" t="s">
        <v>1083</v>
      </c>
    </row>
    <row r="719" spans="1:1" x14ac:dyDescent="0.25">
      <c r="A719" s="2" t="s">
        <v>1084</v>
      </c>
    </row>
    <row r="720" spans="1:1" x14ac:dyDescent="0.25">
      <c r="A720" s="2" t="s">
        <v>1085</v>
      </c>
    </row>
    <row r="721" spans="1:1" x14ac:dyDescent="0.25">
      <c r="A721" s="2" t="s">
        <v>1086</v>
      </c>
    </row>
    <row r="722" spans="1:1" x14ac:dyDescent="0.25">
      <c r="A722" s="2" t="s">
        <v>1087</v>
      </c>
    </row>
    <row r="723" spans="1:1" x14ac:dyDescent="0.25">
      <c r="A723" s="2" t="s">
        <v>1088</v>
      </c>
    </row>
    <row r="724" spans="1:1" x14ac:dyDescent="0.25">
      <c r="A724" s="2" t="s">
        <v>1089</v>
      </c>
    </row>
    <row r="725" spans="1:1" x14ac:dyDescent="0.25">
      <c r="A725" s="2" t="s">
        <v>1090</v>
      </c>
    </row>
    <row r="726" spans="1:1" x14ac:dyDescent="0.25">
      <c r="A726" s="2" t="s">
        <v>1091</v>
      </c>
    </row>
    <row r="727" spans="1:1" x14ac:dyDescent="0.25">
      <c r="A727" s="2" t="s">
        <v>1092</v>
      </c>
    </row>
    <row r="728" spans="1:1" x14ac:dyDescent="0.25">
      <c r="A728" s="2" t="s">
        <v>1093</v>
      </c>
    </row>
    <row r="729" spans="1:1" x14ac:dyDescent="0.25">
      <c r="A729" s="2" t="s">
        <v>1094</v>
      </c>
    </row>
    <row r="730" spans="1:1" x14ac:dyDescent="0.25">
      <c r="A730" s="2" t="s">
        <v>1095</v>
      </c>
    </row>
    <row r="731" spans="1:1" x14ac:dyDescent="0.25">
      <c r="A731" s="2" t="s">
        <v>1096</v>
      </c>
    </row>
    <row r="732" spans="1:1" x14ac:dyDescent="0.25">
      <c r="A732" s="2" t="s">
        <v>1097</v>
      </c>
    </row>
    <row r="733" spans="1:1" x14ac:dyDescent="0.25">
      <c r="A733" s="2" t="s">
        <v>1098</v>
      </c>
    </row>
    <row r="734" spans="1:1" x14ac:dyDescent="0.25">
      <c r="A734" s="2" t="s">
        <v>1099</v>
      </c>
    </row>
    <row r="735" spans="1:1" x14ac:dyDescent="0.25">
      <c r="A735" s="2" t="s">
        <v>1100</v>
      </c>
    </row>
    <row r="736" spans="1:1" x14ac:dyDescent="0.25">
      <c r="A736" s="2" t="s">
        <v>1101</v>
      </c>
    </row>
    <row r="737" spans="1:1" x14ac:dyDescent="0.25">
      <c r="A737" s="2" t="s">
        <v>1102</v>
      </c>
    </row>
    <row r="738" spans="1:1" x14ac:dyDescent="0.25">
      <c r="A738" s="2" t="s">
        <v>1103</v>
      </c>
    </row>
    <row r="739" spans="1:1" x14ac:dyDescent="0.25">
      <c r="A739" s="2" t="s">
        <v>1104</v>
      </c>
    </row>
    <row r="740" spans="1:1" x14ac:dyDescent="0.25">
      <c r="A740" s="2" t="s">
        <v>1105</v>
      </c>
    </row>
    <row r="741" spans="1:1" x14ac:dyDescent="0.25">
      <c r="A741" s="2" t="s">
        <v>1106</v>
      </c>
    </row>
    <row r="742" spans="1:1" x14ac:dyDescent="0.25">
      <c r="A742" s="2" t="s">
        <v>1107</v>
      </c>
    </row>
    <row r="743" spans="1:1" x14ac:dyDescent="0.25">
      <c r="A743" s="2" t="s">
        <v>1108</v>
      </c>
    </row>
    <row r="744" spans="1:1" x14ac:dyDescent="0.25">
      <c r="A744" s="2" t="s">
        <v>1109</v>
      </c>
    </row>
    <row r="745" spans="1:1" x14ac:dyDescent="0.25">
      <c r="A745" s="2" t="s">
        <v>1110</v>
      </c>
    </row>
    <row r="746" spans="1:1" x14ac:dyDescent="0.25">
      <c r="A746" s="2" t="s">
        <v>1111</v>
      </c>
    </row>
    <row r="747" spans="1:1" x14ac:dyDescent="0.25">
      <c r="A747" s="2" t="s">
        <v>1112</v>
      </c>
    </row>
    <row r="748" spans="1:1" x14ac:dyDescent="0.25">
      <c r="A748" s="2" t="s">
        <v>1113</v>
      </c>
    </row>
    <row r="749" spans="1:1" x14ac:dyDescent="0.25">
      <c r="A749" s="2" t="s">
        <v>1114</v>
      </c>
    </row>
    <row r="750" spans="1:1" x14ac:dyDescent="0.25">
      <c r="A750" s="2" t="s">
        <v>1115</v>
      </c>
    </row>
    <row r="751" spans="1:1" x14ac:dyDescent="0.25">
      <c r="A751" s="2" t="s">
        <v>1116</v>
      </c>
    </row>
    <row r="752" spans="1:1" x14ac:dyDescent="0.25">
      <c r="A752" s="2" t="s">
        <v>1117</v>
      </c>
    </row>
    <row r="753" spans="1:1" x14ac:dyDescent="0.25">
      <c r="A753" s="2" t="s">
        <v>1118</v>
      </c>
    </row>
    <row r="754" spans="1:1" x14ac:dyDescent="0.25">
      <c r="A754" s="2" t="s">
        <v>1119</v>
      </c>
    </row>
    <row r="755" spans="1:1" x14ac:dyDescent="0.25">
      <c r="A755" s="2" t="s">
        <v>1120</v>
      </c>
    </row>
    <row r="756" spans="1:1" x14ac:dyDescent="0.25">
      <c r="A756" s="2" t="s">
        <v>1121</v>
      </c>
    </row>
    <row r="757" spans="1:1" x14ac:dyDescent="0.25">
      <c r="A757" s="2" t="s">
        <v>1122</v>
      </c>
    </row>
    <row r="758" spans="1:1" x14ac:dyDescent="0.25">
      <c r="A758" s="2" t="s">
        <v>1123</v>
      </c>
    </row>
    <row r="759" spans="1:1" x14ac:dyDescent="0.25">
      <c r="A759" s="2" t="s">
        <v>1124</v>
      </c>
    </row>
    <row r="760" spans="1:1" x14ac:dyDescent="0.25">
      <c r="A760" s="2" t="s">
        <v>1125</v>
      </c>
    </row>
    <row r="761" spans="1:1" x14ac:dyDescent="0.25">
      <c r="A761" s="2" t="s">
        <v>1126</v>
      </c>
    </row>
    <row r="762" spans="1:1" x14ac:dyDescent="0.25">
      <c r="A762" s="2" t="s">
        <v>1127</v>
      </c>
    </row>
    <row r="763" spans="1:1" x14ac:dyDescent="0.25">
      <c r="A763" s="2" t="s">
        <v>1128</v>
      </c>
    </row>
    <row r="764" spans="1:1" x14ac:dyDescent="0.25">
      <c r="A764" s="2" t="s">
        <v>1129</v>
      </c>
    </row>
    <row r="765" spans="1:1" x14ac:dyDescent="0.25">
      <c r="A765" s="2" t="s">
        <v>1130</v>
      </c>
    </row>
    <row r="766" spans="1:1" x14ac:dyDescent="0.25">
      <c r="A766" s="2" t="s">
        <v>1131</v>
      </c>
    </row>
    <row r="767" spans="1:1" x14ac:dyDescent="0.25">
      <c r="A767" s="2" t="s">
        <v>1132</v>
      </c>
    </row>
    <row r="768" spans="1:1" x14ac:dyDescent="0.25">
      <c r="A768" s="2" t="s">
        <v>1133</v>
      </c>
    </row>
    <row r="769" spans="1:1" x14ac:dyDescent="0.25">
      <c r="A769" s="2" t="s">
        <v>1134</v>
      </c>
    </row>
    <row r="770" spans="1:1" x14ac:dyDescent="0.25">
      <c r="A770" s="2" t="s">
        <v>1135</v>
      </c>
    </row>
    <row r="771" spans="1:1" x14ac:dyDescent="0.25">
      <c r="A771" s="2" t="s">
        <v>1136</v>
      </c>
    </row>
    <row r="772" spans="1:1" x14ac:dyDescent="0.25">
      <c r="A772" s="2" t="s">
        <v>1140</v>
      </c>
    </row>
    <row r="773" spans="1:1" x14ac:dyDescent="0.25">
      <c r="A773" s="2" t="s">
        <v>1141</v>
      </c>
    </row>
    <row r="774" spans="1:1" x14ac:dyDescent="0.25">
      <c r="A774" s="2" t="s">
        <v>1142</v>
      </c>
    </row>
    <row r="775" spans="1:1" x14ac:dyDescent="0.25">
      <c r="A775" s="2" t="s">
        <v>1143</v>
      </c>
    </row>
    <row r="776" spans="1:1" x14ac:dyDescent="0.25">
      <c r="A776" s="2" t="s">
        <v>1144</v>
      </c>
    </row>
    <row r="777" spans="1:1" x14ac:dyDescent="0.25">
      <c r="A777" s="2" t="s">
        <v>1145</v>
      </c>
    </row>
    <row r="778" spans="1:1" x14ac:dyDescent="0.25">
      <c r="A778" s="2" t="s">
        <v>1146</v>
      </c>
    </row>
    <row r="779" spans="1:1" x14ac:dyDescent="0.25">
      <c r="A779" s="2" t="s">
        <v>1147</v>
      </c>
    </row>
    <row r="780" spans="1:1" x14ac:dyDescent="0.25">
      <c r="A780" s="2" t="s">
        <v>1148</v>
      </c>
    </row>
    <row r="781" spans="1:1" x14ac:dyDescent="0.25">
      <c r="A781" s="2" t="s">
        <v>1149</v>
      </c>
    </row>
    <row r="782" spans="1:1" x14ac:dyDescent="0.25">
      <c r="A782" s="2" t="s">
        <v>1150</v>
      </c>
    </row>
    <row r="783" spans="1:1" x14ac:dyDescent="0.25">
      <c r="A783" s="2" t="s">
        <v>1151</v>
      </c>
    </row>
    <row r="784" spans="1:1" x14ac:dyDescent="0.25">
      <c r="A784" s="2" t="s">
        <v>1152</v>
      </c>
    </row>
    <row r="785" spans="1:1" x14ac:dyDescent="0.25">
      <c r="A785" s="2" t="s">
        <v>1153</v>
      </c>
    </row>
    <row r="786" spans="1:1" x14ac:dyDescent="0.25">
      <c r="A786" s="2" t="s">
        <v>1154</v>
      </c>
    </row>
    <row r="787" spans="1:1" x14ac:dyDescent="0.25">
      <c r="A787" s="2" t="s">
        <v>1155</v>
      </c>
    </row>
    <row r="788" spans="1:1" x14ac:dyDescent="0.25">
      <c r="A788" s="2" t="s">
        <v>1156</v>
      </c>
    </row>
    <row r="789" spans="1:1" x14ac:dyDescent="0.25">
      <c r="A789" s="2" t="s">
        <v>1157</v>
      </c>
    </row>
    <row r="790" spans="1:1" x14ac:dyDescent="0.25">
      <c r="A790" s="2" t="s">
        <v>1158</v>
      </c>
    </row>
    <row r="791" spans="1:1" x14ac:dyDescent="0.25">
      <c r="A791" s="2" t="s">
        <v>1159</v>
      </c>
    </row>
    <row r="792" spans="1:1" x14ac:dyDescent="0.25">
      <c r="A792" s="2" t="s">
        <v>1160</v>
      </c>
    </row>
    <row r="793" spans="1:1" x14ac:dyDescent="0.25">
      <c r="A793" s="2" t="s">
        <v>1161</v>
      </c>
    </row>
    <row r="794" spans="1:1" x14ac:dyDescent="0.25">
      <c r="A794" s="2" t="s">
        <v>1162</v>
      </c>
    </row>
    <row r="795" spans="1:1" x14ac:dyDescent="0.25">
      <c r="A795" s="2" t="s">
        <v>1163</v>
      </c>
    </row>
    <row r="796" spans="1:1" x14ac:dyDescent="0.25">
      <c r="A796" s="2" t="s">
        <v>1164</v>
      </c>
    </row>
    <row r="797" spans="1:1" x14ac:dyDescent="0.25">
      <c r="A797" s="2" t="s">
        <v>1165</v>
      </c>
    </row>
    <row r="798" spans="1:1" x14ac:dyDescent="0.25">
      <c r="A798" s="2" t="s">
        <v>1166</v>
      </c>
    </row>
    <row r="799" spans="1:1" x14ac:dyDescent="0.25">
      <c r="A799" s="2" t="s">
        <v>1167</v>
      </c>
    </row>
    <row r="800" spans="1:1" x14ac:dyDescent="0.25">
      <c r="A800" s="2" t="s">
        <v>1168</v>
      </c>
    </row>
    <row r="801" spans="1:1" x14ac:dyDescent="0.25">
      <c r="A801" s="2" t="s">
        <v>1169</v>
      </c>
    </row>
    <row r="802" spans="1:1" x14ac:dyDescent="0.25">
      <c r="A802" s="2" t="s">
        <v>1170</v>
      </c>
    </row>
    <row r="803" spans="1:1" x14ac:dyDescent="0.25">
      <c r="A803" s="2" t="s">
        <v>1171</v>
      </c>
    </row>
    <row r="804" spans="1:1" x14ac:dyDescent="0.25">
      <c r="A804" s="2" t="s">
        <v>1172</v>
      </c>
    </row>
    <row r="805" spans="1:1" x14ac:dyDescent="0.25">
      <c r="A805" s="2" t="s">
        <v>1173</v>
      </c>
    </row>
    <row r="806" spans="1:1" x14ac:dyDescent="0.25">
      <c r="A806" s="2" t="s">
        <v>1174</v>
      </c>
    </row>
    <row r="807" spans="1:1" x14ac:dyDescent="0.25">
      <c r="A807" s="2" t="s">
        <v>1175</v>
      </c>
    </row>
    <row r="808" spans="1:1" x14ac:dyDescent="0.25">
      <c r="A808" s="2" t="s">
        <v>1176</v>
      </c>
    </row>
    <row r="809" spans="1:1" x14ac:dyDescent="0.25">
      <c r="A809" s="2" t="s">
        <v>1177</v>
      </c>
    </row>
    <row r="810" spans="1:1" x14ac:dyDescent="0.25">
      <c r="A810" s="2" t="s">
        <v>1178</v>
      </c>
    </row>
    <row r="811" spans="1:1" x14ac:dyDescent="0.25">
      <c r="A811" s="2" t="s">
        <v>1179</v>
      </c>
    </row>
    <row r="812" spans="1:1" x14ac:dyDescent="0.25">
      <c r="A812" s="2" t="s">
        <v>1180</v>
      </c>
    </row>
    <row r="813" spans="1:1" x14ac:dyDescent="0.25">
      <c r="A813" s="2" t="s">
        <v>1181</v>
      </c>
    </row>
    <row r="814" spans="1:1" x14ac:dyDescent="0.25">
      <c r="A814" s="2" t="s">
        <v>1182</v>
      </c>
    </row>
    <row r="815" spans="1:1" x14ac:dyDescent="0.25">
      <c r="A815" s="2" t="s">
        <v>1183</v>
      </c>
    </row>
    <row r="816" spans="1:1" x14ac:dyDescent="0.25">
      <c r="A816" s="2" t="s">
        <v>1184</v>
      </c>
    </row>
    <row r="817" spans="1:1" x14ac:dyDescent="0.25">
      <c r="A817" s="2" t="s">
        <v>1185</v>
      </c>
    </row>
    <row r="818" spans="1:1" x14ac:dyDescent="0.25">
      <c r="A818" s="2" t="s">
        <v>1186</v>
      </c>
    </row>
    <row r="819" spans="1:1" x14ac:dyDescent="0.25">
      <c r="A819" s="2" t="s">
        <v>1187</v>
      </c>
    </row>
    <row r="820" spans="1:1" x14ac:dyDescent="0.25">
      <c r="A820" s="2" t="s">
        <v>1188</v>
      </c>
    </row>
    <row r="821" spans="1:1" x14ac:dyDescent="0.25">
      <c r="A821" s="2" t="s">
        <v>1189</v>
      </c>
    </row>
    <row r="822" spans="1:1" x14ac:dyDescent="0.25">
      <c r="A822" s="2" t="s">
        <v>1190</v>
      </c>
    </row>
    <row r="823" spans="1:1" x14ac:dyDescent="0.25">
      <c r="A823" s="2" t="s">
        <v>1191</v>
      </c>
    </row>
    <row r="824" spans="1:1" x14ac:dyDescent="0.25">
      <c r="A824" s="2" t="s">
        <v>1192</v>
      </c>
    </row>
    <row r="825" spans="1:1" x14ac:dyDescent="0.25">
      <c r="A825" s="2" t="s">
        <v>1193</v>
      </c>
    </row>
    <row r="826" spans="1:1" x14ac:dyDescent="0.25">
      <c r="A826" s="2" t="s">
        <v>1194</v>
      </c>
    </row>
    <row r="827" spans="1:1" x14ac:dyDescent="0.25">
      <c r="A827" s="2" t="s">
        <v>1195</v>
      </c>
    </row>
    <row r="828" spans="1:1" x14ac:dyDescent="0.25">
      <c r="A828" s="2" t="s">
        <v>1196</v>
      </c>
    </row>
    <row r="829" spans="1:1" x14ac:dyDescent="0.25">
      <c r="A829" s="2" t="s">
        <v>1197</v>
      </c>
    </row>
    <row r="830" spans="1:1" x14ac:dyDescent="0.25">
      <c r="A830" s="2" t="s">
        <v>1198</v>
      </c>
    </row>
    <row r="831" spans="1:1" x14ac:dyDescent="0.25">
      <c r="A831" s="2" t="s">
        <v>1199</v>
      </c>
    </row>
    <row r="832" spans="1:1" x14ac:dyDescent="0.25">
      <c r="A832" s="2" t="s">
        <v>1200</v>
      </c>
    </row>
    <row r="833" spans="1:1" x14ac:dyDescent="0.25">
      <c r="A833" s="2" t="s">
        <v>1201</v>
      </c>
    </row>
    <row r="834" spans="1:1" x14ac:dyDescent="0.25">
      <c r="A834" s="2" t="s">
        <v>1202</v>
      </c>
    </row>
    <row r="835" spans="1:1" x14ac:dyDescent="0.25">
      <c r="A835" s="2" t="s">
        <v>1203</v>
      </c>
    </row>
    <row r="836" spans="1:1" x14ac:dyDescent="0.25">
      <c r="A836" s="2" t="s">
        <v>1204</v>
      </c>
    </row>
    <row r="837" spans="1:1" x14ac:dyDescent="0.25">
      <c r="A837" s="2" t="s">
        <v>1205</v>
      </c>
    </row>
    <row r="838" spans="1:1" x14ac:dyDescent="0.25">
      <c r="A838" s="2" t="s">
        <v>1206</v>
      </c>
    </row>
    <row r="839" spans="1:1" x14ac:dyDescent="0.25">
      <c r="A839" s="2" t="s">
        <v>1207</v>
      </c>
    </row>
    <row r="840" spans="1:1" x14ac:dyDescent="0.25">
      <c r="A840" s="2" t="s">
        <v>1208</v>
      </c>
    </row>
    <row r="841" spans="1:1" x14ac:dyDescent="0.25">
      <c r="A841" s="2" t="s">
        <v>1209</v>
      </c>
    </row>
    <row r="842" spans="1:1" x14ac:dyDescent="0.25">
      <c r="A842" s="2" t="s">
        <v>1210</v>
      </c>
    </row>
    <row r="843" spans="1:1" x14ac:dyDescent="0.25">
      <c r="A843" s="2" t="s">
        <v>1211</v>
      </c>
    </row>
    <row r="844" spans="1:1" x14ac:dyDescent="0.25">
      <c r="A844" s="2" t="s">
        <v>1212</v>
      </c>
    </row>
    <row r="845" spans="1:1" x14ac:dyDescent="0.25">
      <c r="A845" s="2" t="s">
        <v>1213</v>
      </c>
    </row>
    <row r="846" spans="1:1" x14ac:dyDescent="0.25">
      <c r="A846" s="2" t="s">
        <v>1214</v>
      </c>
    </row>
    <row r="847" spans="1:1" x14ac:dyDescent="0.25">
      <c r="A847" s="2" t="s">
        <v>1215</v>
      </c>
    </row>
    <row r="848" spans="1:1" x14ac:dyDescent="0.25">
      <c r="A848" s="2" t="s">
        <v>1216</v>
      </c>
    </row>
    <row r="849" spans="1:1" x14ac:dyDescent="0.25">
      <c r="A849" s="2" t="s">
        <v>1217</v>
      </c>
    </row>
    <row r="850" spans="1:1" x14ac:dyDescent="0.25">
      <c r="A850" s="2" t="s">
        <v>1218</v>
      </c>
    </row>
    <row r="851" spans="1:1" x14ac:dyDescent="0.25">
      <c r="A851" s="2" t="s">
        <v>1219</v>
      </c>
    </row>
    <row r="852" spans="1:1" x14ac:dyDescent="0.25">
      <c r="A852" s="2" t="s">
        <v>1220</v>
      </c>
    </row>
    <row r="853" spans="1:1" x14ac:dyDescent="0.25">
      <c r="A853" s="2" t="s">
        <v>1221</v>
      </c>
    </row>
    <row r="854" spans="1:1" x14ac:dyDescent="0.25">
      <c r="A854" s="2" t="s">
        <v>1222</v>
      </c>
    </row>
    <row r="855" spans="1:1" x14ac:dyDescent="0.25">
      <c r="A855" s="2" t="s">
        <v>1223</v>
      </c>
    </row>
    <row r="856" spans="1:1" x14ac:dyDescent="0.25">
      <c r="A856" s="2" t="s">
        <v>1224</v>
      </c>
    </row>
    <row r="857" spans="1:1" x14ac:dyDescent="0.25">
      <c r="A857" s="2" t="s">
        <v>1225</v>
      </c>
    </row>
    <row r="858" spans="1:1" x14ac:dyDescent="0.25">
      <c r="A858" s="2" t="s">
        <v>1226</v>
      </c>
    </row>
    <row r="859" spans="1:1" x14ac:dyDescent="0.25">
      <c r="A859" s="2" t="s">
        <v>1227</v>
      </c>
    </row>
    <row r="860" spans="1:1" x14ac:dyDescent="0.25">
      <c r="A860" s="2" t="s">
        <v>1228</v>
      </c>
    </row>
    <row r="861" spans="1:1" x14ac:dyDescent="0.25">
      <c r="A861" s="2" t="s">
        <v>1229</v>
      </c>
    </row>
    <row r="862" spans="1:1" x14ac:dyDescent="0.25">
      <c r="A862" s="2" t="s">
        <v>1230</v>
      </c>
    </row>
    <row r="863" spans="1:1" x14ac:dyDescent="0.25">
      <c r="A863" s="2" t="s">
        <v>1231</v>
      </c>
    </row>
    <row r="864" spans="1:1" x14ac:dyDescent="0.25">
      <c r="A864" s="2" t="s">
        <v>1232</v>
      </c>
    </row>
    <row r="865" spans="1:1" x14ac:dyDescent="0.25">
      <c r="A865" s="2" t="s">
        <v>1233</v>
      </c>
    </row>
    <row r="866" spans="1:1" x14ac:dyDescent="0.25">
      <c r="A866" s="2" t="s">
        <v>1234</v>
      </c>
    </row>
    <row r="867" spans="1:1" x14ac:dyDescent="0.25">
      <c r="A867" s="2" t="s">
        <v>1235</v>
      </c>
    </row>
    <row r="868" spans="1:1" x14ac:dyDescent="0.25">
      <c r="A868" s="2" t="s">
        <v>1236</v>
      </c>
    </row>
    <row r="869" spans="1:1" x14ac:dyDescent="0.25">
      <c r="A869" s="2" t="s">
        <v>1237</v>
      </c>
    </row>
    <row r="870" spans="1:1" x14ac:dyDescent="0.25">
      <c r="A870" s="2" t="s">
        <v>1238</v>
      </c>
    </row>
    <row r="871" spans="1:1" x14ac:dyDescent="0.25">
      <c r="A871" s="2" t="s">
        <v>1239</v>
      </c>
    </row>
    <row r="872" spans="1:1" x14ac:dyDescent="0.25">
      <c r="A872" s="2" t="s">
        <v>1240</v>
      </c>
    </row>
    <row r="873" spans="1:1" x14ac:dyDescent="0.25">
      <c r="A873" s="2" t="s">
        <v>1241</v>
      </c>
    </row>
    <row r="874" spans="1:1" x14ac:dyDescent="0.25">
      <c r="A874" s="2" t="s">
        <v>1242</v>
      </c>
    </row>
    <row r="875" spans="1:1" x14ac:dyDescent="0.25">
      <c r="A875" s="2" t="s">
        <v>1243</v>
      </c>
    </row>
    <row r="876" spans="1:1" x14ac:dyDescent="0.25">
      <c r="A876" s="2" t="s">
        <v>1244</v>
      </c>
    </row>
    <row r="877" spans="1:1" x14ac:dyDescent="0.25">
      <c r="A877" s="2" t="s">
        <v>1245</v>
      </c>
    </row>
    <row r="878" spans="1:1" x14ac:dyDescent="0.25">
      <c r="A878" s="2" t="s">
        <v>1246</v>
      </c>
    </row>
    <row r="879" spans="1:1" x14ac:dyDescent="0.25">
      <c r="A879" s="2" t="s">
        <v>1247</v>
      </c>
    </row>
    <row r="880" spans="1:1" x14ac:dyDescent="0.25">
      <c r="A880" s="2" t="s">
        <v>1248</v>
      </c>
    </row>
    <row r="881" spans="1:1" x14ac:dyDescent="0.25">
      <c r="A881" s="2" t="s">
        <v>1249</v>
      </c>
    </row>
    <row r="882" spans="1:1" x14ac:dyDescent="0.25">
      <c r="A882" s="2" t="s">
        <v>1250</v>
      </c>
    </row>
    <row r="883" spans="1:1" x14ac:dyDescent="0.25">
      <c r="A883" s="2" t="s">
        <v>1251</v>
      </c>
    </row>
    <row r="884" spans="1:1" x14ac:dyDescent="0.25">
      <c r="A884" s="2" t="s">
        <v>1252</v>
      </c>
    </row>
    <row r="885" spans="1:1" x14ac:dyDescent="0.25">
      <c r="A885" s="2" t="s">
        <v>1253</v>
      </c>
    </row>
    <row r="886" spans="1:1" x14ac:dyDescent="0.25">
      <c r="A886" s="2" t="s">
        <v>1254</v>
      </c>
    </row>
    <row r="887" spans="1:1" x14ac:dyDescent="0.25">
      <c r="A887" s="2" t="s">
        <v>1255</v>
      </c>
    </row>
    <row r="888" spans="1:1" x14ac:dyDescent="0.25">
      <c r="A888" s="2" t="s">
        <v>1256</v>
      </c>
    </row>
    <row r="889" spans="1:1" x14ac:dyDescent="0.25">
      <c r="A889" s="2" t="s">
        <v>1257</v>
      </c>
    </row>
    <row r="890" spans="1:1" x14ac:dyDescent="0.25">
      <c r="A890" s="2" t="s">
        <v>1258</v>
      </c>
    </row>
    <row r="891" spans="1:1" x14ac:dyDescent="0.25">
      <c r="A891" s="2" t="s">
        <v>1259</v>
      </c>
    </row>
    <row r="892" spans="1:1" x14ac:dyDescent="0.25">
      <c r="A892" s="2" t="s">
        <v>1260</v>
      </c>
    </row>
    <row r="893" spans="1:1" x14ac:dyDescent="0.25">
      <c r="A893" s="2" t="s">
        <v>1261</v>
      </c>
    </row>
    <row r="894" spans="1:1" x14ac:dyDescent="0.25">
      <c r="A894" s="2" t="s">
        <v>1262</v>
      </c>
    </row>
    <row r="895" spans="1:1" x14ac:dyDescent="0.25">
      <c r="A895" s="2" t="s">
        <v>1263</v>
      </c>
    </row>
    <row r="896" spans="1:1" x14ac:dyDescent="0.25">
      <c r="A896" s="58" t="s">
        <v>1271</v>
      </c>
    </row>
    <row r="897" spans="1:1" x14ac:dyDescent="0.25">
      <c r="A897" s="60" t="s">
        <v>1272</v>
      </c>
    </row>
    <row r="898" spans="1:1" x14ac:dyDescent="0.25">
      <c r="A898" s="58" t="s">
        <v>1276</v>
      </c>
    </row>
    <row r="899" spans="1:1" x14ac:dyDescent="0.25">
      <c r="A899" s="58" t="s">
        <v>1277</v>
      </c>
    </row>
    <row r="900" spans="1:1" x14ac:dyDescent="0.25">
      <c r="A900" s="58" t="s">
        <v>1278</v>
      </c>
    </row>
    <row r="901" spans="1:1" x14ac:dyDescent="0.25">
      <c r="A901" s="58" t="s">
        <v>1279</v>
      </c>
    </row>
    <row r="902" spans="1:1" x14ac:dyDescent="0.25">
      <c r="A902" s="58" t="s">
        <v>1280</v>
      </c>
    </row>
    <row r="903" spans="1:1" x14ac:dyDescent="0.25">
      <c r="A903" s="58" t="s">
        <v>1281</v>
      </c>
    </row>
    <row r="904" spans="1:1" x14ac:dyDescent="0.25">
      <c r="A904" s="58" t="s">
        <v>1282</v>
      </c>
    </row>
    <row r="905" spans="1:1" x14ac:dyDescent="0.25">
      <c r="A905" s="58" t="s">
        <v>1283</v>
      </c>
    </row>
    <row r="906" spans="1:1" x14ac:dyDescent="0.25">
      <c r="A906" s="58" t="s">
        <v>1284</v>
      </c>
    </row>
    <row r="907" spans="1:1" x14ac:dyDescent="0.25">
      <c r="A907" s="58" t="s">
        <v>1285</v>
      </c>
    </row>
    <row r="908" spans="1:1" x14ac:dyDescent="0.25">
      <c r="A908" s="58" t="s">
        <v>1286</v>
      </c>
    </row>
    <row r="909" spans="1:1" x14ac:dyDescent="0.25">
      <c r="A909" s="58" t="s">
        <v>1287</v>
      </c>
    </row>
    <row r="910" spans="1:1" x14ac:dyDescent="0.25">
      <c r="A910" s="58" t="s">
        <v>1288</v>
      </c>
    </row>
    <row r="911" spans="1:1" x14ac:dyDescent="0.25">
      <c r="A911" s="58" t="s">
        <v>1289</v>
      </c>
    </row>
    <row r="912" spans="1:1" x14ac:dyDescent="0.25">
      <c r="A912" s="58" t="s">
        <v>1290</v>
      </c>
    </row>
    <row r="913" spans="1:1" x14ac:dyDescent="0.25">
      <c r="A913" s="58" t="s">
        <v>1291</v>
      </c>
    </row>
    <row r="914" spans="1:1" x14ac:dyDescent="0.25">
      <c r="A914" s="58" t="s">
        <v>1292</v>
      </c>
    </row>
    <row r="915" spans="1:1" x14ac:dyDescent="0.25">
      <c r="A915" s="58" t="s">
        <v>1293</v>
      </c>
    </row>
    <row r="916" spans="1:1" x14ac:dyDescent="0.25">
      <c r="A916" s="58" t="s">
        <v>1294</v>
      </c>
    </row>
    <row r="917" spans="1:1" x14ac:dyDescent="0.25">
      <c r="A917" s="58" t="s">
        <v>1295</v>
      </c>
    </row>
    <row r="918" spans="1:1" x14ac:dyDescent="0.25">
      <c r="A918" s="58" t="s">
        <v>1296</v>
      </c>
    </row>
    <row r="919" spans="1:1" x14ac:dyDescent="0.25">
      <c r="A919" s="58" t="s">
        <v>1297</v>
      </c>
    </row>
    <row r="920" spans="1:1" x14ac:dyDescent="0.25">
      <c r="A920" s="58" t="s">
        <v>1298</v>
      </c>
    </row>
    <row r="921" spans="1:1" x14ac:dyDescent="0.25">
      <c r="A921" s="58" t="s">
        <v>1299</v>
      </c>
    </row>
    <row r="922" spans="1:1" x14ac:dyDescent="0.25">
      <c r="A922" s="58" t="s">
        <v>1300</v>
      </c>
    </row>
    <row r="923" spans="1:1" x14ac:dyDescent="0.25">
      <c r="A923" s="58" t="s">
        <v>1301</v>
      </c>
    </row>
    <row r="924" spans="1:1" x14ac:dyDescent="0.25">
      <c r="A924" s="58" t="s">
        <v>1302</v>
      </c>
    </row>
    <row r="925" spans="1:1" x14ac:dyDescent="0.25">
      <c r="A925" s="58" t="s">
        <v>1303</v>
      </c>
    </row>
    <row r="926" spans="1:1" x14ac:dyDescent="0.25">
      <c r="A926" s="58" t="s">
        <v>1304</v>
      </c>
    </row>
    <row r="927" spans="1:1" x14ac:dyDescent="0.25">
      <c r="A927" s="58" t="s">
        <v>1305</v>
      </c>
    </row>
    <row r="928" spans="1:1" x14ac:dyDescent="0.25">
      <c r="A928" s="58" t="s">
        <v>1306</v>
      </c>
    </row>
    <row r="929" spans="1:1" x14ac:dyDescent="0.25">
      <c r="A929" s="60" t="s">
        <v>1307</v>
      </c>
    </row>
  </sheetData>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21932CC0D5B4A4BB9F92F911359FFEC" ma:contentTypeVersion="10" ma:contentTypeDescription="Create a new document." ma:contentTypeScope="" ma:versionID="834fd54962f8d4a94782728d985b132b">
  <xsd:schema xmlns:xsd="http://www.w3.org/2001/XMLSchema" xmlns:xs="http://www.w3.org/2001/XMLSchema" xmlns:p="http://schemas.microsoft.com/office/2006/metadata/properties" xmlns:ns2="002cee3d-81b3-467e-86a5-d2574f1314ed" xmlns:ns3="9991f1fb-398d-408f-b8be-4d50fcad59ca" targetNamespace="http://schemas.microsoft.com/office/2006/metadata/properties" ma:root="true" ma:fieldsID="f214c457bb3ca24d037af71fdb7e9735" ns2:_="" ns3:_="">
    <xsd:import namespace="002cee3d-81b3-467e-86a5-d2574f1314ed"/>
    <xsd:import namespace="9991f1fb-398d-408f-b8be-4d50fcad59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2cee3d-81b3-467e-86a5-d2574f1314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e9d24f0-73b2-4fdd-970a-73a2b64ab79f"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91f1fb-398d-408f-b8be-4d50fcad59c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48cb6ec-e7cf-45cc-804b-c44a019b4747}" ma:internalName="TaxCatchAll" ma:showField="CatchAllData" ma:web="9991f1fb-398d-408f-b8be-4d50fcad59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991f1fb-398d-408f-b8be-4d50fcad59ca" xsi:nil="true"/>
    <lcf76f155ced4ddcb4097134ff3c332f xmlns="002cee3d-81b3-467e-86a5-d2574f1314ed">
      <Terms xmlns="http://schemas.microsoft.com/office/infopath/2007/PartnerControls"/>
    </lcf76f155ced4ddcb4097134ff3c332f>
    <SharedWithUsers xmlns="9991f1fb-398d-408f-b8be-4d50fcad59ca">
      <UserInfo>
        <DisplayName>Ethan Biery</DisplayName>
        <AccountId>47</AccountId>
        <AccountType/>
      </UserInfo>
      <UserInfo>
        <DisplayName>David Saveri</DisplayName>
        <AccountId>14</AccountId>
        <AccountType/>
      </UserInfo>
    </SharedWithUsers>
  </documentManagement>
</p:properties>
</file>

<file path=customXml/itemProps1.xml><?xml version="1.0" encoding="utf-8"?>
<ds:datastoreItem xmlns:ds="http://schemas.openxmlformats.org/officeDocument/2006/customXml" ds:itemID="{CEFCF393-1AF7-4EB7-BDF3-FBD5A88E9682}">
  <ds:schemaRefs>
    <ds:schemaRef ds:uri="http://schemas.microsoft.com/sharepoint/v3/contenttype/forms"/>
  </ds:schemaRefs>
</ds:datastoreItem>
</file>

<file path=customXml/itemProps2.xml><?xml version="1.0" encoding="utf-8"?>
<ds:datastoreItem xmlns:ds="http://schemas.openxmlformats.org/officeDocument/2006/customXml" ds:itemID="{4FF89C32-BE9A-455A-A2AA-BF56B77A58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2cee3d-81b3-467e-86a5-d2574f1314ed"/>
    <ds:schemaRef ds:uri="9991f1fb-398d-408f-b8be-4d50fcad59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8A63DF-18A5-454E-AC21-42800AB0A13A}">
  <ds:schemaRefs>
    <ds:schemaRef ds:uri="http://schemas.microsoft.com/office/2006/documentManagement/types"/>
    <ds:schemaRef ds:uri="9991f1fb-398d-408f-b8be-4d50fcad59ca"/>
    <ds:schemaRef ds:uri="http://purl.org/dc/elements/1.1/"/>
    <ds:schemaRef ds:uri="http://purl.org/dc/terms/"/>
    <ds:schemaRef ds:uri="002cee3d-81b3-467e-86a5-d2574f1314ed"/>
    <ds:schemaRef ds:uri="http://purl.org/dc/dcmitype/"/>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docMetadata/LabelInfo.xml><?xml version="1.0" encoding="utf-8"?>
<clbl:labelList xmlns:clbl="http://schemas.microsoft.com/office/2020/mipLabelMetadata">
  <clbl:label id="{df2300e1-3c5a-40e5-a031-4d349c42c09f}" enabled="0" method="" siteId="{df2300e1-3c5a-40e5-a031-4d349c42c09f}"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12</vt:i4>
      </vt:variant>
      <vt:variant>
        <vt:lpstr>Named Ranges</vt:lpstr>
      </vt:variant>
      <vt:variant>
        <vt:i4>59</vt:i4>
      </vt:variant>
    </vt:vector>
  </HeadingPairs>
  <TitlesOfParts>
    <vt:vector size="71" baseType="lpstr">
      <vt:lpstr>INSTRUCTIONS</vt:lpstr>
      <vt:lpstr>Lutron LED Upgrade Tool</vt:lpstr>
      <vt:lpstr>OLD Lutron LED Upgrade Tool</vt:lpstr>
      <vt:lpstr>Grainger LED Upgrade Tool</vt:lpstr>
      <vt:lpstr>Upgrade Workbook</vt:lpstr>
      <vt:lpstr>Ballast Master Matrix</vt:lpstr>
      <vt:lpstr>Grainger Cross Reference</vt:lpstr>
      <vt:lpstr>Lutron Kit to CFlex Lookup</vt:lpstr>
      <vt:lpstr>Obsolete Ballasts</vt:lpstr>
      <vt:lpstr>FullGrackle-&gt;LED Map</vt:lpstr>
      <vt:lpstr>Helper</vt:lpstr>
      <vt:lpstr>Revision History</vt:lpstr>
      <vt:lpstr>'Lutron LED Upgrade Tool'!Ballast_List</vt:lpstr>
      <vt:lpstr>Ballast_List</vt:lpstr>
      <vt:lpstr>Ballast_Model</vt:lpstr>
      <vt:lpstr>CaseQty</vt:lpstr>
      <vt:lpstr>'Lutron LED Upgrade Tool'!CCT_List</vt:lpstr>
      <vt:lpstr>CCT_List</vt:lpstr>
      <vt:lpstr>CFlex_Model</vt:lpstr>
      <vt:lpstr>CFLMounting</vt:lpstr>
      <vt:lpstr>CFLWattage</vt:lpstr>
      <vt:lpstr>'Grainger LED Upgrade Tool'!Control_3W</vt:lpstr>
      <vt:lpstr>'Lutron LED Upgrade Tool'!Control_3W</vt:lpstr>
      <vt:lpstr>Control_3W</vt:lpstr>
      <vt:lpstr>'Grainger LED Upgrade Tool'!Control_Eco</vt:lpstr>
      <vt:lpstr>'Lutron LED Upgrade Tool'!Control_Eco</vt:lpstr>
      <vt:lpstr>Control_Eco</vt:lpstr>
      <vt:lpstr>'Grainger LED Upgrade Tool'!Control_Other</vt:lpstr>
      <vt:lpstr>'Lutron LED Upgrade Tool'!Control_Other</vt:lpstr>
      <vt:lpstr>Control_Other</vt:lpstr>
      <vt:lpstr>ControlMethod</vt:lpstr>
      <vt:lpstr>ControlType</vt:lpstr>
      <vt:lpstr>'Lutron LED Upgrade Tool'!ControlType_List</vt:lpstr>
      <vt:lpstr>ControlType_List</vt:lpstr>
      <vt:lpstr>G_Ballast_Model</vt:lpstr>
      <vt:lpstr>G_CFLMounting</vt:lpstr>
      <vt:lpstr>G_CFLWattage</vt:lpstr>
      <vt:lpstr>G_ControlMethod</vt:lpstr>
      <vt:lpstr>G_ControlType</vt:lpstr>
      <vt:lpstr>G_LampCCT</vt:lpstr>
      <vt:lpstr>G_PackagingOption</vt:lpstr>
      <vt:lpstr>G_RecommendedModel</vt:lpstr>
      <vt:lpstr>G_SensorOnBallast</vt:lpstr>
      <vt:lpstr>G_SensorOnBallastSelect</vt:lpstr>
      <vt:lpstr>Grainger_Ballast_Model</vt:lpstr>
      <vt:lpstr>'Lutron LED Upgrade Tool'!Grainger_Model_List</vt:lpstr>
      <vt:lpstr>Grainger_Model_List</vt:lpstr>
      <vt:lpstr>HasCFLMounting</vt:lpstr>
      <vt:lpstr>HasMultipleControl</vt:lpstr>
      <vt:lpstr>HasMultiWattCFL</vt:lpstr>
      <vt:lpstr>HasSensorSupport</vt:lpstr>
      <vt:lpstr>IsInternationalBallast</vt:lpstr>
      <vt:lpstr>LampCCT</vt:lpstr>
      <vt:lpstr>NoMatches</vt:lpstr>
      <vt:lpstr>PackagingOption</vt:lpstr>
      <vt:lpstr>'Lutron LED Upgrade Tool'!Print_Area</vt:lpstr>
      <vt:lpstr>'OLD Lutron LED Upgrade Tool'!Print_Area</vt:lpstr>
      <vt:lpstr>'Upgrade Workbook'!Print_Area</vt:lpstr>
      <vt:lpstr>RecommendedModel</vt:lpstr>
      <vt:lpstr>Selected_Model</vt:lpstr>
      <vt:lpstr>SensorOnBallast</vt:lpstr>
      <vt:lpstr>SensorOnBallastSelect</vt:lpstr>
      <vt:lpstr>'Lutron LED Upgrade Tool'!SystemTypes_List</vt:lpstr>
      <vt:lpstr>SystemTypes_List</vt:lpstr>
      <vt:lpstr>'Lutron LED Upgrade Tool'!UpgradePlan_List</vt:lpstr>
      <vt:lpstr>UpgradePlan_List</vt:lpstr>
      <vt:lpstr>ValidModel</vt:lpstr>
      <vt:lpstr>'Lutron LED Upgrade Tool'!Version</vt:lpstr>
      <vt:lpstr>Version</vt:lpstr>
      <vt:lpstr>'Lutron LED Upgrade Tool'!Voltage_List</vt:lpstr>
      <vt:lpstr>Voltage_List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Shearer</dc:creator>
  <cp:keywords/>
  <dc:description/>
  <cp:lastModifiedBy>Ethan Biery</cp:lastModifiedBy>
  <cp:revision/>
  <cp:lastPrinted>2023-11-15T15:19:32Z</cp:lastPrinted>
  <dcterms:created xsi:type="dcterms:W3CDTF">2023-01-06T18:38:35Z</dcterms:created>
  <dcterms:modified xsi:type="dcterms:W3CDTF">2024-04-05T19:35:45Z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0x010100C21932CC0D5B4A4BB9F92F911359FFEC</vt:lpwstr>
  </property>
  <property fmtid="{D5CDD505-2E9C-101B-9397-08002B2CF9AE}" pid="3" name="MediaServiceImageTags">
    <vt:lpwstr/>
  </property>
</Properties>
</file>